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karta Pusat" sheetId="1" r:id="rId4"/>
    <sheet state="visible" name="Jakarta Barat" sheetId="2" r:id="rId5"/>
    <sheet state="visible" name="Jakarta Timur" sheetId="3" r:id="rId6"/>
    <sheet state="visible" name="Jakarta Utara" sheetId="4" r:id="rId7"/>
    <sheet state="visible" name="Jakarta Selatan" sheetId="5" r:id="rId8"/>
  </sheets>
  <definedNames/>
  <calcPr/>
</workbook>
</file>

<file path=xl/sharedStrings.xml><?xml version="1.0" encoding="utf-8"?>
<sst xmlns="http://schemas.openxmlformats.org/spreadsheetml/2006/main" count="8988" uniqueCount="4353">
  <si>
    <t>Real Category</t>
  </si>
  <si>
    <t>Row Labels</t>
  </si>
  <si>
    <t>Address</t>
  </si>
  <si>
    <t>City</t>
  </si>
  <si>
    <t>State</t>
  </si>
  <si>
    <t>Postal Code</t>
  </si>
  <si>
    <t>Country</t>
  </si>
  <si>
    <t>Phone</t>
  </si>
  <si>
    <t>Latitude</t>
  </si>
  <si>
    <t>Longitude</t>
  </si>
  <si>
    <t>Map Link</t>
  </si>
  <si>
    <t>Median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</si>
  <si>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</si>
  <si>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</si>
  <si>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</si>
  <si>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</si>
  <si>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</si>
  <si>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</si>
  <si>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</si>
  <si>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</si>
  <si>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</si>
  <si>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</si>
  <si>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</si>
  <si>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</si>
  <si>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</si>
  <si>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Sumber</t>
  </si>
  <si>
    <t>Kantor Perusahaan</t>
  </si>
  <si>
    <t>Komplek Jembatan Lima Indah</t>
  </si>
  <si>
    <t>RRP5+H5G, Jl. Duri, RT.2/RW.2, Duri Pulo, Kecamatan Gambir, Kota Jakarta Pusat, Daerah Khusus Ibukota Jakarta 10140</t>
  </si>
  <si>
    <t>Jl. Duri, RT.2/RW.2, Duri Pulo, Kecamatan Gambir, Kota Jakarta Pusat</t>
  </si>
  <si>
    <t>DAERAH KHUSUS IBUKOTA JAKARTA</t>
  </si>
  <si>
    <t>Indonesia</t>
  </si>
  <si>
    <t>(blank)</t>
  </si>
  <si>
    <t>https://maps.google.com/?cid=0x0:0xd90b478d3f901a49</t>
  </si>
  <si>
    <t>N/A</t>
  </si>
  <si>
    <t>perumahan</t>
  </si>
  <si>
    <t>Perumahan Papan Mas</t>
  </si>
  <si>
    <t>Jl. Garuda IV No.27 blok D4, RT.7/RW.4, Gn. Sahari Sel., Kec. Kemayoran, Kota Jakarta Pusat, Daerah Khusus Ibukota Jakarta 10610</t>
  </si>
  <si>
    <t>RT.7/RW.4, Gn. Sahari Sel., Kec. Kemayoran, Kota Jakarta Pusat</t>
  </si>
  <si>
    <t>https://maps.google.com/?cid=0x0:0x527a2af6f0eea2e5</t>
  </si>
  <si>
    <t>Najoge Residence</t>
  </si>
  <si>
    <t>Jl. Cempaka Putih Barat 26 No.9, RT.8/RW.3, Cemp. Putih Bar., Kec. Cemp. PutihKota, Kota Jakarta Pusat, Daerah Khusus Ibukota Jakarta 10520</t>
  </si>
  <si>
    <t>RT.8/RW.3, Cemp. Putih Bar., Kec. Cemp. PutihKota, Kota Jakarta Pusat</t>
  </si>
  <si>
    <t>https://maps.google.com/?cid=0x0:0x24f8bc6b7a04b719</t>
  </si>
  <si>
    <t>Cluster CPB XX</t>
  </si>
  <si>
    <t>Jl. Cempaka Putih Barat XX No.38, RT.5/RW.7, Cemp. Putih Bar., Kec. Cemp. Putih, Kota Jakarta Pusat, Daerah Khusus Ibukota Jakarta 10520</t>
  </si>
  <si>
    <t>RT.5/RW.7, Cemp. Putih Bar., Kec. Cemp. Putih, Kota Jakarta Pusat</t>
  </si>
  <si>
    <t>https://maps.google.com/?cid=0x0:0xd0a08bba2b822c0f</t>
  </si>
  <si>
    <t>Komplek perumahan</t>
  </si>
  <si>
    <t>PERUMAHAN DITTOP CEMPAKA PUTIH</t>
  </si>
  <si>
    <t>Jl. Cempaka Putih Barat XX No.5, RT.5/RW.12, Cemp. Putih Bar., Kec. Cemp. Putih, Kota Jakarta Pusat, Daerah Khusus Ibukota Jakarta 10520</t>
  </si>
  <si>
    <t>RT.5/RW.12, Cemp. Putih Bar., Kec. Cemp. Putih, Kota Jakarta Pusat</t>
  </si>
  <si>
    <t>https://maps.google.com/?cid=0x0:0x63b885118d2b478f</t>
  </si>
  <si>
    <t>Cluster Daun - Cempaka Putih Tengah IIC</t>
  </si>
  <si>
    <t>Jl. Cempaka Putih Tengah II C, RT.7/RW.5, Cemp. Putih Tim., Kec. Cemp. Putih, Kota Jakarta Pusat, Daerah Khusus Ibukota Jakarta 10510</t>
  </si>
  <si>
    <t>RT.7/RW.5, Cemp. Putih Tim., Kec. Cemp. Putih, Kota Jakarta Pusat</t>
  </si>
  <si>
    <t>https://maps.google.com/?cid=0x0:0xa358c14ca1e00714</t>
  </si>
  <si>
    <t>https://www.dekoruma.com/properti/dijual-menteng-jakarta-pusat-rumah-luas-oleh-yumara-yA8MFXoN95?srsltid=AfmBOoqcV_Zi56XIprk_vywN2aWE5eoD1ar-VXh7o1dlHGuQlk6AuqTp</t>
  </si>
  <si>
    <t>Singgih Prapto Residence</t>
  </si>
  <si>
    <t>Jl. Percetakan Negara XI A No.10-B, RT.8/RW.5, Rawasari, Kec. Cemp. Putih, Kota Jakarta Pusat, Daerah Khusus Ibukota Jakarta 10570</t>
  </si>
  <si>
    <t>RT.8/RW.5, Rawasari, Kec. Cemp. Putih, Kota Jakarta Pusat</t>
  </si>
  <si>
    <t>https://maps.google.com/?cid=0x0:0xd8174428d30a6b17</t>
  </si>
  <si>
    <t>Komplek perumahan TNI AL Pramuka</t>
  </si>
  <si>
    <t>Jl. Komp. Tni AL No.32, RT.14/RW.8, Rawasari, Kec. Cemp. Putih, Kota Jakarta Pusat, Daerah Khusus Ibukota Jakarta 10570</t>
  </si>
  <si>
    <t>RT.14/RW.8, Rawasari, Kec. Cemp. Putih, Kota Jakarta Pusat</t>
  </si>
  <si>
    <t>https://maps.google.com/?cid=0x0:0xc80e7f0a8415439e</t>
  </si>
  <si>
    <t>Danar residence percetakan negara</t>
  </si>
  <si>
    <t>Jl. Percetakan Negara V B No.4, RT.6/RW.3, Rawasari, Kec. Cemp. Putih, Kota Jakarta Pusat, Daerah Khusus Ibukota Jakarta 10570</t>
  </si>
  <si>
    <t>RT.6/RW.3, Rawasari, Kec. Cemp. Putih, Kota Jakarta Pusat</t>
  </si>
  <si>
    <t>https://maps.google.com/?cid=0x0:0xd490002ceb86afd8</t>
  </si>
  <si>
    <t>https://www.pinhome.id/dijual/rumah-baru/danar-residence</t>
  </si>
  <si>
    <t>Cluster 234 Percetakan Negara</t>
  </si>
  <si>
    <t>Jl. R.Mangun 3 No.234 10, RT.10/RW.1, Rawasari, Kec. Cemp. Putih, Kota Jakarta Pusat, Daerah Khusus Ibukota Jakarta 10570</t>
  </si>
  <si>
    <t>RT.10/RW.1, Rawasari, Kec. Cemp. Putih, Kota Jakarta Pusat</t>
  </si>
  <si>
    <t>https://maps.google.com/?cid=0x0:0x16394700b15674fe</t>
  </si>
  <si>
    <t>Perumahan Permataland</t>
  </si>
  <si>
    <t>Jl. Sekolah, Petojo Utara, Kecamatan Gambir, Kota Jakarta Pusat, Daerah Khusus Ibukota Jakarta 10130</t>
  </si>
  <si>
    <t>Petojo Utara, Kecamatan Gambir, Kota Jakarta Pusat</t>
  </si>
  <si>
    <t>https://maps.google.com/?cid=0x0:0x6c41f57a2c4f0f2</t>
  </si>
  <si>
    <t>SBM RESIDENCES</t>
  </si>
  <si>
    <t>Jl. Petojo Barat No.42 2, RT.2/RW.4, Petojo Utara, Kecamatan Gambir, Kota Jakarta Pusat, Daerah Khusus Ibukota Jakarta 10130</t>
  </si>
  <si>
    <t>RT.2/RW.4, Petojo Utara, Kecamatan Gambir, Kota Jakarta Pusat</t>
  </si>
  <si>
    <t>https://maps.google.com/?cid=0x0:0x8c3de12d1d9953f</t>
  </si>
  <si>
    <t>Komplek Guru Paulus Kecil</t>
  </si>
  <si>
    <t>Jl. Setia Kawan IV No.33, RT.7/RW.7, Duri Pulo, Kecamatan Gambir, Kota Jakarta Pusat, Daerah Khusus Ibukota Jakarta 10140</t>
  </si>
  <si>
    <t>RT.7/RW.7, Duri Pulo, Kecamatan Gambir, Kota Jakarta Pusat</t>
  </si>
  <si>
    <t>https://maps.google.com/?cid=0x0:0x4c85f8fd94cbdb19</t>
  </si>
  <si>
    <t>Octavius residence</t>
  </si>
  <si>
    <t>Jl. Kp. Rw. Sawah No.4, RT.1/RW.1, Kp. Rw., Kec. Johar Baru, Kota Jakarta Pusat, Daerah Khusus Ibukota Jakarta 10550</t>
  </si>
  <si>
    <t>RT.1/RW.1, Kp. Rw., Kec. Johar Baru, Kota Jakarta Pusat</t>
  </si>
  <si>
    <t>https://maps.google.com/?cid=0x0:0x445f239d1a7e6f2d</t>
  </si>
  <si>
    <t>Komplek Bulog Johar Baru</t>
  </si>
  <si>
    <t>Jl. Johar Baru 7 No.1, RT.3/RW.9, Johar Baru, Kec. Johar Baru, Kota Jakarta Pusat, Daerah Khusus Ibukota Jakarta 10560</t>
  </si>
  <si>
    <t>RT.3/RW.9, Johar Baru, Kec. Johar Baru, Kota Jakarta Pusat</t>
  </si>
  <si>
    <t>https://maps.google.com/?cid=0x0:0xcbb9bf1cfa9406a8</t>
  </si>
  <si>
    <t>Komplek Angkasa Pura</t>
  </si>
  <si>
    <t>Jl. Komp. Angkasa Pura Blk. K No.33, RT.13/RW.6, Kb. Kosong, Kec. Kemayoran, Kota Jakarta Pusat, Daerah Khusus Ibukota Jakarta 10630</t>
  </si>
  <si>
    <t>RT.13/RW.6, Kb. Kosong, Kec. Kemayoran, Kota Jakarta Pusat</t>
  </si>
  <si>
    <t>https://maps.google.com/?cid=0x0:0xa360275733160352</t>
  </si>
  <si>
    <t>https://www.99.co/id/komplek-perumahan/10671-angkasa-pura/units</t>
  </si>
  <si>
    <t>Komplek Vila Kemayoran</t>
  </si>
  <si>
    <t>Jl. Angkasa 1 Blk. a No.15, RT.3/RW.10, Gn. Sahari Utara, Kecamatan Sawah Besar, Kota Jakarta Pusat, Daerah Khusus Ibukota Jakarta 10720</t>
  </si>
  <si>
    <t>RT.3/RW.10, Gn. Sahari Utara, Kecamatan Sawah Besar, Kota Jakarta Pusat</t>
  </si>
  <si>
    <t>https://maps.google.com/?cid=0x0:0x31a91eb6fb9b6e1b</t>
  </si>
  <si>
    <t>https://www.99.co/id/komplek-perumahan/35102-villa-kemayoran/units</t>
  </si>
  <si>
    <t>Royalton Residences</t>
  </si>
  <si>
    <t>Jl. Industri Raya, RT.1/RW.7, Gn. Sahari Utara, Kecamatan Sawah Besar, Kota Jakarta Pusat, Daerah Khusus Ibukota Jakarta 10720</t>
  </si>
  <si>
    <t>RT.1/RW.7, Gn. Sahari Utara, Kecamatan Sawah Besar, Kota Jakarta Pusat</t>
  </si>
  <si>
    <t>https://maps.google.com/?cid=0x0:0x3136b50cb58af39a</t>
  </si>
  <si>
    <t>https://www.99.co/id/komplek-perumahan/15219-royalton-residence/units</t>
  </si>
  <si>
    <t>Cluster Flamboyan - Kemayoran</t>
  </si>
  <si>
    <t>Jl. Flamboyan No.20 8, RT.8/RW.2, Serdang, Kec. Kemayoran, Kota Jakarta Pusat, Daerah Khusus Ibukota Jakarta 10650</t>
  </si>
  <si>
    <t>RT.8/RW.2, Serdang, Kec. Kemayoran, Kota Jakarta Pusat</t>
  </si>
  <si>
    <t>https://maps.google.com/?cid=0x0:0xb712e237fcf126b3</t>
  </si>
  <si>
    <t>Perum auri kebantenan indah</t>
  </si>
  <si>
    <t>2, Blok A3 no, Jl. Dakota Raya No.6, Kb. Kosong, Kec. Kemayoran, Kota Jakarta Pusat, Daerah Khusus Ibukota Jakarta 10630</t>
  </si>
  <si>
    <t>Blok A3 no, Jl. Dakota Raya No.6, Kb. Kosong, Kec. Kemayoran, Kota Jakarta Pusat</t>
  </si>
  <si>
    <t>https://maps.google.com/?cid=0x0:0xbc3103a80cb9f738</t>
  </si>
  <si>
    <t>https://pashouses.id/rumah/komplek-tni-au-kebantenan-indah</t>
  </si>
  <si>
    <t>Otoritas Perumahan</t>
  </si>
  <si>
    <t>Griya Agung Permai</t>
  </si>
  <si>
    <t>Griya agung permai Jl. Sumur Batu Raya No.RT.15, RT.15/RW.5, Cemp. Baru, Kec. Kemayoran, Kota Jakarta Pusat, Daerah Khusus Ibukota Jakarta 10640</t>
  </si>
  <si>
    <t>RT.15/RW.5, Cemp. Baru, Kec. Kemayoran, Kota Jakarta Pusat</t>
  </si>
  <si>
    <t>https://maps.google.com/?cid=0x0:0xcd7a5d57d42434d</t>
  </si>
  <si>
    <t>https://www.rumah123.com/venue/griya-agung-permai-vcm21789/</t>
  </si>
  <si>
    <t>Perhimpunan Pengembang Perumahan</t>
  </si>
  <si>
    <t>Komplek Mess Pelni</t>
  </si>
  <si>
    <t>Jl. Pembangunan III No.11 10, RT.6/RW.2, Petojo Utara, Kecamatan Gambir, Kota Jakarta Pusat, Daerah Khusus Ibukota Jakarta 10130</t>
  </si>
  <si>
    <t>RT.6/RW.2, Petojo Utara, Kecamatan Gambir, Kota Jakarta Pusat</t>
  </si>
  <si>
    <t>https://maps.google.com/?cid=0x0:0xc5e11a69156dba93</t>
  </si>
  <si>
    <t>Perumahan Bumi trias alam sejahtera</t>
  </si>
  <si>
    <t>RV6C+6JX, RT.13/RW.9, Rawasari, Kec. Cemp. Putih, Kota Jakarta Pusat, Daerah Khusus Ibukota Jakarta 10570</t>
  </si>
  <si>
    <t>RT.13/RW.9, Rawasari, Kec. Cemp. Putih, Kota Jakarta Pusat</t>
  </si>
  <si>
    <t>https://maps.google.com/?cid=0x0:0xe91278c85f714879</t>
  </si>
  <si>
    <t>Gedung Apartemen</t>
  </si>
  <si>
    <t>Komplek polri</t>
  </si>
  <si>
    <t>Jl. Tambak II No.20 9, RT.17/RW.5, Pegangsaan, Kec. Menteng, Kota Jakarta Pusat, Daerah Khusus Ibukota Jakarta 10320</t>
  </si>
  <si>
    <t>RT.17/RW.5, Pegangsaan, Kec. Menteng, Kota Jakarta Pusat</t>
  </si>
  <si>
    <t>https://maps.google.com/?cid=0x0:0x4037d81e10e41bdc</t>
  </si>
  <si>
    <t>Mandala Residence</t>
  </si>
  <si>
    <t>Jl. Guru Demar No.121 8, RT.8/RW.1, Cikini, Kec. Menteng, Kota Jakarta Pusat, Daerah Khusus Ibukota Jakarta 10330</t>
  </si>
  <si>
    <t>RT.8/RW.1, Cikini, Kec. Menteng, Kota Jakarta Pusat</t>
  </si>
  <si>
    <t>https://maps.google.com/?cid=0x0:0x7a15df25eb554dab</t>
  </si>
  <si>
    <t>CM’s Residence (TSK #5)</t>
  </si>
  <si>
    <t>Jl. Taman Sunda Kelapa No.5, RT.6/RW.4, Menteng, Kec. Menteng, Kota Jakarta Pusat, Daerah Khusus Ibukota Jakarta 10310</t>
  </si>
  <si>
    <t>RT.6/RW.4, Menteng, Kec. Menteng, Kota Jakarta Pusat</t>
  </si>
  <si>
    <t>https://maps.google.com/?cid=0x0:0xdd44c714dc498c0b</t>
  </si>
  <si>
    <t>Ayalis Residence @ Menteng</t>
  </si>
  <si>
    <t>Jl. Matraman Dalam III No.43, Pegangsaan, Kec. Menteng, Kota Jakarta Pusat, Daerah Khusus Ibukota Jakarta 10320</t>
  </si>
  <si>
    <t>Pegangsaan, Kec. Menteng, Kota Jakarta Pusat</t>
  </si>
  <si>
    <t>https://maps.google.com/?cid=0x0:0xc76d6b4c5c7644c7</t>
  </si>
  <si>
    <t>https://www.dekoruma.com/properti/perumahan-ayalis-residence-jakarta-pusat?srsltid=AfmBOorcYBHaXzQTQyYZvNDkG2VWmpWHOmJ76_Hafqoe-ZaICqh-EtM4</t>
  </si>
  <si>
    <t>Perumahan Pasar Baru Villa</t>
  </si>
  <si>
    <t>Jl. Pintu Besi I No.12B, RT.2/RW.5, Ps. Baru, Kecamatan Sawah Besar, Kota Jakarta Pusat, Daerah Khusus Ibukota Jakarta 10710</t>
  </si>
  <si>
    <t>RT.2/RW.5, Ps. Baru, Kecamatan Sawah Besar, Kota Jakarta Pusat</t>
  </si>
  <si>
    <t>https://maps.google.com/?cid=0x0:0x36f6f633225f871e</t>
  </si>
  <si>
    <t>http://rumah123.com/venue/villa-pasar-baru-vcm28624/</t>
  </si>
  <si>
    <t>Komplek Taman Kartini Jakarta Pusat</t>
  </si>
  <si>
    <t>Jl. Kartini Raya No.64, RT.15/RW.2, Kartini, Kecamatan Sawah Besar, Kota Jakarta Pusat, Daerah Khusus Ibukota Jakarta 10750</t>
  </si>
  <si>
    <t>RT.15/RW.2, Kartini, Kecamatan Sawah Besar, Kota Jakarta Pusat</t>
  </si>
  <si>
    <t>https://maps.google.com/?cid=0x0:0xb1755a0424829e52</t>
  </si>
  <si>
    <t>Toko</t>
  </si>
  <si>
    <t>Ruko Karang Anyar Permai Lama</t>
  </si>
  <si>
    <t>Ruko Karang Anyar Permai, blok c38, RT.4/RW.2, Karang Anyar, Kecamatan Sawah Besar, Kota Jakarta Pusat, Daerah Khusus Ibukota Jakarta 10740</t>
  </si>
  <si>
    <t>blok c38, RT.4/RW.2, Karang Anyar, Kecamatan Sawah Besar, Kota Jakarta Pusat</t>
  </si>
  <si>
    <t>https://maps.google.com/?cid=0x0:0x1c8ef7cd886676b7</t>
  </si>
  <si>
    <t>Komplek Permata Angkasa</t>
  </si>
  <si>
    <t>VR2Q+8JG, Jl. Industri Raya, RT.13/RW.6, Gn. Sahari Utara, Kecamatan Sawah Besar, Kota Jakarta Pusat, Daerah Khusus Ibukota Jakarta 10720</t>
  </si>
  <si>
    <t>Jl. Industri Raya, RT.13/RW.6, Gn. Sahari Utara, Kecamatan Sawah Besar, Kota Jakarta Pusat</t>
  </si>
  <si>
    <t>https://maps.google.com/?cid=0x0:0xbd7a35c1ab45685e</t>
  </si>
  <si>
    <t>https://www.99.co/id/komplek-perumahan/19898-permata-angkasa/units</t>
  </si>
  <si>
    <t>Komplek BJI Mangga Dua</t>
  </si>
  <si>
    <t>Jl. Semangat No.58, RT.17/RW.7, Mangga Dua Sel., Kecamatan Sawah Besar, Kota Jakarta Pusat, Daerah Khusus Ibukota Jakarta 10730</t>
  </si>
  <si>
    <t>RT.17/RW.7, Mangga Dua Sel., Kecamatan Sawah Besar, Kota Jakarta Pusat</t>
  </si>
  <si>
    <t>https://maps.google.com/?cid=0x0:0xd17f65782dd152f0</t>
  </si>
  <si>
    <t>rumah123.com</t>
  </si>
  <si>
    <t>Komplek Ruko Gatep 17/19</t>
  </si>
  <si>
    <t>Jl. Gatep No.3, RT.3/RW.6, Mangga Dua Sel., Kecamatan Sawah Besar, Kota Jakarta Pusat, Daerah Khusus Ibukota Jakarta 10730</t>
  </si>
  <si>
    <t>RT.3/RW.6, Mangga Dua Sel., Kecamatan Sawah Besar, Kota Jakarta Pusat</t>
  </si>
  <si>
    <t>https://maps.google.com/?cid=0x0:0x693f667329a4cb04</t>
  </si>
  <si>
    <t>Rumah Kayu</t>
  </si>
  <si>
    <t>Kompleks Kernolong</t>
  </si>
  <si>
    <t>Kompleks Kernolong 1 Jl. Kernolong I No.RT.3, RW.8, Kenari, Kec. Senen, Kota Jakarta Pusat, Daerah Khusus Ibukota Jakarta 10430</t>
  </si>
  <si>
    <t>RW.8, Kenari, Kec. Senen, Kota Jakarta Pusat</t>
  </si>
  <si>
    <t>https://maps.google.com/?cid=0x0:0x9ea0ede5c189414f</t>
  </si>
  <si>
    <t>komplek housing</t>
  </si>
  <si>
    <t>Perumahan gaha bumantara kirana 1</t>
  </si>
  <si>
    <t>RR3X+VW4, Jl Haji Yusuf, Kenari, Kec. Senen, Kota Jakarta Pusat, Daerah Khusus Ibukota Jakarta</t>
  </si>
  <si>
    <t>Kota Jakarta Pusat, Daerah Khusus Ibukota Jakarta</t>
  </si>
  <si>
    <t>https://maps.google.com/?cid=0x0:0xec9059bcea9d52b4</t>
  </si>
  <si>
    <t>Perumahan GSI KRAMAT WATU Serang</t>
  </si>
  <si>
    <t>Bl0k D3 No.09, RT.2/RW.5, kramat watu, Kec. Senen, Kota Jakarta Pusat, Daerah Khusus Ibukota Jakarta 10450</t>
  </si>
  <si>
    <t>RT.2/RW.5, kramat watu, Kec. Senen, Kota Jakarta Pusat</t>
  </si>
  <si>
    <t>https://maps.google.com/?cid=0x0:0x858cc91e11edb6ec</t>
  </si>
  <si>
    <t>Taman</t>
  </si>
  <si>
    <t>Komplek Gelora Bung Karno</t>
  </si>
  <si>
    <t>Jl. Pintu Satu Senayan, Gelora, Kecamatan Tanah Abang, Kota Jakarta Pusat, Daerah Khusus Ibukota Jakarta 10270</t>
  </si>
  <si>
    <t>Gelora, Kecamatan Tanah Abang, Kota Jakarta Pusat</t>
  </si>
  <si>
    <t>https://maps.google.com/?cid=0x0:0xe0b6ad924afd76f0</t>
  </si>
  <si>
    <t>Wais Tentakel Residence</t>
  </si>
  <si>
    <t>Jalan Jati Jl. Petamburan I No.4, RT.1/RW.1, Petamburan, Kecamatan Tanah Abang, Kota Jakarta Pusat, Daerah Khusus Ibukota Jakarta 10260</t>
  </si>
  <si>
    <t>RT.1/RW.1, Petamburan, Kecamatan Tanah Abang, Kota Jakarta Pusat</t>
  </si>
  <si>
    <t>https://maps.google.com/?cid=0x0:0xd8ee14d1e0ef37cb</t>
  </si>
  <si>
    <t>Taman Jati Petamburan no.11</t>
  </si>
  <si>
    <t>Jl. Taman Jati Petamburan No.11 1, RT.1/RW.2, Petamburan, Kecamatan Tanah Abang, Kota Jakarta Pusat, Daerah Khusus Ibukota Jakarta 10260</t>
  </si>
  <si>
    <t>RT.1/RW.2, Petamburan, Kecamatan Tanah Abang, Kota Jakarta Pusat</t>
  </si>
  <si>
    <t>https://maps.google.com/?cid=0x0:0x3727749427809db6</t>
  </si>
  <si>
    <t>Penginapan Dalam Ruangan</t>
  </si>
  <si>
    <t>GreenHome Residence Poso</t>
  </si>
  <si>
    <t>Jl. Danau Poso No.18 A 12, RT.12/RW.4, Bend. Hilir, Kecamatan Tanah Abang, Kota Jakarta Pusat, Daerah Khusus Ibukota Jakarta 10210</t>
  </si>
  <si>
    <t>RT.12/RW.4, Bend. Hilir, Kecamatan Tanah Abang, Kota Jakarta Pusat</t>
  </si>
  <si>
    <t>https://maps.google.com/?cid=0x0:0x6287d51e64a38ce6</t>
  </si>
  <si>
    <t>Maraja Residence</t>
  </si>
  <si>
    <t>Mandiri, Jl. Gelora, Gelora, Kecamatan Tanah Abang, Kota Jakarta Pusat, Daerah Khusus Ibukota Jakarta 10270</t>
  </si>
  <si>
    <t>Jl. Gelora, Gelora, Kecamatan Tanah Abang, Kota Jakarta Pusat</t>
  </si>
  <si>
    <t>https://maps.google.com/?cid=0x0:0xb7700db6461a0a7f</t>
  </si>
  <si>
    <t>Grand Balaraja residence</t>
  </si>
  <si>
    <t>Jl. Cendana No.12 blok E6, RT.3/RW.5, Gondangdia, Kec. Menteng, Kota Jakarta Pusat, Daerah Khusus Ibukota Jakarta 10350</t>
  </si>
  <si>
    <t>RT.3/RW.5, Gondangdia, Kec. Menteng, Kota Jakarta Pusat</t>
  </si>
  <si>
    <t>https://maps.google.com/?cid=0x0:0x83cfb060f659919d</t>
  </si>
  <si>
    <t>The Dutch Ambassador's Residence</t>
  </si>
  <si>
    <t>Jl. Pangeran Diponegoro No.39, RT.15/RW.5, Menteng, Kec. Menteng, Kota Jakarta Pusat, Daerah Khusus Ibukota Jakarta 10310</t>
  </si>
  <si>
    <t>RT.15/RW.5, Menteng, Kec. Menteng, Kota Jakarta Pusat</t>
  </si>
  <si>
    <t>https://maps.google.com/?cid=0x0:0xee8929b07123e1e6</t>
  </si>
  <si>
    <t>Griya Mandala (Matraman Dalam)</t>
  </si>
  <si>
    <t>Jl. Matraman Dalam III No.20A, RT.7/RW.7, Pegangsaan, Kec. Menteng, Kota Jakarta Pusat, Daerah Khusus Ibukota Jakarta 10320</t>
  </si>
  <si>
    <t>RT.7/RW.7, Pegangsaan, Kec. Menteng, Kota Jakarta Pusat</t>
  </si>
  <si>
    <t>https://maps.google.com/?cid=0x0:0x7877afbbc131c19e</t>
  </si>
  <si>
    <t>Perumahan sitorus</t>
  </si>
  <si>
    <t>RRMM+4JF, jalan gotong royong, Sigagak, Ps. Baru, Kecamatan Sawah Besar, Kota Jakarta Pusat, Daerah Khusus Ibukota Jakarta</t>
  </si>
  <si>
    <t>https://maps.google.com/?cid=0x0:0x14104072691c4cc4</t>
  </si>
  <si>
    <t>Kompleks Perumahan Bumi Jayakarta Indah</t>
  </si>
  <si>
    <t>Jl. Semangat No.17, RT.17/RW.11, Mangga Dua Sel., Kecamatan Sawah Besar, Kota Jakarta Pusat, Daerah Khusus Ibukota Jakarta 10730</t>
  </si>
  <si>
    <t>RT.17/RW.11, Mangga Dua Sel., Kecamatan Sawah Besar, Kota Jakarta Pusat</t>
  </si>
  <si>
    <t>https://maps.google.com/?cid=0x0:0xf1cf4b6cab95cdce</t>
  </si>
  <si>
    <t>https://www.rumah123.com/properti/jakarta-barat/hos8724662/</t>
  </si>
  <si>
    <t>Komplek BJI Mangga Dua~ Karman Delilah</t>
  </si>
  <si>
    <t>Jl. Semangat No.19, RT.17/RW.11, Mangga Dua Sel., Kecamatan Sawah Besar, Kota Jakarta Pusat, Daerah Khusus Ibukota Jakarta 10730</t>
  </si>
  <si>
    <t>https://maps.google.com/?cid=0x0:0x3d9b10fd2a40d466</t>
  </si>
  <si>
    <t>Pembangunan Perumahan</t>
  </si>
  <si>
    <t>Cluster DeRuci Townhouse</t>
  </si>
  <si>
    <t>Jl. Kembang Pacar No.10, RT.10/RW.3, Kramat, Kec. Senen, Kota Jakarta Pusat, Daerah Khusus Ibukota Jakarta 10450</t>
  </si>
  <si>
    <t>RT.10/RW.3, Kramat, Kec. Senen, Kota Jakarta Pusat</t>
  </si>
  <si>
    <t>https://maps.google.com/?cid=0x0:0x429344fa2f23703a</t>
  </si>
  <si>
    <t>https://www.dekoruma.com/properti/dijual-senen-jakarta-pusat-rumah-2-lantai-modern-oleh-pandu-renkBUYPjS?srsltid=AfmBOoq52sQOAp_0TbmMcIa07JTQOcWIprDTAP9ShanwbOedxDpY7VVH</t>
  </si>
  <si>
    <t>Yayasan Kesejahteraan Pendidikan Dan Perumahan</t>
  </si>
  <si>
    <t>Jl. Kramat Kwitang No.21 1, RT.1/RW.4, Kwitang, Kec. Senen, Kota Jakarta Pusat, Daerah Khusus Ibukota Jakarta 10420</t>
  </si>
  <si>
    <t>RT.1/RW.4, Kwitang, Kec. Senen, Kota Jakarta Pusat</t>
  </si>
  <si>
    <t>https://maps.google.com/?cid=0x0:0x83450972e83d591e</t>
  </si>
  <si>
    <t>Anggrek Residence Senin</t>
  </si>
  <si>
    <t>Jl. Anggrek No.17, RT.1/RW.1, Kramat, Kec. Senen, Kota Jakarta Pusat, Daerah Khusus Ibukota Jakarta 10450</t>
  </si>
  <si>
    <t>RT.1/RW.1, Kramat, Kec. Senen, Kota Jakarta Pusat</t>
  </si>
  <si>
    <t>https://maps.google.com/?cid=0x0:0x3335c864b9274ac5</t>
  </si>
  <si>
    <t>Toko Aksesori Komputer</t>
  </si>
  <si>
    <t>ONASIS RESIDENCE</t>
  </si>
  <si>
    <t>Onasis Residence Jl. Kramat Sawah XIV Gg. H. Ayub No.E341 Kav A-J, RT.11/RW.7, Paseban, Kec. Senen, Kota Jakarta Pusat, Daerah Khusus Ibukota Jakarta 10440</t>
  </si>
  <si>
    <t>RT.11/RW.7, Paseban, Kec. Senen, Kota Jakarta Pusat</t>
  </si>
  <si>
    <t>https://maps.google.com/?cid=0x0:0x1901db8554679642</t>
  </si>
  <si>
    <t>Komplek Polri</t>
  </si>
  <si>
    <t>RQX7+5WW, Komplek, RT.7/RW.2, Kedaung Kali Angke, Kecamatan Cengkareng, Kota Jakarta Barat, Daerah Khusus Ibukota Jakarta 11710</t>
  </si>
  <si>
    <t>Komplek, RT.7/RW.2, Kedaung Kali Angke, Kecamatan Cengkareng, Kota Jakarta Barat</t>
  </si>
  <si>
    <t>https://maps.google.com/?cid=0x0:0x6041248406bd2c8b</t>
  </si>
  <si>
    <t>Perumahan Mitra Ganda</t>
  </si>
  <si>
    <t>komplek sabar ganda, Jl. Sayur Asem No.10 Blok A, RT.2/RW.6, Joglo, Kec. Kembangan, Kota Jakarta Barat, Daerah Khusus Ibukota Jakarta 11640</t>
  </si>
  <si>
    <t>Jl. Sayur Asem No.10 Blok A, RT.2/RW.6, Joglo, Kec. Kembangan, Kota Jakarta Barat</t>
  </si>
  <si>
    <t>https://maps.google.com/?cid=0x0:0x52888f6232df6d8a</t>
  </si>
  <si>
    <t>Agen Properti</t>
  </si>
  <si>
    <t>Permata Puri Media</t>
  </si>
  <si>
    <t>Jl. Kembangan Raya No.55, RT.3/RW.1, Kembangan Utara, Kec. Kembangan, Kota Jakarta Barat, Daerah Khusus Ibukota Jakarta 11610</t>
  </si>
  <si>
    <t>RT.3/RW.1, Kembangan Utara, Kec. Kembangan, Kota Jakarta Barat</t>
  </si>
  <si>
    <t>https://maps.google.com/?cid=0x0:0x93729a82ec90bf04</t>
  </si>
  <si>
    <t>https://www.99.co/id/komplek-perumahan/1343-permata-puri-media/units</t>
  </si>
  <si>
    <t>Komplek HW</t>
  </si>
  <si>
    <t>Jl. F Perjuangan No.48, RT.10/RW.10, Kb. Jeruk, Kec. Kb. Jeruk, Kota Jakarta Barat, Daerah Khusus Ibukota Jakarta 11530</t>
  </si>
  <si>
    <t>RT.10/RW.10, Kb. Jeruk, Kec. Kb. Jeruk, Kota Jakarta Barat</t>
  </si>
  <si>
    <t>https://maps.google.com/?cid=0x0:0x3e8f79093aa1bd03</t>
  </si>
  <si>
    <t>Komplek Grogol Permai</t>
  </si>
  <si>
    <t>Jl. Jelambar I Blok G No.9 RT.1/RW.7 RT.1, RT.1/RW.5, Jelambar, Kec. Grogol petamburan, Kota Jakarta Barat, Daerah Khusus Ibukota Jakarta 11460</t>
  </si>
  <si>
    <t>RT.1/RW.5, Jelambar, Kec. Grogol petamburan, Kota Jakarta Barat</t>
  </si>
  <si>
    <t>https://maps.google.com/?cid=0x0:0x16e24a10a8b7eb84</t>
  </si>
  <si>
    <t>https://www.lamudi.co.id/jual/jakarta/jakarta-barat/dijual-cepat-ruko-4-5-lantai-di-komplek-grogol-per-169951401927/</t>
  </si>
  <si>
    <t>Saba Residences</t>
  </si>
  <si>
    <t>Jl. H. Sa'aba No.8f, RT.13/RW.9, Meruya Sel., Kec. Kembangan, Kota Jakarta Barat, Daerah Khusus Ibukota Jakarta 11650</t>
  </si>
  <si>
    <t>RT.13/RW.9, Meruya Sel., Kec. Kembangan, Kota Jakarta Barat</t>
  </si>
  <si>
    <t>https://maps.google.com/?cid=0x0:0x8d9605a4626c9211</t>
  </si>
  <si>
    <t>https://www.rumah123.com/properti/jakarta-barat/hos8168685/</t>
  </si>
  <si>
    <t>PERUMAHAN BUMI CENGKARENG PERMAI</t>
  </si>
  <si>
    <t>Taman Jl. Nusa Indah No.B3, RT.16/RW.9, Kapuk, Kecamatan Cengkareng, Kota Jakarta Barat, Daerah Khusus Ibukota Jakarta 11720</t>
  </si>
  <si>
    <t>RT.16/RW.9, Kapuk, Kecamatan Cengkareng, Kota Jakarta Barat</t>
  </si>
  <si>
    <t>https://maps.google.com/?cid=0x0:0x70ef7dc12e3d123</t>
  </si>
  <si>
    <t>https://www.rumah123.com/properti/jakarta-barat/hos5930138/</t>
  </si>
  <si>
    <t>Eiffel Residence Cengkareng Jaya</t>
  </si>
  <si>
    <t>Gg. Kenanga V, RT.1/RW.10, Cengkareng Bar., Kecamatan Cengkareng, Kota Jakarta Barat, Daerah Khusus Ibukota Jakarta 11730</t>
  </si>
  <si>
    <t>RT.1/RW.10, Cengkareng Bar., Kecamatan Cengkareng, Kota Jakarta Barat</t>
  </si>
  <si>
    <t>https://maps.google.com/?cid=0x0:0xb6571ade3670cc8f</t>
  </si>
  <si>
    <t>https://www.rumah123.com/venue/cengkareng-residence-vcm21201/</t>
  </si>
  <si>
    <t>Golf Lake Residence Cengkareng</t>
  </si>
  <si>
    <t>Jl. Sand Hill 2 No.37, RT.10/RW.14, Cengkareng Tim., Kecamatan Cengkareng, Kota Jakarta Barat, Daerah Khusus Ibukota Jakarta 11730</t>
  </si>
  <si>
    <t>RT.10/RW.14, Cengkareng Tim., Kecamatan Cengkareng, Kota Jakarta Barat</t>
  </si>
  <si>
    <t>https://maps.google.com/?cid=0x0:0x69e09bf0aa3f7eba</t>
  </si>
  <si>
    <t>https://www.99.co/id/komplek-perumahan/112-golf-lake-residence/units</t>
  </si>
  <si>
    <t>Cluster Sand Hills</t>
  </si>
  <si>
    <t>Cluster Jl. Sand Hill No.76 blok SH2, Cengkareng Tim., Kecamatan Cengkareng, Kota Jakarta Barat, Daerah Khusus Ibukota Jakarta 11730</t>
  </si>
  <si>
    <t>Cengkareng Tim., Kecamatan Cengkareng, Kota Jakarta Barat</t>
  </si>
  <si>
    <t>https://maps.google.com/?cid=0x0:0xb575c393c99fa95f</t>
  </si>
  <si>
    <t>https://www.rumah123.com/properti/jakarta-barat/hos18989830/</t>
  </si>
  <si>
    <t>Casagoya Park Residence</t>
  </si>
  <si>
    <t>QQXJ+X6X, Jl. Casa Goya, RT.2/RW.9, Kb. Jeruk, Kec. Kb. Jeruk, Kota Jakarta Barat, Daerah Khusus Ibukota Jakarta 11530</t>
  </si>
  <si>
    <t>Jl. Casa Goya, RT.2/RW.9, Kb. Jeruk, Kec. Kb. Jeruk, Kota Jakarta Barat</t>
  </si>
  <si>
    <t>https://maps.google.com/?cid=0x0:0x9e3ee525287a945c</t>
  </si>
  <si>
    <t>https://www.99.co/id/komplek-perumahan/22516-casa-goya-park-residence/units</t>
  </si>
  <si>
    <t>Cluster Zayadi (A,B,C)</t>
  </si>
  <si>
    <t>Jl. Idris.29C, RT.1/RW.11, Sukabumi Utara, Kec. Kb. Jeruk, Kota Jakarta Barat, Daerah Khusus Ibukota Jakarta 11540, Jakarta, Daerah Khusus Ibukota Jakarta 11430</t>
  </si>
  <si>
    <t>Sukabumi Utara, Kec. Kb. Jeruk, Kota Jakarta Barat, Daerah Khusus Ibukota Jakarta</t>
  </si>
  <si>
    <t>https://maps.google.com/?cid=0x0:0x7b8b115c4fd5ef02</t>
  </si>
  <si>
    <t>Perumahan Bulog</t>
  </si>
  <si>
    <t>QQJF+R8Q, Jl. Raya Pos Pengumben, RT.1/RW.8, Sukabumi Utara, Kec. Kb. Jeruk, Kota Jakarta Barat, Daerah Khusus Ibukota Jakarta 11550</t>
  </si>
  <si>
    <t>Jl. Raya Pos Pengumben, RT.1/RW.8, Sukabumi Utara, Kec. Kb. Jeruk, Kota Jakarta Barat</t>
  </si>
  <si>
    <t>https://maps.google.com/?cid=0x0:0xb6d7c6c0e3b1786c</t>
  </si>
  <si>
    <t>Perumahan Palm Blossom</t>
  </si>
  <si>
    <t>Jl. Bulak Simpul, Pegadungan, Kec. Kalideres, Kota Jakarta Barat, Daerah Khusus Ibukota Jakarta 11830</t>
  </si>
  <si>
    <t>Pegadungan, Kec. Kalideres, Kota Jakarta Barat</t>
  </si>
  <si>
    <t>https://maps.google.com/?cid=0x0:0x67ec28c3b1025f5e</t>
  </si>
  <si>
    <t>https://www.99.co/id/komplek-perumahan/105253-palm-blossom/units</t>
  </si>
  <si>
    <t>Perumahan citra 1</t>
  </si>
  <si>
    <t>blok G6 nomor 1, Jl. Perumahan Citra 1, Kalideres, Kec. Kalideres, Kota Jakarta Barat, Daerah Khusus Ibukota Jakarta 11840</t>
  </si>
  <si>
    <t>Jl. Perumahan Citra 1, Kalideres, Kec. Kalideres, Kota Jakarta Barat</t>
  </si>
  <si>
    <t>https://maps.google.com/?cid=0x0:0x245ce1c1d39a5655</t>
  </si>
  <si>
    <t>https://www.lamudi.co.id/search-result/rumah-citra-1-cengkareng/</t>
  </si>
  <si>
    <t>Puri Botanical Residence</t>
  </si>
  <si>
    <t>Jl. Meruya Selatan No.36, RT.5/RW.1, Joglo, Kec. Kembangan, Kota Jakarta Barat, Daerah Khusus Ibukota Jakarta 11640</t>
  </si>
  <si>
    <t>RT.5/RW.1, Joglo, Kec. Kembangan, Kota Jakarta Barat</t>
  </si>
  <si>
    <t>https://maps.google.com/?cid=0x0:0x645acab75008e6c4</t>
  </si>
  <si>
    <t>https://www.99.co/id/komplek-perumahan/1306-puri-botanical-residence/units</t>
  </si>
  <si>
    <t>Aries Asri 7</t>
  </si>
  <si>
    <t>Jl. Aries Asri VII No.E16, RT.10/RW.8, Meruya Utara, Kec. Kembangan, Kota Jakarta Barat, Daerah Khusus Ibukota Jakarta 11620</t>
  </si>
  <si>
    <t>RT.10/RW.8, Meruya Utara, Kec. Kembangan, Kota Jakarta Barat</t>
  </si>
  <si>
    <t>https://maps.google.com/?cid=0x0:0x81d2c0b6cd52d397</t>
  </si>
  <si>
    <t>Perumahan Permata Regency</t>
  </si>
  <si>
    <t>Jl. Permata Regency No.1, RT.7/RW.6, Srengseng, Kec. Kembangan, Kota Jakarta Barat, Daerah Khusus Ibukota Jakarta 11630</t>
  </si>
  <si>
    <t>RT.7/RW.6, Srengseng, Kec. Kembangan, Kota Jakarta Barat</t>
  </si>
  <si>
    <t>https://maps.google.com/?cid=0x0:0xe9341d16964d53e9</t>
  </si>
  <si>
    <t>https://www.99.co/id/komplek-perumahan/5851-permata-regency/units</t>
  </si>
  <si>
    <t>Perumahan griya srengseng</t>
  </si>
  <si>
    <t>Jl. Pemancingan Perumahan Griya Srengseng No.9, RT.7/RW.5, Kembangan Utara, Kec. Kembangan, Kota Jakarta Barat, Daerah Khusus Ibukota Jakarta 11630</t>
  </si>
  <si>
    <t>RT.7/RW.5, Kembangan Utara, Kec. Kembangan, Kota Jakarta Barat</t>
  </si>
  <si>
    <t>https://maps.google.com/?cid=0x0:0xdd8175b4468f77d0</t>
  </si>
  <si>
    <t>Puri Botanical</t>
  </si>
  <si>
    <t>QPJR+82H, Jl. Michelia 4, RT.7/RW.1, Joglo, Kec. Kembangan, Kota Jakarta Barat, Daerah Khusus Ibukota Jakarta 11640</t>
  </si>
  <si>
    <t>Jl. Michelia 4, RT.7/RW.1, Joglo, Kec. Kembangan, Kota Jakarta Barat</t>
  </si>
  <si>
    <t>https://maps.google.com/?cid=0x0:0xda288237482ea04</t>
  </si>
  <si>
    <t>Komplek Militer</t>
  </si>
  <si>
    <t>Komplek Kemhan Mabes TNI Sukabumi Utara</t>
  </si>
  <si>
    <t>Jl. Rafflesia No.2, RT.2/RW.4, Sukabumi Utara, Kec. Kb. Jeruk, Kota Jakarta Barat, Daerah Khusus Ibukota Jakarta 11540</t>
  </si>
  <si>
    <t>RT.2/RW.4, Sukabumi Utara, Kec. Kb. Jeruk, Kota Jakarta Barat</t>
  </si>
  <si>
    <t>https://maps.google.com/?cid=0x0:0x93efedb146938a87</t>
  </si>
  <si>
    <t>Residence Casa Jardin</t>
  </si>
  <si>
    <t>Jl. Daan Mogot No.Km. 11, RT.1/RW.4, Kedaung Kali Angke, Kecamatan Cengkareng, Kota Jakarta Barat, Daerah Khusus Ibukota Jakarta 11710</t>
  </si>
  <si>
    <t>RT.1/RW.4, Kedaung Kali Angke, Kecamatan Cengkareng, Kota Jakarta Barat</t>
  </si>
  <si>
    <t>https://maps.google.com/?cid=0x0:0xfac206204b9840f4</t>
  </si>
  <si>
    <t>https://www.rumah123.com/perumahan-baru/properti/jakarta-barat/casa-jardin-residence/nps3275/</t>
  </si>
  <si>
    <t>Perumahan Cengkareng Indah</t>
  </si>
  <si>
    <t>Jl. Cengkareng Indah No.13 Blok FD, Kapuk, Kecamatan Cengkareng, Kota Jakarta Barat, Daerah Khusus Ibukota Jakarta 11720</t>
  </si>
  <si>
    <t>Kapuk, Kecamatan Cengkareng, Kota Jakarta Barat</t>
  </si>
  <si>
    <t>https://maps.google.com/?cid=0x0:0xc7ad9a93e67a10c5</t>
  </si>
  <si>
    <t>https://www.99.co/id/komplek-perumahan/8054-cengkareng-indah/units</t>
  </si>
  <si>
    <t>Perumahan Kosambi Baru</t>
  </si>
  <si>
    <t>Jl. Pinang Tengah Blok Dex 2 No.39, RT.9/RW.13, Duri Kosambi, Kecamatan Cengkareng, Kota Jakarta Barat, Daerah Khusus Ibukota Jakarta 11750</t>
  </si>
  <si>
    <t>RT.9/RW.13, Duri Kosambi, Kecamatan Cengkareng, Kota Jakarta Barat</t>
  </si>
  <si>
    <t>https://maps.google.com/?cid=0x0:0xcb51ca80da9ef9ef</t>
  </si>
  <si>
    <t>https://rumah.trovit.co.id/perumahan-kosambi-baru</t>
  </si>
  <si>
    <t>Perumahan Cengkareng Elok</t>
  </si>
  <si>
    <t>Jl. Bangun Nusa Raya No.9 9, RT.9/RW.2, Cengkareng Tim., Kecamatan Cengkareng, Kota Jakarta Barat, Daerah Khusus Ibukota Jakarta 11730</t>
  </si>
  <si>
    <t>RT.9/RW.2, Cengkareng Tim., Kecamatan Cengkareng, Kota Jakarta Barat</t>
  </si>
  <si>
    <t>https://maps.google.com/?cid=0x0:0xbb7cb17ce86649df</t>
  </si>
  <si>
    <t>https://www.99.co/id/komplek-perumahan/10799-cengkareng-elok/units</t>
  </si>
  <si>
    <t>Perumahan Greencourt</t>
  </si>
  <si>
    <t>Jl. Felicium III No.3 7, RT.7/RW.11, Kapuk, Kecamatan Cengkareng, Kota Jakarta Barat, Daerah Khusus Ibukota Jakarta 11720</t>
  </si>
  <si>
    <t>RT.7/RW.11, Kapuk, Kecamatan Cengkareng, Kota Jakarta Barat</t>
  </si>
  <si>
    <t>https://maps.google.com/?cid=0x0:0xa29c63c521686b9a</t>
  </si>
  <si>
    <t>https://rumah.trovit.co.id/rumah-green-court-cengkareng</t>
  </si>
  <si>
    <t>PERUMAHAN CENDRAWASIH RESIDENCE CENGKARENG</t>
  </si>
  <si>
    <t>Jl. Cendrawasih V, RT.5/RW.6, Cengkareng Bar., Kecamatan Cengkareng, Kota Jakarta Barat, Daerah Khusus Ibukota Jakarta 11730</t>
  </si>
  <si>
    <t>RT.5/RW.6, Cengkareng Bar., Kecamatan Cengkareng, Kota Jakarta Barat</t>
  </si>
  <si>
    <t>https://maps.google.com/?cid=0x0:0x229e776c13c4ae9b</t>
  </si>
  <si>
    <t>https://www.dekoruma.com/properti/dijual-cengkareng-jakarta-barat-rumah-3-lantai-santai-oleh-budi-wijaya-0tUDPbUn8Y?srsltid=AfmBOoq9wOl42xifEq7gJu_rONuJyePHFp66b6lBOecdDmWpjmlxJpON</t>
  </si>
  <si>
    <t>Komplek Imigrasi Kertapawitan</t>
  </si>
  <si>
    <t>Jl.Daan Mogot KM.14, Cengkareng Barat, RT.8/RW.2, Cengkareng Bar., Jakarta Barat, DKI Jakarta, Daerah Khusus Ibukota Jakarta 11730</t>
  </si>
  <si>
    <t>Cengkareng Barat, RT.8/RW.2, Cengkareng Bar., Jakarta Barat, DKI Jakarta</t>
  </si>
  <si>
    <t>https://maps.google.com/?cid=0x0:0x4e5e73b5f4c31800</t>
  </si>
  <si>
    <t>https://www.rumah123.com/venue/imigrasi-kertapawitan-vcm21473/</t>
  </si>
  <si>
    <t>Komplek Tarakanita</t>
  </si>
  <si>
    <t>Jl. Kp. Flamboyan No.11 9, RT.9/RW.8, Cengkareng Bar., Kecamatan Cengkareng, Kota Jakarta Barat, Daerah Khusus Ibukota Jakarta 11730</t>
  </si>
  <si>
    <t>RT.9/RW.8, Cengkareng Bar., Kecamatan Cengkareng, Kota Jakarta Barat</t>
  </si>
  <si>
    <t>https://maps.google.com/?cid=0x0:0x5480549701b4df5</t>
  </si>
  <si>
    <t>KFT (Komplek Film Dan Televisi) Cengkareng</t>
  </si>
  <si>
    <t>VP7G+VJP, Jl. Perumahan K. F. T, RT.5/RW.11, Cengkareng Bar., Kecamatan Cengkareng, Kota Jakarta Barat, Daerah Khusus Ibukota Jakarta 11730</t>
  </si>
  <si>
    <t>Jl. Perumahan K. F. T, RT.5/RW.11, Cengkareng Bar., Kecamatan Cengkareng, Kota Jakarta Barat</t>
  </si>
  <si>
    <t>https://maps.google.com/?cid=0x0:0x61e591379b706abf</t>
  </si>
  <si>
    <t>https://rumah.trovit.co.id/kft-cengkareng</t>
  </si>
  <si>
    <t>Perumahan The Royale Palm</t>
  </si>
  <si>
    <t>Jl. Royal Utama IV No.7 Blok D, RT.22/RW.16, Cengkareng Tim., Kecamatan Cengkareng, Kota Jakarta Barat, Daerah Khusus Ibukota Jakarta 11730</t>
  </si>
  <si>
    <t>RT.22/RW.16, Cengkareng Tim., Kecamatan Cengkareng, Kota Jakarta Barat</t>
  </si>
  <si>
    <t>https://maps.google.com/?cid=0x0:0x2bc2916e37f72cc0</t>
  </si>
  <si>
    <t>https://rumah.trovit.co.id/rumah-royal-palm-cengkareng</t>
  </si>
  <si>
    <t>PERUMAHAN THE PASADENA</t>
  </si>
  <si>
    <t>Jl. Pasadena III No.4, RT.4/RW.14, Cengkareng Tim., Kecamatan Cengkareng, Kota Jakarta Barat, Daerah Khusus Ibukota Jakarta 11730</t>
  </si>
  <si>
    <t>RT.4/RW.14, Cengkareng Tim., Kecamatan Cengkareng, Kota Jakarta Barat</t>
  </si>
  <si>
    <t>https://maps.google.com/?cid=0x0:0x2b478b30cce5248b</t>
  </si>
  <si>
    <t>https://www.99.co/id/komplek-perumahan/482-pasadena/units</t>
  </si>
  <si>
    <t>Perumahan Mutiara Puri Kembangan</t>
  </si>
  <si>
    <t>Jl. Bojong Raya No.12, Rw. Buaya, Kecamatan Cengkareng, Kota Jakarta Barat, Daerah Khusus Ibukota Jakarta 11740</t>
  </si>
  <si>
    <t>Rw. Buaya, Kecamatan Cengkareng, Kota Jakarta Barat</t>
  </si>
  <si>
    <t>https://maps.google.com/?cid=0x0:0xee9451a301990d09</t>
  </si>
  <si>
    <t>https://www.99.co/id/komplek-perumahan/12873-mutiara-puri-kembangan/units</t>
  </si>
  <si>
    <t>SHM Perumahan Kresek Indah 1</t>
  </si>
  <si>
    <t>Jl. Raya Kresek No.99H 3, RT.7/RW.13, Duri Kosambi, Kecamatan Cengkareng, Kota Jakarta Barat, Daerah Khusus Ibukota Jakarta 11750</t>
  </si>
  <si>
    <t>RT.7/RW.13, Duri Kosambi, Kecamatan Cengkareng, Kota Jakarta Barat</t>
  </si>
  <si>
    <t>https://maps.google.com/?cid=0x0:0x621d6074cd34bc92</t>
  </si>
  <si>
    <t>https://www.rumah123.com/properti/jakarta-barat/hos19217826/</t>
  </si>
  <si>
    <t>The Oasis Residence - Duri Kosambi</t>
  </si>
  <si>
    <t>Jl. Anyelir No.4, RT.4/RW.12, Duri Kosambi, Kecamatan Cengkareng, Kota Jakarta Barat, Daerah Khusus Ibukota Jakarta 11750</t>
  </si>
  <si>
    <t>RT.4/RW.12, Duri Kosambi, Kecamatan Cengkareng, Kota Jakarta Barat</t>
  </si>
  <si>
    <t>https://maps.google.com/?cid=0x0:0x514c6c5b491ab63c</t>
  </si>
  <si>
    <t>Pondok Chanaka</t>
  </si>
  <si>
    <t>Perumahan Kosambi Baru Blok E 10 No. 11 A, RT.2/RW.1, Duri Kosambi, Kecamatan Cengkareng, Kota Jakarta Barat, Daerah Khusus Ibukota Jakarta 11750</t>
  </si>
  <si>
    <t>RT.2/RW.1, Duri Kosambi, Kecamatan Cengkareng, Kota Jakarta Barat</t>
  </si>
  <si>
    <t>https://maps.google.com/?cid=0x0:0x4a81d56b220990e9</t>
  </si>
  <si>
    <t>Khalunzo Residence</t>
  </si>
  <si>
    <t>Gg. H. Salbiah No. 8 Duri Kosambi, Cengkareng RT013, RT.13/RW.2, Duri Kosambi, Kecamatan Cengkareng, Kota Jakarta Barat, Daerah Khusus Ibukota Jakarta 11750</t>
  </si>
  <si>
    <t>Cengkareng RT013, RT.13/RW.2, Duri Kosambi, Kecamatan Cengkareng, Kota Jakarta Barat</t>
  </si>
  <si>
    <t>https://maps.google.com/?cid=0x0:0x9f08197aab9a7221</t>
  </si>
  <si>
    <t>Pondok Safeera</t>
  </si>
  <si>
    <t>Jl. Raya Pondok Randu No.32, Duri Kosambi, Kecamatan Cengkareng, Kota Jakarta Barat, Daerah Khusus Ibukota Jakarta 11750</t>
  </si>
  <si>
    <t>Duri Kosambi, Kecamatan Cengkareng, Kota Jakarta Barat</t>
  </si>
  <si>
    <t>https://maps.google.com/?cid=0x0:0x3225654d573fd638</t>
  </si>
  <si>
    <t>Komplek Perdas</t>
  </si>
  <si>
    <t>Jl. Prof. DR. Latumeten II Komplek Perdas No.3, RT.13/RW.11, Jelambar, Kec. Grogol petamburan, Kota Jakarta Barat, Daerah Khusus Ibukota Jakarta 11460</t>
  </si>
  <si>
    <t>RT.13/RW.11, Jelambar, Kec. Grogol petamburan, Kota Jakarta Barat</t>
  </si>
  <si>
    <t>https://maps.google.com/?cid=0x0:0x76cac4f9f503c26c</t>
  </si>
  <si>
    <t>Komplek Ruko Latumenten Indah</t>
  </si>
  <si>
    <t>Jl. Prof. Dr. Latumeten A No.3 3, RT.1/RW.1, Jelambar Baru, Kec. Grogol petamburan, Kota Jakarta Barat, Daerah Khusus Ibukota Jakarta 11460</t>
  </si>
  <si>
    <t>RT.1/RW.1, Jelambar Baru, Kec. Grogol petamburan, Kota Jakarta Barat</t>
  </si>
  <si>
    <t>https://maps.google.com/?cid=0x0:0xb6f9c3564beed372</t>
  </si>
  <si>
    <t>Perumahan Grawisa</t>
  </si>
  <si>
    <t>Grawisa 1 No.9 Blok B, RT.7/RW.1, Wijaya Kusuma, Kec. Grogol petamburan, Kota Jakarta Barat, Daerah Khusus Ibukota Jakarta 11460</t>
  </si>
  <si>
    <t>RT.7/RW.1, Wijaya Kusuma, Kec. Grogol petamburan, Kota Jakarta Barat</t>
  </si>
  <si>
    <t>https://maps.google.com/?cid=0x0:0x2a21d2e91033e0bb</t>
  </si>
  <si>
    <t>https://www.99.co/id/komplek-perumahan/2530-grawisa/units</t>
  </si>
  <si>
    <t>Komplek Indoruko</t>
  </si>
  <si>
    <t>VQ4P+FVR, Unnamed Road, RT.13/RW.7, Jelambar Baru, Kec. Grogol petamburan, Kota Jakarta Barat, Daerah Khusus Ibukota Jakarta 11460</t>
  </si>
  <si>
    <t>Unnamed Road, RT.13/RW.7, Jelambar Baru, Kec. Grogol petamburan, Kota Jakarta Barat</t>
  </si>
  <si>
    <t>https://maps.google.com/?cid=0x0:0x7563d5f1ad034f99</t>
  </si>
  <si>
    <t>Komplek G.A</t>
  </si>
  <si>
    <t>RQXR+MGP, Jl. Jelambar Sel. 17, RT.8/RW.9, Jelambar Baru, Kec. Grogol petamburan, Kota Jakarta Barat, Daerah Khusus Ibukota Jakarta 11460</t>
  </si>
  <si>
    <t>Jl. Jelambar Sel. 17, RT.8/RW.9, Jelambar Baru, Kec. Grogol petamburan, Kota Jakarta Barat</t>
  </si>
  <si>
    <t>https://maps.google.com/?cid=0x0:0xaed67920adc664d4</t>
  </si>
  <si>
    <t>Komplek RRI</t>
  </si>
  <si>
    <t>Taman Anggrek No.43-29 10, RT.10/RW.6, Tj. Duren Sel., Kec. Grogol petamburan, Kota Jakarta Barat, Daerah Khusus Ibukota Jakarta 11470</t>
  </si>
  <si>
    <t>RT.10/RW.6, Tj. Duren Sel., Kec. Grogol petamburan, Kota Jakarta Barat</t>
  </si>
  <si>
    <t>https://maps.google.com/?cid=0x0:0xa71ab220ed56fefb</t>
  </si>
  <si>
    <t>pinhome.id</t>
  </si>
  <si>
    <t>Komplek SANTIAGO</t>
  </si>
  <si>
    <t>Jl. KH.Moh.Mansyur No.202s, RT.1/RW.6, Kota Tua, Tanah Sereal, Kec. Tambora, Kota Jakarta Barat, Daerah Khusus Ibukota Jakarta 11210</t>
  </si>
  <si>
    <t>RT.1/RW.6, Kota Tua, Tanah Sereal, Kec. Tambora, Kota Jakarta Barat</t>
  </si>
  <si>
    <t>https://maps.google.com/?cid=0x0:0x1622166ba58fd27c</t>
  </si>
  <si>
    <t>Perumahan tanjung duren utars</t>
  </si>
  <si>
    <t>Jln TANJUNG DUREN UTARA Jl. Sawah Lio Gg. 2 No.130, Krendang, Kec. Tambora, Kota Jakarta Barat, Daerah Khusus Ibukota Jakarta 11250</t>
  </si>
  <si>
    <t>Krendang, Kec. Tambora, Kota Jakarta Barat</t>
  </si>
  <si>
    <t>https://maps.google.com/?cid=0x0:0xd365bf23e825a6c1</t>
  </si>
  <si>
    <t>Perumahan Green View</t>
  </si>
  <si>
    <t>Jl. Kali Sekretaris No.20 8, RT.8/RW.5, Duri Kepa, Kec. Kb. Jeruk, Kota Jakarta Barat, Daerah Khusus Ibukota Jakarta 11510</t>
  </si>
  <si>
    <t>RT.8/RW.5, Duri Kepa, Kec. Kb. Jeruk, Kota Jakarta Barat</t>
  </si>
  <si>
    <t>https://maps.google.com/?cid=0x0:0x847888884d65da46</t>
  </si>
  <si>
    <t>https://www.99.co/id/komplek-perumahan/77062-green-park-view/units</t>
  </si>
  <si>
    <t>Komplek Green Ville</t>
  </si>
  <si>
    <t>Jl. Mangga Raya H No.7 1, RT.1/RW.9, Duri Kepa, Kec. Kb. Jeruk, Kota Jakarta Barat, Daerah Khusus Ibukota Jakarta 11510</t>
  </si>
  <si>
    <t>RT.1/RW.9, Duri Kepa, Kec. Kb. Jeruk, Kota Jakarta Barat</t>
  </si>
  <si>
    <t>https://maps.google.com/?cid=0x0:0xdc65f493ac7e2b2b</t>
  </si>
  <si>
    <t>https://www.rumah123.com/jual/jakarta-barat/green-ville/rumah/</t>
  </si>
  <si>
    <t>Palm 3 Residence</t>
  </si>
  <si>
    <t>Jl. Angsana VI No.88-89 14, RT.14/RW.7, Duri Kepa, Kec. Kb. Jeruk, Kota Jakarta Barat, Daerah Khusus Ibukota Jakarta 11510</t>
  </si>
  <si>
    <t>RT.14/RW.7, Duri Kepa, Kec. Kb. Jeruk, Kota Jakarta Barat</t>
  </si>
  <si>
    <t>https://maps.google.com/?cid=0x0:0x5b6be8e42f6b8e1f</t>
  </si>
  <si>
    <t>https://www.99.co/id/komplek-perumahan/3806-palm-3-residence/units</t>
  </si>
  <si>
    <t>Taman Ratu CC1</t>
  </si>
  <si>
    <t>Taman Ratu Indah Blok CC1 No 56, RT.8/RW.11, Kedoya Utara, Kec. Kb. Jeruk, Kota Jakarta Barat, Daerah Khusus Ibukota Jakarta 11520</t>
  </si>
  <si>
    <t>RT.8/RW.11, Kedoya Utara, Kec. Kb. Jeruk, Kota Jakarta Barat</t>
  </si>
  <si>
    <t>https://maps.google.com/?cid=0x0:0x262f5188cfadfc71</t>
  </si>
  <si>
    <t>Perumahan taman cosmos</t>
  </si>
  <si>
    <t>Jl. Taman Cosmos No.32, RT.2/RW.1, Kedoya Utara, Kec. Kb. Jeruk, Kota Jakarta Barat, Daerah Khusus Ibukota Jakarta 11520</t>
  </si>
  <si>
    <t>RT.2/RW.1, Kedoya Utara, Kec. Kb. Jeruk, Kota Jakarta Barat</t>
  </si>
  <si>
    <t>https://maps.google.com/?cid=0x0:0xe679c372d9be66ca</t>
  </si>
  <si>
    <t>https://www.99.co/id/jual/rumah/area-jakarta-barat/taman-cosmos</t>
  </si>
  <si>
    <t>Casa Goya Park Residence</t>
  </si>
  <si>
    <t>Jl. Raya Kb. Jeruk No.37, RT.2/RW.9, Kemanggisan, Kec. Palmerah, Kota Jakarta Barat, Daerah Khusus Ibukota Jakarta 11530</t>
  </si>
  <si>
    <t>RT.2/RW.9, Kemanggisan, Kec. Palmerah, Kota Jakarta Barat</t>
  </si>
  <si>
    <t>https://maps.google.com/?cid=0x0:0xe8c1cc67258a3f15</t>
  </si>
  <si>
    <t>Taman Kedoya Permai</t>
  </si>
  <si>
    <t>Jl. Limas I No.7, RT.7/RW.7, Kb. Jeruk, Kec. Kb. Jeruk, Kota Jakarta Barat, Daerah Khusus Ibukota Jakarta 11530</t>
  </si>
  <si>
    <t>RT.7/RW.7, Kb. Jeruk, Kec. Kb. Jeruk, Kota Jakarta Barat</t>
  </si>
  <si>
    <t>https://maps.google.com/?cid=0x0:0x83ba28e253a73dc8</t>
  </si>
  <si>
    <t>https://www.99.co/id/komplek-perumahan/20869-taman-kedoya-permai/units</t>
  </si>
  <si>
    <t>Perum Telaga Ungu</t>
  </si>
  <si>
    <t>6, Jl. Daud No.60G, RT.2/RW.8, Sukabumi Utara, Kec. Kb. Jeruk, Kota Jakarta Barat, Daerah Khusus Ibukota Jakarta 11540</t>
  </si>
  <si>
    <t>Jl. Daud No.60G, RT.2/RW.8, Sukabumi Utara, Kec. Kb. Jeruk, Kota Jakarta Barat</t>
  </si>
  <si>
    <t>https://maps.google.com/?cid=0x0:0x5805f38d4694a874</t>
  </si>
  <si>
    <t>Perumahan Taman Kebon Jeruk</t>
  </si>
  <si>
    <t>intercon, Perumahan, Jl. Perumahan Corn Kebun Jeruk Jl. Jeruk Joglo 9 Blok w4 no.1, Srengseng, Kec. Kembangan, Kota Jakarta Barat, Daerah Khusus Ibukota Jakarta 11630</t>
  </si>
  <si>
    <t>Perumahan, Jl. Perumahan Corn Kebun Jeruk Jl. Jeruk Joglo 9 Blok w4 no.1, Srengseng, Kec. Kembangan, Kota Jakarta Barat</t>
  </si>
  <si>
    <t>https://maps.google.com/?cid=0x0:0x857dd2ff01e21268</t>
  </si>
  <si>
    <t>https://www.99.co/id/komplek-perumahan/5031-taman-kebon-jeruk/units</t>
  </si>
  <si>
    <t>Pasaribu's Residence</t>
  </si>
  <si>
    <t>Jl. Komp. DPR Klp. Dua No.7, RT.7/RW.8, Klp. Dua, Kec. Kb. Jeruk, Kota Jakarta Barat, Daerah Khusus Ibukota Jakarta 11550</t>
  </si>
  <si>
    <t>RT.7/RW.8, Klp. Dua, Kec. Kb. Jeruk, Kota Jakarta Barat</t>
  </si>
  <si>
    <t>https://maps.google.com/?cid=0x0:0x3067078995b3cf9</t>
  </si>
  <si>
    <t>Villa Arteri</t>
  </si>
  <si>
    <t>Komplek Villa Arteri, Jl. E Ujung No.8 BLOK. D, Klp. Dua, Kec. Kb. Jeruk, Kota Jakarta Barat, Daerah Khusus Ibukota Jakarta 11550</t>
  </si>
  <si>
    <t>Jl. E Ujung No.8 BLOK. D, Klp. Dua, Kec. Kb. Jeruk, Kota Jakarta Barat</t>
  </si>
  <si>
    <t>https://maps.google.com/?cid=0x0:0x8840d9bbb7058926</t>
  </si>
  <si>
    <t>https://www.rumah123.com/venue/villa-arteri-vcm20870/</t>
  </si>
  <si>
    <t>Komplek DPR 2</t>
  </si>
  <si>
    <t>Jl. Dpr Kd Atas, RT.4/RW.3, Klp. Dua, Kec. Kb. Jeruk, Kota Jakarta Barat, Daerah Khusus Ibukota Jakarta 11550</t>
  </si>
  <si>
    <t>RT.4/RW.3, Klp. Dua, Kec. Kb. Jeruk, Kota Jakarta Barat</t>
  </si>
  <si>
    <t>https://maps.google.com/?cid=0x0:0xfa6c5b689970a28</t>
  </si>
  <si>
    <t>https://www.rumah123.com/venue/dpr-2-vcm24183/</t>
  </si>
  <si>
    <t>Cosmos Residence</t>
  </si>
  <si>
    <t>Jl. H. Muhajar No.54 4, RT.4/RW.3, Sukabumi Sel., Kec. Kb. Jeruk, Kota Jakarta Barat, Daerah Khusus Ibukota Jakarta 11560</t>
  </si>
  <si>
    <t>RT.4/RW.3, Sukabumi Sel., Kec. Kb. Jeruk, Kota Jakarta Barat</t>
  </si>
  <si>
    <t>https://maps.google.com/?cid=0x0:0x6b3592a5f0f58c02</t>
  </si>
  <si>
    <t>Perumahan The Villas</t>
  </si>
  <si>
    <t>Jl. Kb. Dua Ratus No.3, RT.4/RW.3, Kamal, Kec. Kalideres, Kota Jakarta Barat, Daerah Khusus Ibukota Jakarta 11810</t>
  </si>
  <si>
    <t>RT.4/RW.3, Kamal, Kec. Kalideres, Kota Jakarta Barat</t>
  </si>
  <si>
    <t>https://maps.google.com/?cid=0x0:0x7e21f03b526f6d8a</t>
  </si>
  <si>
    <t>CitraGarden Puri Jakarta Barat</t>
  </si>
  <si>
    <t>CitraGarden Puri Boulevard Kav. 01, RT.7/RW.9, Semanan, Kec. Kalideres, Kota Jakarta Barat, Daerah Khusus Ibukota Jakarta 11850</t>
  </si>
  <si>
    <t>RT.7/RW.9, Semanan, Kec. Kalideres, Kota Jakarta Barat</t>
  </si>
  <si>
    <t>https://maps.google.com/?cid=0x0:0xfc1889d75e10c7ba</t>
  </si>
  <si>
    <t>https://www.99.co/id/komplek-perumahan/198364-citra-garden-puri/units</t>
  </si>
  <si>
    <t>Cluster Orange Heliconia</t>
  </si>
  <si>
    <t>VPG5+34X, Jl. Citra Garden City 6, RT.5/RW.13, Tegal Alur, Kec. Kalideres, Kota Jakarta Barat, Daerah Khusus Ibukota Jakarta 11820</t>
  </si>
  <si>
    <t>Jl. Citra Garden City 6, RT.5/RW.13, Tegal Alur, Kec. Kalideres, Kota Jakarta Barat</t>
  </si>
  <si>
    <t>https://maps.google.com/?cid=0x0:0x354d6b0449a3de3</t>
  </si>
  <si>
    <t>https://www.rumah123.com/properti/jakarta-barat/hos19551074/</t>
  </si>
  <si>
    <t>Komplek Merpati (MNA)</t>
  </si>
  <si>
    <t>Jl. Peta Utara No.5, RT.1/RW.10, Pegadungan, Kec. Kalideres, Kota Jakarta Barat, Daerah Khusus Ibukota Jakarta 11830</t>
  </si>
  <si>
    <t>RT.1/RW.10, Pegadungan, Kec. Kalideres, Kota Jakarta Barat</t>
  </si>
  <si>
    <t>https://maps.google.com/?cid=0x0:0xc46eedd213d55f3</t>
  </si>
  <si>
    <t>Park Residence</t>
  </si>
  <si>
    <t>Jl. Taman Surya 5, RT.7/RW.19, Pegadungan, Kec. Kalideres, Kota Jakarta Barat, Daerah Khusus Ibukota Jakarta 11830</t>
  </si>
  <si>
    <t>RT.7/RW.19, Pegadungan, Kec. Kalideres, Kota Jakarta Barat</t>
  </si>
  <si>
    <t>https://maps.google.com/?cid=0x0:0xa0e083e9c8f9201a</t>
  </si>
  <si>
    <t>https://www.lamudi.co.id/search-result/perumahan-park-residence-jakarta-barat/</t>
  </si>
  <si>
    <t>Citra Garden 2</t>
  </si>
  <si>
    <t>Jl. Kegembiraan VIII No.6, RT.6/RW.19, Pegadungan, Kec. Kalideres, Kota Jakarta Barat, Daerah Khusus Ibukota Jakarta 11830</t>
  </si>
  <si>
    <t>RT.6/RW.19, Pegadungan, Kec. Kalideres, Kota Jakarta Barat</t>
  </si>
  <si>
    <t>https://maps.google.com/?cid=0x0:0x5f9ea64ed6471bd0</t>
  </si>
  <si>
    <t>https://www.99.co/id/komplek-perumahan/822-citra-garden-2-extension/units</t>
  </si>
  <si>
    <t>Golden palm residence cluster montgomery blok d</t>
  </si>
  <si>
    <t>Jl. Perumahan Citra 5 No.d51, RW.16, Pegadungan, Kec. Kalideres, Kota Jakarta Barat, Daerah Khusus Ibukota Jakarta 11830</t>
  </si>
  <si>
    <t>RW.16, Pegadungan, Kec. Kalideres, Kota Jakarta Barat</t>
  </si>
  <si>
    <t>https://maps.google.com/?cid=0x0:0xd4f6c53beef91a1</t>
  </si>
  <si>
    <t>Puri Permata Mediterania</t>
  </si>
  <si>
    <t>Jl. Puri Permata Mediterania No.1, RT.1/RW.14, Pegadungan, Kec. Kalideres, Kota Jakarta Barat, Daerah Khusus Ibukota Jakarta 11830</t>
  </si>
  <si>
    <t>RT.1/RW.14, Pegadungan, Kec. Kalideres, Kota Jakarta Barat</t>
  </si>
  <si>
    <t>https://maps.google.com/?cid=0x0:0x529e2cc95575e0ee</t>
  </si>
  <si>
    <t>https://www.rumah123.com/properti/jakarta-barat/hos19543457/</t>
  </si>
  <si>
    <t>Perumahan Citra 2 Extension</t>
  </si>
  <si>
    <t>Jl. Peta Utara No.10 6, RT.4/RW.2, Pegadungan, Kec. Kalideres, Kota Jakarta Barat, Daerah Khusus Ibukota Jakarta 11830</t>
  </si>
  <si>
    <t>RT.4/RW.2, Pegadungan, Kec. Kalideres, Kota Jakarta Barat</t>
  </si>
  <si>
    <t>https://maps.google.com/?cid=0x0:0xdd7179260ec230af</t>
  </si>
  <si>
    <t>https://rumah.trovit.co.id/citra-2-extension-jakarta-barat</t>
  </si>
  <si>
    <t>Angel Residence</t>
  </si>
  <si>
    <t>Jl. Peta Selatan No.50A, RT.6/RW.3, Kalideres, Kec. Kalideres, Kota Jakarta Barat, Daerah Khusus Ibukota Jakarta 11840</t>
  </si>
  <si>
    <t>RT.6/RW.3, Kalideres, Kec. Kalideres, Kota Jakarta Barat</t>
  </si>
  <si>
    <t>https://maps.google.com/?cid=0x0:0x2c00c3874b446900</t>
  </si>
  <si>
    <t>https://www.99.co/id/komplek-perumahan/6101-angel-residence/units</t>
  </si>
  <si>
    <t>Citra Garden 1</t>
  </si>
  <si>
    <t>24, Jl. Bukit Asri 8 No.D 2, RT.6/RW.16, Kalideres, Kec. Kalideres, Kota Jakarta Barat, Daerah Khusus Ibukota Jakarta 11840</t>
  </si>
  <si>
    <t>Jl. Bukit Asri 8 No.D 2, RT.6/RW.16, Kalideres, Kec. Kalideres, Kota Jakarta Barat</t>
  </si>
  <si>
    <t>https://maps.google.com/?cid=0x0:0x58a931affd147e4</t>
  </si>
  <si>
    <t>https://www.99.co/id/komplek-perumahan/232-citra-garden-1/units</t>
  </si>
  <si>
    <t>SEMANAN JAYA RESIDENCE</t>
  </si>
  <si>
    <t>Jl. Semanan Jaya I, RT.8/RW.8, Semanan, Kec. Kalideres, Kota Jakarta Barat, Daerah Khusus Ibukota Jakarta 11850</t>
  </si>
  <si>
    <t>RT.8/RW.8, Semanan, Kec. Kalideres, Kota Jakarta Barat</t>
  </si>
  <si>
    <t>https://maps.google.com/?cid=0x0:0x297d5b551afb0c3c</t>
  </si>
  <si>
    <t>https://www.99.co/id/komplek-perumahan/34489-semanan-jaya-residence/units</t>
  </si>
  <si>
    <t>Alunan Melodi Indonesia - Citra Garden Puri</t>
  </si>
  <si>
    <t>Citra Garden Puri Cluster Casco Casco CF 07B, Kota Jakarta Barat, Daerah Khusus Ibukota Jakarta 11850</t>
  </si>
  <si>
    <t>Kota Jakarta Barat</t>
  </si>
  <si>
    <t>https://maps.google.com/?cid=0x0:0x17746654f648275</t>
  </si>
  <si>
    <t>Puri Semanan Residence</t>
  </si>
  <si>
    <t>Jl. Balongan Baru Utara, Semanan, Kec. Kalideres, Kota Jakarta Barat, Daerah Khusus Ibukota Jakarta 11850</t>
  </si>
  <si>
    <t>Semanan, Kec. Kalideres, Kota Jakarta Barat</t>
  </si>
  <si>
    <t>https://maps.google.com/?cid=0x0:0x4998dfa79a80bbe</t>
  </si>
  <si>
    <t>Green Royal Condo House</t>
  </si>
  <si>
    <t>RPJ3+296, RT.5/RW.8, Semanan, Kec. Kalideres, Kota Jakarta Barat, Daerah Khusus Ibukota Jakarta 11850</t>
  </si>
  <si>
    <t>RT.5/RW.8, Semanan, Kec. Kalideres, Kota Jakarta Barat</t>
  </si>
  <si>
    <t>https://maps.google.com/?cid=0x0:0x3248f6897ef9e763</t>
  </si>
  <si>
    <t>Komplek DPA-PU Palmerah</t>
  </si>
  <si>
    <t>Jl. Belibis Terusan No.9, RT.9/RW.3, Palmerah, Kec. Palmerah, Kota Jakarta Barat, Daerah Khusus Ibukota Jakarta 11480</t>
  </si>
  <si>
    <t>RT.9/RW.3, Palmerah, Kec. Palmerah, Kota Jakarta Barat</t>
  </si>
  <si>
    <t>https://maps.google.com/?cid=0x0:0x7f625bd335cf0aa6</t>
  </si>
  <si>
    <t>https://www.lamudi.co.id/jual/jakarta/jakarta-barat/dijual-rumah-2-lantai-di-komplek-dpa-pu-slipi-jaka-170531413545/</t>
  </si>
  <si>
    <t>Komplek Hankam Mabes TNI AD Slipi</t>
  </si>
  <si>
    <t>Jl. Merak No.G 4 1, RT.1/RW.2, Palmerah, Kec. Kb. Jeruk, Kota Jakarta Barat, Daerah Khusus Ibukota Jakarta 11480</t>
  </si>
  <si>
    <t>RT.1/RW.2, Palmerah, Kec. Kb. Jeruk, Kota Jakarta Barat</t>
  </si>
  <si>
    <t>https://maps.google.com/?cid=0x0:0x21fcf51f4d4c05c2</t>
  </si>
  <si>
    <t>Jaya Residence (pintu belakang)</t>
  </si>
  <si>
    <t>Jl. D3 No.5, RT.4/RW.2, Slipi, Kec. Palmerah, Kota Jakarta Barat, Daerah Khusus Ibukota Jakarta 11410</t>
  </si>
  <si>
    <t>RT.4/RW.2, Slipi, Kec. Palmerah, Kota Jakarta Barat</t>
  </si>
  <si>
    <t>https://maps.google.com/?cid=0x0:0xe03e0fa2f1b5ab72</t>
  </si>
  <si>
    <t>Palmerah Residence</t>
  </si>
  <si>
    <t>Jl. Palmerah Utara IV No.6 7, Palmerah, Kec. Palmerah, Kota Jakarta Barat, Daerah Khusus Ibukota Jakarta 11480</t>
  </si>
  <si>
    <t>Palmerah, Kec. Palmerah, Kota Jakarta Barat</t>
  </si>
  <si>
    <t>https://maps.google.com/?cid=0x0:0xafced710ace8d7cd</t>
  </si>
  <si>
    <t>https://www.99.co/id/komplek-perumahan/175196-palmerah-residence/units</t>
  </si>
  <si>
    <t>Komplek KEMHAN/MABES TNI</t>
  </si>
  <si>
    <t>Jl. Merak G Blok G No.1, RT.1/RW.2, Palmerah, Kec. Palmerah, Kota Jakarta Barat, Daerah Khusus Ibukota Jakarta 11480</t>
  </si>
  <si>
    <t>RT.1/RW.2, Palmerah, Kec. Palmerah, Kota Jakarta Barat</t>
  </si>
  <si>
    <t>https://maps.google.com/?cid=0x0:0x8bc84c772d024a61</t>
  </si>
  <si>
    <t>Komp. Kijang Kencana</t>
  </si>
  <si>
    <t>RQ4R+RC6, Jl. Inspeksi Slipi, RT.12/RW.6, Slipi, Kec. Palmerah, Kota Jakarta Barat, Daerah Khusus Ibukota Jakarta 11480</t>
  </si>
  <si>
    <t>Jl. Inspeksi Slipi, RT.12/RW.6, Slipi, Kec. Palmerah, Kota Jakarta Barat</t>
  </si>
  <si>
    <t>https://maps.google.com/?cid=0x0:0x8882c5af6e07f424</t>
  </si>
  <si>
    <t>https://www.rumah123.com/venue/kijang-kencana-vcm16006/</t>
  </si>
  <si>
    <t>Komplek Sekneg Republik Indonesia</t>
  </si>
  <si>
    <t>Jl. Kemanggisan Ilir I No.11, RT.18/RW.1, Kemanggisan, Kec. Palmerah, Kota Jakarta Barat, Daerah Khusus Ibukota Jakarta 11480</t>
  </si>
  <si>
    <t>RT.18/RW.1, Kemanggisan, Kec. Palmerah, Kota Jakarta Barat</t>
  </si>
  <si>
    <t>https://maps.google.com/?cid=0x0:0x3020a3f60b40da18</t>
  </si>
  <si>
    <t>THAWIL - RAUSIN RESIDENCE</t>
  </si>
  <si>
    <t>Jl. H.Rausin No.1, RT.2/RW.1, Palmerah, Kec. Palmerah, Kota Jakarta Barat, Daerah Khusus Ibukota Jakarta 11480</t>
  </si>
  <si>
    <t>RT.2/RW.1, Palmerah, Kec. Palmerah, Kota Jakarta Barat</t>
  </si>
  <si>
    <t>https://maps.google.com/?cid=0x0:0x209e8ca518193b63</t>
  </si>
  <si>
    <t>Komplek Moneter Residences</t>
  </si>
  <si>
    <t>1C No. 51, Komplek Moneter Jl. Kemanggisan Ilir Raya, Kemanggisan, Kec. Palmerah, Kota Jakarta Barat, Daerah Khusus Ibukota Jakarta 11480</t>
  </si>
  <si>
    <t>Komplek Moneter Jl. Kemanggisan Ilir Raya, Kemanggisan, Kec. Palmerah, Kota Jakarta Barat</t>
  </si>
  <si>
    <t>https://maps.google.com/?cid=0x0:0x4859efe4096cbc0d</t>
  </si>
  <si>
    <t>Komplek Perumahan Guru</t>
  </si>
  <si>
    <t>Rawa Belong 2e No.2 7, RT.7/RW.10, Palmerah, Kec. Palmerah, Kota Jakarta Barat, Daerah Khusus Ibukota Jakarta 11480</t>
  </si>
  <si>
    <t>RT.7/RW.10, Palmerah, Kec. Palmerah, Kota Jakarta Barat</t>
  </si>
  <si>
    <t>https://maps.google.com/?cid=0x0:0x1a54e7dc00876d44</t>
  </si>
  <si>
    <t>Komplek Meruya Residence</t>
  </si>
  <si>
    <t>Jl. Gunung Merapi No.1, RT.8/RW.8, Meruya Sel., Kec. Kembangan, Kota Jakarta Barat, Daerah Khusus Ibukota Jakarta 11650</t>
  </si>
  <si>
    <t>RT.8/RW.8, Meruya Sel., Kec. Kembangan, Kota Jakarta Barat</t>
  </si>
  <si>
    <t>https://maps.google.com/?cid=0x0:0xfb9384a79167df80</t>
  </si>
  <si>
    <t>https://www.99.co/id/komplek-perumahan/849-meruya-residence/units</t>
  </si>
  <si>
    <t>Taman Villa Meruya</t>
  </si>
  <si>
    <t>Komplek Taman Villa, RT.1/RW.10, Meruya Sel., Kec. Kembangan, Kota Jakarta Barat, Daerah Khusus Ibukota Jakarta 11650</t>
  </si>
  <si>
    <t>RT.1/RW.10, Meruya Sel., Kec. Kembangan, Kota Jakarta Barat</t>
  </si>
  <si>
    <t>https://maps.google.com/?cid=0x0:0x556ec5afd4557f67</t>
  </si>
  <si>
    <t>https://www.99.co/id/komplek-perumahan/890-taman-villa-meruya/units</t>
  </si>
  <si>
    <t>Perumahan Permata Mediterania</t>
  </si>
  <si>
    <t>9, Jl. Diamond 1 No.76 12, RT.12/RW.3, Srengseng, Kec. Kembangan, Kota Jakarta Barat, Daerah Khusus Ibukota Jakarta 11630</t>
  </si>
  <si>
    <t>Jl. Diamond 1 No.76 12, RT.12/RW.3, Srengseng, Kec. Kembangan, Kota Jakarta Barat</t>
  </si>
  <si>
    <t>https://maps.google.com/?cid=0x0:0x485d38f14e982119</t>
  </si>
  <si>
    <t>https://www.lamudi.co.id/search-result/perumahan-permata-mediterania-jakarta/</t>
  </si>
  <si>
    <t>Permata Srengseng</t>
  </si>
  <si>
    <t>Jl. Lap. Tenis No.3a Blok A, RT.3/RW.5, Srengseng, Kec. Kembangan, Kota Jakarta Barat, Daerah Khusus Ibukota Jakarta 11630</t>
  </si>
  <si>
    <t>RT.3/RW.5, Srengseng, Kec. Kembangan, Kota Jakarta Barat</t>
  </si>
  <si>
    <t>https://maps.google.com/?cid=0x0:0x19abc4a50cf42408</t>
  </si>
  <si>
    <t>https://www.rumah123.com/venue/permata-srengseng-vcm20071/</t>
  </si>
  <si>
    <t>Camden House Residence</t>
  </si>
  <si>
    <t>Jl. Siantan No.3 4, RT.4/RW.8, Srengseng, Kec. Kembangan, Kota Jakarta Barat, Daerah Khusus Ibukota Jakarta 11630</t>
  </si>
  <si>
    <t>RT.4/RW.8, Srengseng, Kec. Kembangan, Kota Jakarta Barat</t>
  </si>
  <si>
    <t>https://maps.google.com/?cid=0x0:0xc8c1cb1d7ad410d0</t>
  </si>
  <si>
    <t>https://www.99.co/id/komplek-perumahan/3154-camden-house/units</t>
  </si>
  <si>
    <t>Komplek Minagapura</t>
  </si>
  <si>
    <t>Blok A3 No, Jl. Minagapura No.12, RT.4/RW.1, Meruya Sel., Kec. Kembangan, Kota Jakarta Barat, Daerah Khusus Ibukota Jakarta 11640</t>
  </si>
  <si>
    <t>Jl. Minagapura No.12, RT.4/RW.1, Meruya Sel., Kec. Kembangan, Kota Jakarta Barat</t>
  </si>
  <si>
    <t>https://maps.google.com/?cid=0x0:0x762090df7e7bdb16</t>
  </si>
  <si>
    <t>https://www.99.co/id/komplek-perumahan/65956-minagapura/units</t>
  </si>
  <si>
    <t>Komplek DPR RI</t>
  </si>
  <si>
    <t>Jl. Komp. Perumahan DPR-RI Blk. C No.51, RT.10/RW.1, Joglo, Kec. Kembangan, Kota Jakarta Barat, Daerah Khusus Ibukota Jakarta 11640</t>
  </si>
  <si>
    <t>RT.10/RW.1, Joglo, Kec. Kembangan, Kota Jakarta Barat</t>
  </si>
  <si>
    <t>https://maps.google.com/?cid=0x0:0x789aad894ca9905c</t>
  </si>
  <si>
    <t>https://www.rumah123.com/venue/dpr-ri-kemanggisan-vcm23883/</t>
  </si>
  <si>
    <t>Kaze Hill Residence by Dekoruma</t>
  </si>
  <si>
    <t>Jl. Rudal III No.14, Joglo, Kec. Kembangan, Kota Jakarta Barat, Daerah Khusus Ibukota Jakarta 11640</t>
  </si>
  <si>
    <t>Joglo, Kec. Kembangan, Kota Jakarta Barat</t>
  </si>
  <si>
    <t>https://maps.google.com/?cid=0x0:0xae1418e46b6f96f5</t>
  </si>
  <si>
    <t>Perumahan Mawar Extension</t>
  </si>
  <si>
    <t>1, Jl. Mesjid Joglo Baru No.5, RT.1/RW.3, Joglo, Kec. Kembangan, Kota Jakarta Barat, Daerah Khusus Ibukota Jakarta 11640</t>
  </si>
  <si>
    <t>Jl. Mesjid Joglo Baru No.5, RT.1/RW.3, Joglo, Kec. Kembangan, Kota Jakarta Barat</t>
  </si>
  <si>
    <t>https://maps.google.com/?cid=0x0:0x627458dc6c835f86</t>
  </si>
  <si>
    <t>Komplek DKI</t>
  </si>
  <si>
    <t>Komplek DKI blok BB19, RT.8/RW.4, Joglo, Kec. Kembangan, Kota Jakarta Barat, Daerah Khusus Ibukota Jakarta 11640</t>
  </si>
  <si>
    <t>RT.8/RW.4, Joglo, Kec. Kembangan, Kota Jakarta Barat</t>
  </si>
  <si>
    <t>https://maps.google.com/?cid=0x0:0x70a124a2e00a0184</t>
  </si>
  <si>
    <t>https://www.lamudi.co.id/search-result/rumah-komplek-dki-jakarta-barat/</t>
  </si>
  <si>
    <t>Taman Rafflesia</t>
  </si>
  <si>
    <t>Komplek 11650, Jalan Perumahan Unilever Kembangan Jakarta Barat, Meruya Selatan, Kembangan, RT.6/RW.9, Meruya Sel., Jakarta Barat, Kota Jakarta Barat, Daerah Khusus Ibukota Jakarta 11610</t>
  </si>
  <si>
    <t>Jalan Perumahan Unilever Kembangan Jakarta Barat, Meruya Selatan, Kembangan, RT.6/RW.9, Meruya Sel., Jakarta Barat, Kota Jakarta Barat</t>
  </si>
  <si>
    <t>https://maps.google.com/?cid=0x0:0x6c1c8ce5e40811c3</t>
  </si>
  <si>
    <t>https://www.99.co/id/komplek-perumahan/34996-taman-rafflesia/units</t>
  </si>
  <si>
    <t>Komplek pajak</t>
  </si>
  <si>
    <t>Jl. H. Juhri Komp. Pajak Jl. H. Juhri No.8 Blok C, RT.5/RW.4, Meruya Sel., Kec. Kembangan, Kota Jakarta Barat, Daerah Khusus Ibukota Jakarta 11650</t>
  </si>
  <si>
    <t>RT.5/RW.4, Meruya Sel., Kec. Kembangan, Kota Jakarta Barat</t>
  </si>
  <si>
    <t>https://maps.google.com/?cid=0x0:0xca84c8d3712ad7a</t>
  </si>
  <si>
    <t>Perumahan The Pasadena cengkareng</t>
  </si>
  <si>
    <t>Pasadena IV No.4, RT.4/RW.14, Cengkareng Tim., Kecamatan Cengkareng, Kota Jakarta Barat, Daerah Khusus Ibukota Jakarta 11730</t>
  </si>
  <si>
    <t>https://maps.google.com/?cid=0x0:0x979b1a7dbe741be0</t>
  </si>
  <si>
    <t>The Green Court</t>
  </si>
  <si>
    <t>22, Jl. Boulevard Raya No.5, RT.22/RW.14, Kapuk, Kecamatan Cengkareng, Kota Jakarta Barat, Daerah Khusus Ibukota Jakarta 11720</t>
  </si>
  <si>
    <t>Jl. Boulevard Raya No.5, RT.22/RW.14, Kapuk, Kecamatan Cengkareng, Kota Jakarta Barat</t>
  </si>
  <si>
    <t>https://maps.google.com/?cid=0x0:0xfad473cd358122ae</t>
  </si>
  <si>
    <t>Mutiara Taman Palem</t>
  </si>
  <si>
    <t>Jl. Taman Palem Mutiara No.D1/105, Cengkareng Tim., Kecamatan Cengkareng, Kota Jakarta Barat, Daerah Khusus Ibukota Jakarta 11730</t>
  </si>
  <si>
    <t>https://maps.google.com/?cid=0x0:0x7059be15466f2ba8</t>
  </si>
  <si>
    <t>https://www.99.co/id/komplek-perumahan/459-mutiara-taman-palem/units</t>
  </si>
  <si>
    <t>Perumahan Palem Mutiara</t>
  </si>
  <si>
    <t>Blok C-19 Jalan Gunung Galunggung 3, Jl. Kamal Raya No.6, RT.10/RW.10, Cengkareng Tim., Kecamatan Cengkareng, Kota Jakarta Barat, Daerah Khusus Ibukota Jakarta 11730</t>
  </si>
  <si>
    <t>Jl. Kamal Raya No.6, RT.10/RW.10, Cengkareng Tim., Kecamatan Cengkareng, Kota Jakarta Barat</t>
  </si>
  <si>
    <t>https://maps.google.com/?cid=0x0:0x2438ddbae4a29cb9</t>
  </si>
  <si>
    <t>NIX Residence</t>
  </si>
  <si>
    <t>Jl. Arjuna 2 No.23, RT.16/RW.4, Rw. Buaya, Kecamatan Cengkareng, Kota Jakarta Barat, Daerah Khusus Ibukota Jakarta 11740</t>
  </si>
  <si>
    <t>RT.16/RW.4, Rw. Buaya, Kecamatan Cengkareng, Kota Jakarta Barat</t>
  </si>
  <si>
    <t>https://maps.google.com/?cid=0x0:0x2ff9b806773542ac</t>
  </si>
  <si>
    <t>Komplek Pakuwon Jelambar</t>
  </si>
  <si>
    <t>Blok N Blok N.6, Jl. Jelambar Utara 1 No.6 Blok n, RT.4/RW.9, Jelambar Baru, Kec. Grogol petamburan, Kota Jakarta Barat, Daerah Khusus Ibukota Jakarta 11460</t>
  </si>
  <si>
    <t>Jl. Jelambar Utara 1 No.6 Blok n, RT.4/RW.9, Jelambar Baru, Kec. Grogol petamburan, Kota Jakarta Barat</t>
  </si>
  <si>
    <t>https://maps.google.com/?cid=0x0:0x8ca2197a2ede77e8</t>
  </si>
  <si>
    <t>https://www.99.co/id/komplek-perumahan/18408-pakuwon-jelambar/units</t>
  </si>
  <si>
    <t>Chloe Residence</t>
  </si>
  <si>
    <t>Jalan Dokter Muwardi II B No.7, RT.10/RW.3, Grogol, Kec. Grogol petamburan, Kota Jakarta Barat, Daerah Khusus Ibukota Jakarta 11450</t>
  </si>
  <si>
    <t>RT.10/RW.3, Grogol, Kec. Grogol petamburan, Kota Jakarta Barat</t>
  </si>
  <si>
    <t>https://maps.google.com/?cid=0x0:0xf42ca4a2f750c1f0</t>
  </si>
  <si>
    <t>Komplek RRI Tanjung Duren</t>
  </si>
  <si>
    <t>Komplek RRI, Jl. Tj. Palapa No.18 10, RT.10/RW.6, Tj. Duren Sel., Kec. Grogol petamburan, Kota Jakarta Barat, Daerah Khusus Ibukota Jakarta 11470</t>
  </si>
  <si>
    <t>Jl. Tj. Palapa No.18 10, RT.10/RW.6, Tj. Duren Sel., Kec. Grogol petamburan, Kota Jakarta Barat</t>
  </si>
  <si>
    <t>https://maps.google.com/?cid=0x0:0x4bf88edb12cea3ab</t>
  </si>
  <si>
    <t>https://www.rumah123.com/properti/jakarta-barat/hos13056015/</t>
  </si>
  <si>
    <t>Villa Tomang indah</t>
  </si>
  <si>
    <t>RQCF+FGG, RT.4/RW.12, Duri Kepa, Kec. Kb. Jeruk, Kota Jakarta Barat, Daerah Khusus Ibukota Jakarta 11510</t>
  </si>
  <si>
    <t>RT.4/RW.12, Duri Kepa, Kec. Kb. Jeruk, Kota Jakarta Barat</t>
  </si>
  <si>
    <t>https://maps.google.com/?cid=0x0:0xdacdc51858b526d9</t>
  </si>
  <si>
    <t>https://www.rumah123.com/venue/villa-tomang-indah-vcm28476/</t>
  </si>
  <si>
    <t>Komplek Kedoya Garden</t>
  </si>
  <si>
    <t>Jl. Kedoya Garden No.11, RT.8/RW.5, Kedoya Sel., Kec. Kb. Jeruk, Kota Jakarta Barat, Daerah Khusus Ibukota Jakarta 11520</t>
  </si>
  <si>
    <t>RT.8/RW.5, Kedoya Sel., Kec. Kb. Jeruk, Kota Jakarta Barat</t>
  </si>
  <si>
    <t>https://maps.google.com/?cid=0x0:0x35abdc74cdda27b8</t>
  </si>
  <si>
    <t>https://www.99.co/id/jual/rumah/area-jakarta-barat/kedoya-garden</t>
  </si>
  <si>
    <t>Taman Mutiara Prima</t>
  </si>
  <si>
    <t>7, RT.7/RW.5, Kb. Jeruk, Kec. Kb. Jeruk, Kota Jakarta Barat, Daerah Khusus Ibukota Jakarta 11530</t>
  </si>
  <si>
    <t>RT.7/RW.5, Kb. Jeruk, Kec. Kb. Jeruk, Kota Jakarta Barat</t>
  </si>
  <si>
    <t>https://maps.google.com/?cid=0x0:0xca3c148b4339fe16</t>
  </si>
  <si>
    <t>https://www.99.co/id/komplek-perumahan/7444-taman-mutiara-prima/units</t>
  </si>
  <si>
    <t>Kedoya Permai</t>
  </si>
  <si>
    <t>Jl. Prisma II No.B3 No.23, RT.8/RW.7, Kb. Jeruk, Kec. Kb. Jeruk, Kota Jakarta Barat, Daerah Khusus Ibukota Jakarta 11530</t>
  </si>
  <si>
    <t>RT.8/RW.7, Kb. Jeruk, Kec. Kb. Jeruk, Kota Jakarta Barat</t>
  </si>
  <si>
    <t>https://maps.google.com/?cid=0x0:0xa2e84bc34501c02</t>
  </si>
  <si>
    <t>Griya Sitrun 25</t>
  </si>
  <si>
    <t>Jl. Sitrun No.25, RT.3/RW.10, Kb. Jeruk, Kec. Kb. Jeruk, Kota Jakarta Barat, Daerah Khusus Ibukota Jakarta 11530</t>
  </si>
  <si>
    <t>RT.3/RW.10, Kb. Jeruk, Kec. Kb. Jeruk, Kota Jakarta Barat</t>
  </si>
  <si>
    <t>https://maps.google.com/?cid=0x0:0xbb215a09ed5e40c3</t>
  </si>
  <si>
    <t>MADUN Residence</t>
  </si>
  <si>
    <t>No 6A, Jl. Masjid Al Anwar No.10, RT.5/RW.10, Sukabumi Utara, Kec. Kb. Jeruk, Kota Jakarta Barat, Daerah Khusus Ibukota Jakarta 11540</t>
  </si>
  <si>
    <t>Jl. Masjid Al Anwar No.10, RT.5/RW.10, Sukabumi Utara, Kec. Kb. Jeruk, Kota Jakarta Barat</t>
  </si>
  <si>
    <t>https://maps.google.com/?cid=0x0:0x15f3401b6996942a</t>
  </si>
  <si>
    <t>Royal Kemanggisan Residence</t>
  </si>
  <si>
    <t>Jl. Harun Raya No.4a, RT.7/RW.7, Kb. Jeruk, Kec. Kb. Jeruk, Kota Jakarta Barat, Daerah Khusus Ibukota Jakarta 11540</t>
  </si>
  <si>
    <t>https://maps.google.com/?cid=0x0:0x4a85311264bc0e0f</t>
  </si>
  <si>
    <t>https://www.rumah123.com/properti/jakarta-barat/hos13508808/</t>
  </si>
  <si>
    <t>Rivera Residence</t>
  </si>
  <si>
    <t>Jl. Daud 1 No.66B, RT.3/RW.8, Sukabumi Utara, Kec. Kb. Jeruk, Kota Jakarta Barat, Daerah Khusus Ibukota Jakarta 11540</t>
  </si>
  <si>
    <t>RT.3/RW.8, Sukabumi Utara, Kec. Kb. Jeruk, Kota Jakarta Barat</t>
  </si>
  <si>
    <t>https://maps.google.com/?cid=0x0:0x18fc6e781b3383f4</t>
  </si>
  <si>
    <t>https://cariproperti.com/rivera-residence-kebon-jeruk</t>
  </si>
  <si>
    <t>Pesona Kelapa Dua</t>
  </si>
  <si>
    <t>Jl. MM No.64 6, RT.6/RW.9, Sukabumi Utara, Kec. Kb. Jeruk, Kota Jakarta Barat, Daerah Khusus Ibukota Jakarta 11540</t>
  </si>
  <si>
    <t>RT.6/RW.9, Sukabumi Utara, Kec. Kb. Jeruk, Kota Jakarta Barat</t>
  </si>
  <si>
    <t>https://maps.google.com/?cid=0x0:0x5fec8b0528a2c02e</t>
  </si>
  <si>
    <t>Citra Garden 5</t>
  </si>
  <si>
    <t>Blok A, Jl. Perumahan Citra 5, Prepedan, Kec. Kalideres, Kota Jakarta Barat, Daerah Khusus Ibukota Jakarta 11810</t>
  </si>
  <si>
    <t>Jl. Perumahan Citra 5, Prepedan, Kec. Kalideres, Kota Jakarta Barat</t>
  </si>
  <si>
    <t>https://maps.google.com/?cid=0x0:0x913fb25352f38c5a</t>
  </si>
  <si>
    <t>https://www.99.co/id/komplek-perumahan/364-citra-garden-5/units</t>
  </si>
  <si>
    <t>Perumahan Kamal Residence</t>
  </si>
  <si>
    <t>Jl. Kelurahan No.A2 9, RT.3/RW.2, Kamal, Kec. Kalideres, Kota Jakarta Barat, Daerah Khusus Ibukota Jakarta 11810</t>
  </si>
  <si>
    <t>RT.3/RW.2, Kamal, Kec. Kalideres, Kota Jakarta Barat</t>
  </si>
  <si>
    <t>https://maps.google.com/?cid=0x0:0x85d399cbf4b683bf</t>
  </si>
  <si>
    <t>Citra Garden City</t>
  </si>
  <si>
    <t>Jl. Citra Garden City VII, 7 No.11, RT.7/RW.11, Kalideres, Kec. Kalideres, Kota Jakarta Barat, Daerah Khusus Ibukota Jakarta 11840</t>
  </si>
  <si>
    <t>7 No.11, RT.7/RW.11, Kalideres, Kec. Kalideres, Kota Jakarta Barat</t>
  </si>
  <si>
    <t>https://maps.google.com/?cid=0x0:0xe145b342ce85c401</t>
  </si>
  <si>
    <t>Perumahan Puri Gardena</t>
  </si>
  <si>
    <t>VM7V+FPH, RT.8/RW.1, Pegadungan, Kec. Kalideres, Kota Jakarta Barat, Daerah Khusus Ibukota Jakarta 11830</t>
  </si>
  <si>
    <t>RT.8/RW.1, Pegadungan, Kec. Kalideres, Kota Jakarta Barat</t>
  </si>
  <si>
    <t>https://maps.google.com/?cid=0x0:0x70ef90e6696b96ab</t>
  </si>
  <si>
    <t>https://www.99.co/id/komplek-perumahan/669-puri-gardena/units</t>
  </si>
  <si>
    <t>Perumahan Cijingga Indah</t>
  </si>
  <si>
    <t>Jl. Perumahan Citra 2 No.4, RT.4/RW.2, Pegadungan, Kec. Kalideres, Kota Jakarta Barat, Daerah Khusus Ibukota Jakarta 11830</t>
  </si>
  <si>
    <t>https://maps.google.com/?cid=0x0:0xd37dfad3de4815f2</t>
  </si>
  <si>
    <t>Citra Garden 7 Cluster Edelweiss</t>
  </si>
  <si>
    <t>VP32+32C, Jl. Citra Garden VII, RT.6/RW.11, Kalideres, Kec. Kalideres, Kota Jakarta Barat, Daerah Khusus Ibukota Jakarta 11840</t>
  </si>
  <si>
    <t>Jl. Citra Garden VII, RT.6/RW.11, Kalideres, Kec. Kalideres, Kota Jakarta Barat</t>
  </si>
  <si>
    <t>https://maps.google.com/?cid=0x0:0x12aefae497c2a98</t>
  </si>
  <si>
    <t>Rekatama Pondok Bandung</t>
  </si>
  <si>
    <t>Jl. Kresna No.108 A 10, RT.10/RW.2, Kota Bambu Utara, Kec. Palmerah, Kota Jakarta Barat, Daerah Khusus Ibukota Jakarta 11420</t>
  </si>
  <si>
    <t>RT.10/RW.2, Kota Bambu Utara, Kec. Palmerah, Kota Jakarta Barat</t>
  </si>
  <si>
    <t>https://maps.google.com/?cid=0x0:0x246b5ba66149bde4</t>
  </si>
  <si>
    <t>Perumahan Puri Indah</t>
  </si>
  <si>
    <t>blok L dan K, Jl. Kembang Wangi V No.16, RT.6/RW.2, Kembangan Sel., Kec. Kembangan, Kota Jakarta Barat, Daerah Khusus Ibukota Jakarta 11610</t>
  </si>
  <si>
    <t>Jl. Kembang Wangi V No.16, RT.6/RW.2, Kembangan Sel., Kec. Kembangan, Kota Jakarta Barat</t>
  </si>
  <si>
    <t>https://maps.google.com/?cid=0x0:0x8666f53faa57344</t>
  </si>
  <si>
    <t>https://www.rumah123.com/jual/jakarta-barat/puri-indah/rumah/?furnish%5B%5D=2&amp;page=5</t>
  </si>
  <si>
    <t>Mutiara Kedoya</t>
  </si>
  <si>
    <t>Jalan Puri Kembangan No.41, RT.11/RW.5, Kembangan Selatan, Kembangan, RT.11/RW.5, Kembangan Sel., Kec. Kembangan, Kota Jakarta Barat, Daerah Khusus Ibukota Jakarta 11610</t>
  </si>
  <si>
    <t>RT.11/RW.5, Kembangan Selatan, Kembangan, RT.11/RW.5, Kembangan Sel., Kec. Kembangan, Kota Jakarta Barat</t>
  </si>
  <si>
    <t>https://maps.google.com/?cid=0x0:0x11255751a403bbcf</t>
  </si>
  <si>
    <t>https://www.99.co/id/komplek-perumahan/7607-mutiara-kedoya/units</t>
  </si>
  <si>
    <t>Puri Mansion | Edinburgh 1</t>
  </si>
  <si>
    <t>Jl. Edinburgh I No.3, RT.2/RW.1, Kembangan Sel., Kec. Kembangan, Kota Jakarta Barat, Daerah Khusus Ibukota Jakarta 11610</t>
  </si>
  <si>
    <t>RT.2/RW.1, Kembangan Sel., Kec. Kembangan, Kota Jakarta Barat</t>
  </si>
  <si>
    <t>https://maps.google.com/?cid=0x0:0x1dec7b8efd3b9a79</t>
  </si>
  <si>
    <t>https://www.rumah123.com/jual/jakarta-barat/puri-mansion/rumah/</t>
  </si>
  <si>
    <t>Perumahan Taman Kota</t>
  </si>
  <si>
    <t>Jl. Perumahan Taman Kota No.31, RT.3/RW.5, Kembangan Utara, Kec. Kembangan, Kota Jakarta Barat, Daerah Khusus Ibukota Jakarta 11610</t>
  </si>
  <si>
    <t>RT.3/RW.5, Kembangan Utara, Kec. Kembangan, Kota Jakarta Barat</t>
  </si>
  <si>
    <t>https://maps.google.com/?cid=0x0:0xffd9ff18a4e57233</t>
  </si>
  <si>
    <t>https://www.99.co/id/komplek-perumahan/33226-taman-kota/units</t>
  </si>
  <si>
    <t>Griya payung kencana</t>
  </si>
  <si>
    <t>Taman Meruya Ilir Rt008Rw011 blok f11.no.30, Meruya Utara, Kec. Kembangan, Kota Jakarta Barat, Daerah Khusus Ibukota Jakarta 11620</t>
  </si>
  <si>
    <t>Meruya Utara, Kec. Kembangan, Kota Jakarta Barat</t>
  </si>
  <si>
    <t>https://maps.google.com/?cid=0x0:0xa72cf130a4aefd0f</t>
  </si>
  <si>
    <t>BAMBU RESIDENCE</t>
  </si>
  <si>
    <t>Jl. Bambu I No.9, RW.5, Srengseng, Kec. Kembangan, Kota Jakarta Barat, Daerah Khusus Ibukota Jakarta 11630</t>
  </si>
  <si>
    <t>RW.5, Srengseng, Kec. Kembangan, Kota Jakarta Barat</t>
  </si>
  <si>
    <t>https://maps.google.com/?cid=0x0:0x8e6a35e383efa2aa</t>
  </si>
  <si>
    <t>Syafei Residence</t>
  </si>
  <si>
    <t>Jl. Bunga No.22 6, RT.11/RW.5, Meruya Sel., Kec. Kembangan, Kota Jakarta Barat, Daerah Khusus Ibukota Jakarta 11650</t>
  </si>
  <si>
    <t>RT.11/RW.5, Meruya Sel., Kec. Kembangan, Kota Jakarta Barat</t>
  </si>
  <si>
    <t>https://maps.google.com/?cid=0x0:0x1126c08365b9e8a7</t>
  </si>
  <si>
    <t>Kompleks Apartemen</t>
  </si>
  <si>
    <t>Kompleks Ambon Cengkareng</t>
  </si>
  <si>
    <t>Jl. Nilam No.7 6, RT.6/RW.7, Kedaung Kali Angke, Kecamatan Cengkareng, Kota Jakarta Barat, Daerah Khusus Ibukota Jakarta 11710</t>
  </si>
  <si>
    <t>RT.6/RW.7, Kedaung Kali Angke, Kecamatan Cengkareng, Kota Jakarta Barat</t>
  </si>
  <si>
    <t>https://maps.google.com/?cid=0x0:0x8a38198581678436</t>
  </si>
  <si>
    <t>https://www.rumah123.com/properti/jakarta-barat/hos13331662/</t>
  </si>
  <si>
    <t>Kompleks Kondominium</t>
  </si>
  <si>
    <t>Perumahan Griya Rawa Kompeni</t>
  </si>
  <si>
    <t>Komplek Griya Rawa Kompeni Jl. Gaga Rawa Kompeni No.001/004, Kamal, Kec. Kalideres, Kota Jakarta Barat, Daerah Khusus Ibukota Jakarta 11810</t>
  </si>
  <si>
    <t>Kamal, Kec. Kalideres, Kota Jakarta Barat</t>
  </si>
  <si>
    <t>https://maps.google.com/?cid=0x0:0x1823c9bf102a825</t>
  </si>
  <si>
    <t>https://www.rumah123.com/venue/griya-rawa-kompeni-vcm15581/</t>
  </si>
  <si>
    <t>Kompleks Townhouse</t>
  </si>
  <si>
    <t>Perumahan Duta Square</t>
  </si>
  <si>
    <t>Jl. Pangeran Tubagus Angke No.46 2, RT.2/RW.1, Wijaya Kusuma, Kec. Grogol petamburan, Kota Jakarta Barat, Daerah Khusus Ibukota Jakarta 11460</t>
  </si>
  <si>
    <t>RT.2/RW.1, Wijaya Kusuma, Kec. Grogol petamburan, Kota Jakarta Barat</t>
  </si>
  <si>
    <t>https://maps.google.com/?cid=0x0:0xc520715f05326f4b</t>
  </si>
  <si>
    <t>https://www.99.co/id/komplek-perumahan/42046-duta-square/units</t>
  </si>
  <si>
    <t>GRAND TREVISTA RESIDENCE</t>
  </si>
  <si>
    <t>Jl. Anggrek, Klp. Dua, Kec. Kb. Jeruk, Kota Jakarta Barat, Daerah Khusus Ibukota Jakarta 11550</t>
  </si>
  <si>
    <t>Klp. Dua, Kec. Kb. Jeruk, Kota Jakarta Barat</t>
  </si>
  <si>
    <t>https://maps.google.com/?cid=0x0:0xde14751738eb7688</t>
  </si>
  <si>
    <t>https://www.rumah123.com/properti/jakarta-barat/hos14867821/</t>
  </si>
  <si>
    <t>Perumahan Taman Ratu</t>
  </si>
  <si>
    <t>RQJC+W4R, RT.8/RW.13, Duri Kepa, Kec. Kb. Jeruk, Kota Jakarta Barat, Daerah Khusus Ibukota Jakarta 11510</t>
  </si>
  <si>
    <t>RT.8/RW.13, Duri Kepa, Kec. Kb. Jeruk, Kota Jakarta Barat</t>
  </si>
  <si>
    <t>https://maps.google.com/?cid=0x0:0xeead5efa86541bb3</t>
  </si>
  <si>
    <t>https://www.99.co/id/komplek-perumahan/920-taman-ratu/units</t>
  </si>
  <si>
    <t>Taman Kedoya Indah</t>
  </si>
  <si>
    <t>Jl. Kedoya Pesing No.9, RT.9/RW.5, Kedoya Sel., Kec. Kb. Jeruk, Kota Jakarta Barat, Daerah Khusus Ibukota Jakarta 11520</t>
  </si>
  <si>
    <t>RT.9/RW.5, Kedoya Sel., Kec. Kb. Jeruk, Kota Jakarta Barat</t>
  </si>
  <si>
    <t>https://maps.google.com/?cid=0x0:0xcc657a2b969fa6bb</t>
  </si>
  <si>
    <t>https://www.99.co/id/komplek-perumahan/98372-taman-kedoya-indah/units</t>
  </si>
  <si>
    <t>Perumahan citra 5</t>
  </si>
  <si>
    <t>Jl. Perumahan Citra 5 No.6a blok a2, Prepedan, Kec. Kalideres, Kota Jakarta Barat, Daerah Khusus Ibukota Jakarta 11820</t>
  </si>
  <si>
    <t>Prepedan, Kec. Kalideres, Kota Jakarta Barat</t>
  </si>
  <si>
    <t>https://maps.google.com/?cid=0x0:0x5d28d402fc558e7f</t>
  </si>
  <si>
    <t>Taman Duta Mas</t>
  </si>
  <si>
    <t>VQ2H+FVR, Jl. Kusuma Raya, RT.5/RW.12, Wijaya Kusuma, Kec. Grogol petamburan, Kota Jakarta Barat, Daerah Khusus Ibukota Jakarta 11460</t>
  </si>
  <si>
    <t>Jl. Kusuma Raya, RT.5/RW.12, Wijaya Kusuma, Kec. Grogol petamburan, Kota Jakarta Barat</t>
  </si>
  <si>
    <t>https://maps.google.com/?cid=0x0:0x40ac814ecc38a22c</t>
  </si>
  <si>
    <t>https://www.99.co/id/komplek-perumahan/2189-taman-duta-mas/units</t>
  </si>
  <si>
    <t>Citra Garden City 6</t>
  </si>
  <si>
    <t>Citra 6, Blok M.2, Citragarden City Prepedan Kalideres, RT.2/RW.5, Tegal Alur, Kec. Kalideres, Kota Jakarta Barat, Daerah Khusus Ibukota Jakarta 11820</t>
  </si>
  <si>
    <t>Blok M.2, Citragarden City Prepedan Kalideres, RT.2/RW.5, Tegal Alur, Kec. Kalideres, Kota Jakarta Barat</t>
  </si>
  <si>
    <t>https://maps.google.com/?cid=0x0:0x438cac63295bb52b</t>
  </si>
  <si>
    <t>https://www.99.co/id/komplek-perumahan/636-citra-garden-6/units</t>
  </si>
  <si>
    <t>Taman Harapan Indah</t>
  </si>
  <si>
    <t>Hanoman 11 No.5 7, RT.3/RW.7, Jelambar Baru, Kec. Grogol petamburan, Kota Jakarta Barat, Daerah Khusus Ibukota Jakarta 11460</t>
  </si>
  <si>
    <t>RT.3/RW.7, Jelambar Baru, Kec. Grogol petamburan, Kota Jakarta Barat</t>
  </si>
  <si>
    <t>https://maps.google.com/?cid=0x0:0xbacca1734c06bd95</t>
  </si>
  <si>
    <t>https://www.rumah123.com/venue/taman-harapan-indah-vcm15594/</t>
  </si>
  <si>
    <t>Rasamala Town House</t>
  </si>
  <si>
    <t>Jl. Rasamala No.3A 8, RT.8/RW.3, Jatipulo, Kec. Palmerah, Kota Jakarta Barat, Daerah Khusus Ibukota Jakarta 11430</t>
  </si>
  <si>
    <t>RT.8/RW.3, Jatipulo, Kec. Palmerah, Kota Jakarta Barat</t>
  </si>
  <si>
    <t>https://maps.google.com/?cid=0x0:0xffd5bf785c6f4355</t>
  </si>
  <si>
    <t>https://www.rumah123.com/properti/jakarta-barat/hos18582441/</t>
  </si>
  <si>
    <t>KOMPLEKS BTN MERUYA</t>
  </si>
  <si>
    <t>RP3J+X63, Jl. Meruya Utara, RT.1/RW.11, Meruya Utara, Kec. Kembangan, Kota Jakarta Barat, Daerah Khusus Ibukota Jakarta 11620</t>
  </si>
  <si>
    <t>Jl. Meruya Utara, RT.1/RW.11, Meruya Utara, Kec. Kembangan, Kota Jakarta Barat</t>
  </si>
  <si>
    <t>https://maps.google.com/?cid=0x0:0xc39a51693fa28b32</t>
  </si>
  <si>
    <t>Perumahan Steven Jaya Selalu</t>
  </si>
  <si>
    <t>Jl. Dolar Blok EA No.9, RT.11/RW.14, Kapuk, Kecamatan Cengkareng, Kota Jakarta Barat, Daerah Khusus Ibukota Jakarta 11720</t>
  </si>
  <si>
    <t>RT.11/RW.14, Kapuk, Kecamatan Cengkareng, Kota Jakarta Barat</t>
  </si>
  <si>
    <t>https://maps.google.com/?cid=0x0:0x951bfe31be58cf4d</t>
  </si>
  <si>
    <t>City Resort Perumahan Malibu</t>
  </si>
  <si>
    <t>Jl. Malibu Raya No.7 7, RT.7/RW.14, Cengkareng Tim., Kecamatan Cengkareng, Kota Jakarta Barat, Daerah Khusus Ibukota Jakarta 11730</t>
  </si>
  <si>
    <t>RT.7/RW.14, Cengkareng Tim., Kecamatan Cengkareng, Kota Jakarta Barat</t>
  </si>
  <si>
    <t>https://maps.google.com/?cid=0x0:0x6af6b2e0512abfaf</t>
  </si>
  <si>
    <t>https://www.99.co/id/komplek-perumahan/1255-malibu-city-resort/units</t>
  </si>
  <si>
    <t>Taman Surya 1</t>
  </si>
  <si>
    <t>kav., Jl. Daan Mogot No.100, RT.6/RW.3, Jelambar, Kec. Grogol petamburan, Kota Jakarta Barat, Daerah Khusus Ibukota Jakarta 11460</t>
  </si>
  <si>
    <t>Jl. Daan Mogot No.100, RT.6/RW.3, Jelambar, Kec. Grogol petamburan, Kota Jakarta Barat</t>
  </si>
  <si>
    <t>https://maps.google.com/?cid=0x0:0x90080c555fb9e44d</t>
  </si>
  <si>
    <t>https://www.rumah123.com/jual/jakarta-barat/taman-surya/rumah/?furnish%5B%5D=2&amp;page=2</t>
  </si>
  <si>
    <t>Casa Varya Residences</t>
  </si>
  <si>
    <t>Puri Gardenia, Kompleks Blok E2, Pegadungan, Kec. Kalideres, Kota Jakarta Barat, Daerah Khusus Ibukota Jakarta 11830</t>
  </si>
  <si>
    <t>Kompleks Blok E2, Pegadungan, Kec. Kalideres, Kota Jakarta Barat</t>
  </si>
  <si>
    <t>https://maps.google.com/?cid=0x0:0xcf89f3cd784cf9e5</t>
  </si>
  <si>
    <t>https://www.rumah123.com/properti/jakarta-barat/hos18600900/</t>
  </si>
  <si>
    <t>Komplek Perwira Tinggi AD - Meruya, Kembangan</t>
  </si>
  <si>
    <t>Jl. H. Sa'aba No.14 16, RT.16/RW.2, Joglo, Kec. Kembangan, Kota Jakarta Barat, Daerah Khusus Ibukota Jakarta 11640</t>
  </si>
  <si>
    <t>RT.16/RW.2, Joglo, Kec. Kembangan, Kota Jakarta Barat</t>
  </si>
  <si>
    <t>https://maps.google.com/?cid=0x0:0xe6c84574869525e5</t>
  </si>
  <si>
    <t>Perumahan Villa Kelapa Dua</t>
  </si>
  <si>
    <t>Blok I, Umbut No.38 6, RT.1/RW.7, Klp. Dua, Kec. Kb. Jeruk, Kota Jakarta Barat, Daerah Khusus Ibukota Jakarta 11550</t>
  </si>
  <si>
    <t>Umbut No.38 6, RT.1/RW.7, Klp. Dua, Kec. Kb. Jeruk, Kota Jakarta Barat</t>
  </si>
  <si>
    <t>https://maps.google.com/?cid=0x0:0x34b242f1710b8019</t>
  </si>
  <si>
    <t>https://www.99.co/id/komplek-perumahan/501-villa-kelapa-dua/units</t>
  </si>
  <si>
    <t>Komplek Bangun Kapuk Mas</t>
  </si>
  <si>
    <t>Jl. Peternakan Raya No.7, RT.7/RW.7, Kapuk, Kecamatan Cengkareng, Kota Jakarta Barat, Daerah Khusus Ibukota Jakarta 11720</t>
  </si>
  <si>
    <t>RT.7/RW.7, Kapuk, Kecamatan Cengkareng, Kota Jakarta Barat</t>
  </si>
  <si>
    <t>https://maps.google.com/?cid=0x0:0xb0de355853b15de6</t>
  </si>
  <si>
    <t>https://www.rumah123.com/venue/bangun-kapuk-mas-vcm26663/</t>
  </si>
  <si>
    <t>DC residence</t>
  </si>
  <si>
    <t>Jl. Karya No.2 No. 38B, RT.13/RW.2, Wijaya Kusuma, Kec. Grogol petamburan, Kota Jakarta Barat, Daerah Khusus Ibukota Jakarta 11460</t>
  </si>
  <si>
    <t>RT.13/RW.2, Wijaya Kusuma, Kec. Grogol petamburan, Kota Jakarta Barat</t>
  </si>
  <si>
    <t>https://maps.google.com/?cid=0x0:0xcb038680691af6a3</t>
  </si>
  <si>
    <t>Townhouse Tamansari</t>
  </si>
  <si>
    <t>Jl. Taman Sari III No.33, RT.4/RW.3, Maphar, Kec. Taman Sari, Kota Jakarta Barat, Daerah Khusus Ibukota Jakarta 11160</t>
  </si>
  <si>
    <t>RT.4/RW.3, Maphar, Kec. Taman Sari, Kota Jakarta Barat</t>
  </si>
  <si>
    <t>https://maps.google.com/?cid=0x0:0xc40e9a1e4db93f94</t>
  </si>
  <si>
    <t>https://elshpro.com/product/townhouse-taman-sari/</t>
  </si>
  <si>
    <t>Komplek SD Garuda</t>
  </si>
  <si>
    <t>RRW4+FW8, RT.3/RW.2, Duri Utara, Kec. Tambora, Kota Jakarta Barat, Daerah Khusus Ibukota Jakarta 11270</t>
  </si>
  <si>
    <t>RT.3/RW.2, Duri Utara, Kec. Tambora, Kota Jakarta Barat</t>
  </si>
  <si>
    <t>https://maps.google.com/?cid=0x0:0x9d0c5b9a6d0801cb</t>
  </si>
  <si>
    <t>Griya Anugerah</t>
  </si>
  <si>
    <t>Jl. Sitrun No.22, RT.3/RW.10, Kb. Jeruk, Kec. Kb. Jeruk, Kota Jakarta Barat, Daerah Khusus Ibukota Jakarta 11530</t>
  </si>
  <si>
    <t>https://maps.google.com/?cid=0x0:0x90231e5bc9358a64</t>
  </si>
  <si>
    <t>Komplek Muntako</t>
  </si>
  <si>
    <t>Jl. Ks. Tubun IIIC No.3, RT.2/RW.7, Slipi, Kec. Palmerah, Kota Jakarta Barat, Daerah Khusus Ibukota Jakarta 11410</t>
  </si>
  <si>
    <t>RT.2/RW.7, Slipi, Kec. Palmerah, Kota Jakarta Barat</t>
  </si>
  <si>
    <t>https://maps.google.com/?cid=0x0:0xcc72b933f569bfe0</t>
  </si>
  <si>
    <t>Perumahan Griya Taman Sari</t>
  </si>
  <si>
    <t>Bl. Bp griya No.02, RT.12/RW.14, Duri Kepa, Kec. Taman Sari, Kota Jakarta Barat, Daerah Khusus Ibukota Jakarta 11510</t>
  </si>
  <si>
    <t>RT.12/RW.14, Duri Kepa, Kec. Taman Sari, Kota Jakarta Barat</t>
  </si>
  <si>
    <t>https://maps.google.com/?cid=0x0:0xb1408c01398f2896</t>
  </si>
  <si>
    <t>Casandie residence</t>
  </si>
  <si>
    <t>Jl. H. Ja'ani No.6, RT.6/RW.11, Kb. Jeruk, Kec. Kb. Jeruk, Kota Jakarta Barat, Daerah Khusus Ibukota Jakarta 11530</t>
  </si>
  <si>
    <t>RT.6/RW.11, Kb. Jeruk, Kec. Kb. Jeruk, Kota Jakarta Barat</t>
  </si>
  <si>
    <t>https://maps.google.com/?cid=0x0:0xe5a6597152ea83fc</t>
  </si>
  <si>
    <t>The Ashford At Puri Perumahan</t>
  </si>
  <si>
    <t>Jl. Al-Ma'rifah No.6, RT.6/RW.10, Rw. Buaya, Kecamatan Cengkareng, Kota Jakarta Barat, Daerah Khusus Ibukota Jakarta 11740</t>
  </si>
  <si>
    <t>RT.6/RW.10, Rw. Buaya, Kecamatan Cengkareng, Kota Jakarta Barat</t>
  </si>
  <si>
    <t>https://maps.google.com/?cid=0x0:0xc64ed2d6eb70c9f6</t>
  </si>
  <si>
    <t>https://www.rumah123.com/perumahan-baru/properti/jakarta-barat/the-ashford-at-puri/nps3359/</t>
  </si>
  <si>
    <t>Puri Harvest West Jakarta</t>
  </si>
  <si>
    <t>Jl. Pulo-Indah 6 No.41, RT.7/RW.10, Duri Kosambi, Kecamatan Cengkareng, Kota Jakarta Barat, Daerah Khusus Ibukota Jakarta 11750</t>
  </si>
  <si>
    <t>RT.7/RW.10, Duri Kosambi, Kecamatan Cengkareng, Kota Jakarta Barat</t>
  </si>
  <si>
    <t>https://maps.google.com/?cid=0x0:0x5a99ac194d2364be</t>
  </si>
  <si>
    <t>https://www.dekoruma.com/properti/perumahan-puri-harvest-west-jakarta-jakarta-barat?srsltid=AfmBOookP680qs__eb41jQY0fAr-TtQGNuSx2L5lE15aiApEZ3eqChwt</t>
  </si>
  <si>
    <t>Perumahan Green Ville</t>
  </si>
  <si>
    <t>Jl. Tj. Duren Barat No.1 2, RT.2/RW.9, Duri Kepa, Kec. Kb. Jeruk, Kota Jakarta Barat, Daerah Khusus Ibukota Jakarta 11510</t>
  </si>
  <si>
    <t>RT.2/RW.9, Duri Kepa, Kec. Kb. Jeruk, Kota Jakarta Barat</t>
  </si>
  <si>
    <t>https://maps.google.com/?cid=0x0:0x3f2f50ac5f89a2aa</t>
  </si>
  <si>
    <t>Perumahan Palmasera Cengkareng</t>
  </si>
  <si>
    <t>Jl. Jati No.34, RT.11/RW.13, Kapuk, Kecamatan Cengkareng, Kota Jakarta Barat, Daerah Khusus Ibukota Jakarta 11720</t>
  </si>
  <si>
    <t>RT.11/RW.13, Kapuk, Kecamatan Cengkareng, Kota Jakarta Barat</t>
  </si>
  <si>
    <t>https://maps.google.com/?cid=0x0:0x9d94bbe23762d9db</t>
  </si>
  <si>
    <t>https://www.dekoruma.com/properti/dijual-cengkareng-jakarta-barat-rumah-2-lantai-minimalis-oleh-stanley-v08lf7dBwi?srsltid=AfmBOooN-035q0juL1MgNpxg5Ir94G7NPdOWCHqIXdYFERAilnMYhPii</t>
  </si>
  <si>
    <t>Perumahan Taman Palem Mutiara</t>
  </si>
  <si>
    <t>Perumahan Jl. Taman Palem Mutiara No.H1/ 56, RT.13/RW.10, Cengkareng Tim., Kecamatan Cengkareng, Kota Jakarta Barat, Daerah Khusus Ibukota Jakarta 11730</t>
  </si>
  <si>
    <t>RT.13/RW.10, Cengkareng Tim., Kecamatan Cengkareng, Kota Jakarta Barat</t>
  </si>
  <si>
    <t>https://maps.google.com/?cid=0x0:0xdbad0b6cd628b3ce</t>
  </si>
  <si>
    <t>TAMANSARI AGUNG RESIDENCE</t>
  </si>
  <si>
    <t>Jl Keamanan no 52B Rt/Rw 03/08, RT.2/RW.8, Keagungan, Kec. Taman Sari, Kota Jakarta Barat, Daerah Khusus Ibukota Jakarta 11130</t>
  </si>
  <si>
    <t>RT.2/RW.8, Keagungan, Kec. Taman Sari, Kota Jakarta Barat</t>
  </si>
  <si>
    <t>https://maps.google.com/?cid=0x0:0x161015b2240faffc</t>
  </si>
  <si>
    <t>Sunrise Garden</t>
  </si>
  <si>
    <t>RQJ7+5P8, Jl. Surya Utama, RT.4/RW.12, Kedoya Utara, Kec. Kb. Jeruk, Kota Jakarta Barat, Daerah Khusus Ibukota Jakarta 11520</t>
  </si>
  <si>
    <t>Jl. Surya Utama, RT.4/RW.12, Kedoya Utara, Kec. Kb. Jeruk, Kota Jakarta Barat</t>
  </si>
  <si>
    <t>https://maps.google.com/?cid=0x0:0x20c49d403c889f43</t>
  </si>
  <si>
    <t>https://www.99.co/id/jual/rumah/area-jakarta-barat/sunrise-garden</t>
  </si>
  <si>
    <t>Rca X Revive Taman Ratu</t>
  </si>
  <si>
    <t>Jl. Taman Ratu Indah DD3 No.16, Kedoya Utara, Kec. Kb. Jeruk, Kota Jakarta Barat, Daerah Khusus Ibukota Jakarta 11520</t>
  </si>
  <si>
    <t>Kedoya Utara, Kec. Kb. Jeruk, Kota Jakarta Barat</t>
  </si>
  <si>
    <t>https://maps.google.com/?cid=0x0:0x78b6959967e2ccc4</t>
  </si>
  <si>
    <t>Citra Garden VII</t>
  </si>
  <si>
    <t>Jl. Citra Garden VII No.6, RT.6/RW.11, Kalideres, Kec. Kalideres, Kota Jakarta Barat, Daerah Khusus Ibukota Jakarta 11840</t>
  </si>
  <si>
    <t>RT.6/RW.11, Kalideres, Kec. Kalideres, Kota Jakarta Barat</t>
  </si>
  <si>
    <t>https://maps.google.com/?cid=0x0:0xea9999676d97c247</t>
  </si>
  <si>
    <t>https://www.99.co/id/komplek-perumahan/722-citra-garden-7/units</t>
  </si>
  <si>
    <t>Puri Botanical Cluster Magnolia</t>
  </si>
  <si>
    <t>Jalan Raya Joglo, RT.7/RW.8, Joglo, Kembangan, RT.7/RW.8, Joglo, Kec. Kembangan, Kota Jakarta Barat, Daerah Khusus Ibukota Jakarta 11640</t>
  </si>
  <si>
    <t>RT.7/RW.8, Joglo, Kembangan, RT.7/RW.8, Joglo, Kec. Kembangan, Kota Jakarta Barat</t>
  </si>
  <si>
    <t>https://maps.google.com/?cid=0x0:0x690e013afa95862c</t>
  </si>
  <si>
    <t>https://www.rumah123.com/properti/jakarta-barat/hos18074945/</t>
  </si>
  <si>
    <t>Permata Meruya Residences</t>
  </si>
  <si>
    <t>QPRP+F35, Jl. H. Kasam, RT.4/RW.4, Meruya Sel., Kec. Kembangan, Kota Jakarta Barat, Daerah Khusus Ibukota Jakarta 11650</t>
  </si>
  <si>
    <t>Jl. H. Kasam, RT.4/RW.4, Meruya Sel., Kec. Kembangan, Kota Jakarta Barat</t>
  </si>
  <si>
    <t>https://maps.google.com/?cid=0x0:0x8bb2fb037e88cc25</t>
  </si>
  <si>
    <t>https://www.rumah123.com/venue/permata-meruya-residence-vcm16117/</t>
  </si>
  <si>
    <t>Perumahan Golden Palm Residences</t>
  </si>
  <si>
    <t>Jl. Kelapa Gading Permai Jl. Kelapa Gading Raya No.4, Pegadungan, Kec. Kalideres, Kota Jakarta Barat, Daerah Khusus Ibukota Jakarta 11830</t>
  </si>
  <si>
    <t>https://maps.google.com/?cid=0x0:0xf76d71f84ffb2d79</t>
  </si>
  <si>
    <t>https://www.99.co/id/komplek-perumahan/412-golden-palm-residence/units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</si>
  <si>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</si>
  <si>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</si>
  <si>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</si>
  <si>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</si>
  <si>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</si>
  <si>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</si>
  <si>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</si>
  <si>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</si>
  <si>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</si>
  <si>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</si>
  <si>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</si>
  <si>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</si>
  <si>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</si>
  <si>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Bantuan Rumah</t>
  </si>
  <si>
    <t>Perumahan Primkopti</t>
  </si>
  <si>
    <t>Perum Primkopti, Jl. Sketsa No.7 Blok B 7, RT.3/RW.006, Setu, Kec. Cipayung, Kota Jakarta Timur, Daerah Khusus Ibukota Jakarta 13880</t>
  </si>
  <si>
    <t>Jl. Sketsa No.7 Blok B 7, RT.3/RW.006, Setu, Kec. Cipayung, Kota Jakarta Timur</t>
  </si>
  <si>
    <t>https://maps.google.com/?cid=0x0:0xf4824588df2bf836</t>
  </si>
  <si>
    <t>https://www.dekoruma.com/properti/dijual-jatinegara-jakarta-timur-rumah-megah-oleh-prop2go-hMI0myGaay?srsltid=AfmBOoqU_CDgfGEQApXLRg7eythAX116gbcXR15CM4RwXtUWKHCZwQyB</t>
  </si>
  <si>
    <t>Developer Rumah Hunian Khusus</t>
  </si>
  <si>
    <t>Griya Bambu Petung Indah</t>
  </si>
  <si>
    <t>MWG4+W89, RT.1/RW.7, Setu, Kec. Cipayung, Kota Jakarta Timur, Daerah Khusus Ibukota Jakarta 13840</t>
  </si>
  <si>
    <t>RT.1/RW.7, Setu, Kec. Cipayung, Kota Jakarta Timur</t>
  </si>
  <si>
    <t>https://maps.google.com/?cid=0x0:0xd73bcf46a824c206</t>
  </si>
  <si>
    <t>https://pashouses.id/rumah/jalan-bambu-petung</t>
  </si>
  <si>
    <t>Komplek TNI AD III</t>
  </si>
  <si>
    <t>RW8H+QJP, Jl. Raya Bekasi, RT.4/RW.6, Cakung Bar., Kec. Cakung, Kota Jakarta Timur, Daerah Khusus Ibukota Jakarta 13910</t>
  </si>
  <si>
    <t>Jl. Raya Bekasi, RT.4/RW.6, Cakung Bar., Kec. Cakung, Kota Jakarta Timur</t>
  </si>
  <si>
    <t>https://maps.google.com/?cid=0x0:0x90c1864562f06b19</t>
  </si>
  <si>
    <t>Pondok Bambu Town House</t>
  </si>
  <si>
    <t>No., Jl. Bahana Raya No.1, RT.14/RW.5, Pd. Bambu, Kec. Duren Sawit, Kota Jakarta Timur, Daerah Khusus Ibukota Jakarta 13430</t>
  </si>
  <si>
    <t>Jl. Bahana Raya No.1, RT.14/RW.5, Pd. Bambu, Kec. Duren Sawit, Kota Jakarta Timur</t>
  </si>
  <si>
    <t>https://maps.google.com/?cid=0x0:0x2792e711a3fb7866</t>
  </si>
  <si>
    <t>https://rumah.trovit.co.id/listing/ready-modern-mewah-asri-luas-town-house-pondok-bambu-jakarta.80bc571d-3980-4d9f-b043-a4e94eb35466</t>
  </si>
  <si>
    <t>Apartemen Casablanca East Residence</t>
  </si>
  <si>
    <t>Jl. Pahlawan Revolusi No.2, Pd. Bambu, Kec. Duren Sawit, Kota Jakarta Timur, Daerah Khusus Ibukota Jakarta 13430</t>
  </si>
  <si>
    <t>Pd. Bambu, Kec. Duren Sawit, Kota Jakarta Timur</t>
  </si>
  <si>
    <t>https://maps.google.com/?cid=0x0:0xa8675ce9552a66a6</t>
  </si>
  <si>
    <t>https://www.olx.co.id/item/dijual-apartemen-casablanca-east-residence-pondok-bambu-jakarta-timur-iid-932585795</t>
  </si>
  <si>
    <t>Taman Pasadenia</t>
  </si>
  <si>
    <t>Jl. Pulo Mas Timur No.8 10, RT.13/RW.11, Kayu Putih, Kec. Pulo Gadung, Kota Jakarta Timur, Daerah Khusus Ibukota Jakarta 13210</t>
  </si>
  <si>
    <t>RT.13/RW.11, Kayu Putih, Kec. Pulo Gadung, Kota Jakarta Timur</t>
  </si>
  <si>
    <t>https://maps.google.com/?cid=0x0:0x2f1e8bac4a6b0adb</t>
  </si>
  <si>
    <t>https://www.rumah123.com/venue/pasadenia-residence-vcm15441/</t>
  </si>
  <si>
    <t>Gedung Apartemen Berfasilitas Komplet</t>
  </si>
  <si>
    <t>MT. Haryono Residence</t>
  </si>
  <si>
    <t>Jl. Otto Iskandardinata No.60 11, RT.11/RW.12, Cawang, Kecamatan Jatinegara, Kota Jakarta Timur, Daerah Khusus Ibukota Jakarta 13330</t>
  </si>
  <si>
    <t>RT.11/RW.12, Cawang, Kecamatan Jatinegara, Kota Jakarta Timur</t>
  </si>
  <si>
    <t>https://maps.google.com/?cid=0x0:0xfe637407e49baba6</t>
  </si>
  <si>
    <t>https://www.olx.co.id/item/dijual-apartemen-studio-h-residence-mt-haryono-iid-930027205</t>
  </si>
  <si>
    <t>PERUMAHAN BUARAN BARU</t>
  </si>
  <si>
    <t>Jl. Kobra V No.9, RT.9/RW.15, Duren Sawit, Kec. Duren Sawit, Kota Jakarta Timur, Daerah Khusus Ibukota Jakarta 13440</t>
  </si>
  <si>
    <t>RT.9/RW.15, Duren Sawit, Kec. Duren Sawit, Kota Jakarta Timur</t>
  </si>
  <si>
    <t>https://maps.google.com/?cid=0x0:0xcad300d41e08118c</t>
  </si>
  <si>
    <t>Perumahan TMII</t>
  </si>
  <si>
    <t>7, Jl. Rama No.34, RT.7/RW.4, Bambu Apus, Kec. Cipayung, Kota Jakarta Timur, Daerah Khusus Ibukota Jakarta 13890</t>
  </si>
  <si>
    <t>Jl. Rama No.34, RT.7/RW.4, Bambu Apus, Kec. Cipayung, Kota Jakarta Timur</t>
  </si>
  <si>
    <t>https://maps.google.com/?cid=0x0:0xd185cd9c8ee7f25c</t>
  </si>
  <si>
    <t>Perumahan Griya Galaxy 126</t>
  </si>
  <si>
    <t>Jl. SMP 126 No.3 2, RT.2/RW.3, Batu Ampar, Kec. Kramat jati, Kota Jakarta Timur, Daerah Khusus Ibukota Jakarta 13520</t>
  </si>
  <si>
    <t>RT.2/RW.3, Batu Ampar, Kec. Kramat jati, Kota Jakarta Timur</t>
  </si>
  <si>
    <t>https://maps.google.com/?cid=0x0:0x573081a339090dfd</t>
  </si>
  <si>
    <t>https://www.dekoruma.com/properti/dijual-jatinegara-jakarta-timur-rumah-kosong-oleh-nur-j1COyP8sij?srsltid=AfmBOoqc-l95zMjc9kKfE95WyBNK1f3VOOam4la7o9yzxd8vBbEA95z9</t>
  </si>
  <si>
    <t>KOMPLEK PUSDIKLAT DEPNAKER</t>
  </si>
  <si>
    <t>PVCH+H8M, Jl. Pusdiklat Depnaker, RT.12/RW.6, Makasar, Kec. Makasar, Kota Jakarta Timur, Daerah Khusus Ibukota Jakarta 13570</t>
  </si>
  <si>
    <t>Jl. Pusdiklat Depnaker, RT.12/RW.6, Makasar, Kec. Makasar, Kota Jakarta Timur</t>
  </si>
  <si>
    <t>https://maps.google.com/?cid=0x0:0x21f2da8a15ebe025</t>
  </si>
  <si>
    <t>https://rumah.trovit.co.id/listing/rumah-jalan-pusdiklat-depnaker-pinang-ranti-makasar-jaktim.4f1b74ae-fdd0-449c-8fb5-7dd476b06b29</t>
  </si>
  <si>
    <t>Permata adhim</t>
  </si>
  <si>
    <t>QWWP+PPG, Blk. C, RT.10/RW.6, Penggilingan, Kec. Cakung, Kota Jakarta Timur, Daerah Khusus Ibukota Jakarta 13940</t>
  </si>
  <si>
    <t>Blk. C, RT.10/RW.6, Penggilingan, Kec. Cakung, Kota Jakarta Timur</t>
  </si>
  <si>
    <t>https://maps.google.com/?cid=0x0:0xa773e6413c1767e9</t>
  </si>
  <si>
    <t>Taman Dki perumahan asih</t>
  </si>
  <si>
    <t>Jl. Mahoni Elok No.3 Blok G, RT.1/RW.9, Pulo Gebang, Kec. Cakung, Kota Jakarta Timur, Daerah Khusus Ibukota Jakarta 13950</t>
  </si>
  <si>
    <t>RT.1/RW.9, Pulo Gebang, Kec. Cakung, Kota Jakarta Timur</t>
  </si>
  <si>
    <t>https://maps.google.com/?cid=0x0:0x703a6a42867b8dd4</t>
  </si>
  <si>
    <t>Town House Pangeran Lubang Buaya</t>
  </si>
  <si>
    <t>Jl. Ambalat, Lubang Buaya, Kec. Cipayung, Kota Jakarta Timur, Daerah Khusus Ibukota Jakarta 13810</t>
  </si>
  <si>
    <t>Lubang Buaya, Kec. Cipayung, Kota Jakarta Timur</t>
  </si>
  <si>
    <t>https://maps.google.com/?cid=0x0:0x2d81f1ed0ffc8a0b</t>
  </si>
  <si>
    <t>https://www.lamudi.co.id/jual/jakarta/jakarta-timur/rumah-2-lantai-lubang-buaya-173996444738/</t>
  </si>
  <si>
    <t>PERUMAHAN KAVLING SUNDAI</t>
  </si>
  <si>
    <t>Jl. Kramat No.102, RT.4/RW.2, Lubang Buaya, Kec. Cipayung, Kota Jakarta Timur, Daerah Khusus Ibukota Jakarta 13810</t>
  </si>
  <si>
    <t>RT.4/RW.2, Lubang Buaya, Kec. Cipayung, Kota Jakarta Timur</t>
  </si>
  <si>
    <t>https://maps.google.com/?cid=0x0:0x5a2dab2acf0256d</t>
  </si>
  <si>
    <t>Perumahan</t>
  </si>
  <si>
    <t>Perumahan Akbar Residence</t>
  </si>
  <si>
    <t>RT.2/RW.2, Munjul, Kec. Cipayung, Kota Jakarta Timur, Daerah Khusus Ibukota Jakarta 13850</t>
  </si>
  <si>
    <t>Munjul, Kec. Cipayung, Kota Jakarta Timur</t>
  </si>
  <si>
    <t>https://maps.google.com/?cid=0x0:0x1d19575c5bb6527</t>
  </si>
  <si>
    <t>PERUMAHAN MEWAH BUKIT KUPU KUPU</t>
  </si>
  <si>
    <t>Jl. Ridho No.8, RT.10/RW.5, Pd. Ranggon, Kec. Cipayung, Kota Jakarta Timur, Daerah Khusus Ibukota Jakarta 13860</t>
  </si>
  <si>
    <t>RT.10/RW.5, Pd. Ranggon, Kec. Cipayung, Kota Jakarta Timur</t>
  </si>
  <si>
    <t>https://maps.google.com/?cid=0x0:0x8dba45bef0c8141b</t>
  </si>
  <si>
    <t>https://www.facebook.com/groups/549900048532014/posts/2532181430303856/?_rdr</t>
  </si>
  <si>
    <t>Green Lake Cibubur</t>
  </si>
  <si>
    <t>JWR4+JGH, Jl. Pertenakan IV, RT.1/RW.2, Pd. Ranggon, Kec. Cipayung, Kota Jakarta Timur, Daerah Khusus Ibukota Jakarta 13860</t>
  </si>
  <si>
    <t>Jl. Pertenakan IV, RT.1/RW.2, Pd. Ranggon, Kec. Cipayung, Kota Jakarta Timur</t>
  </si>
  <si>
    <t>https://maps.google.com/?cid=0x0:0xa556156419dc03d3</t>
  </si>
  <si>
    <t>https://viollaproperty.com/property/di-jual-rumah-2-lantai-lokasi-perumahan-green-lake-cibubur-pondok-ranggon-jakarta-timur/</t>
  </si>
  <si>
    <t>Perumahan Oasis Mansion Ciracas</t>
  </si>
  <si>
    <t>MVGJ+2P8, RT.6/RW.6, Ciracas, Kec. Ciracas, Kota Jakarta Timur, Daerah Khusus Ibukota Jakarta 13740</t>
  </si>
  <si>
    <t>RT.6/RW.6, Ciracas, Kec. Ciracas, Kota Jakarta Timur</t>
  </si>
  <si>
    <t>https://maps.google.com/?cid=0x0:0x999525fc0355ea7a</t>
  </si>
  <si>
    <t>https://www.lamudi.co.id/jual/jakarta/jakarta-timur/rumah-oasis-ciracas-mansion-selangkah-ke-lrt-cirac-172991885947/</t>
  </si>
  <si>
    <t>The H Residence by Bonzela Property</t>
  </si>
  <si>
    <t>12, Jl. Cawang Baru Tengah No.83, RT.12/RW.11, Cipinang Cempedak, Kecamatan Jatinegara, Kota Jakarta Timur, Daerah Khusus Ibukota Jakarta 13340</t>
  </si>
  <si>
    <t>Jl. Cawang Baru Tengah No.83, RT.12/RW.11, Cipinang Cempedak, Kecamatan Jatinegara, Kota Jakarta Timur</t>
  </si>
  <si>
    <t>https://maps.google.com/?cid=0x0:0x400a07e6100f6fd2</t>
  </si>
  <si>
    <t>https://www.rumah123.com/venue/the-h-residence-vap1255/</t>
  </si>
  <si>
    <t>Ardinan Residence Batu Ampar</t>
  </si>
  <si>
    <t>Jl. SMP 126 No.70, RT.002/RW.3, Batu Ampar, Kec. Kramat jati, Kota Jakarta Timur, Daerah Khusus Ibukota Jakarta 13520</t>
  </si>
  <si>
    <t>RT.002/RW.3, Batu Ampar, Kec. Kramat jati, Kota Jakarta Timur</t>
  </si>
  <si>
    <t>https://maps.google.com/?cid=0x0:0x29c3fd0d079fa563</t>
  </si>
  <si>
    <t>https://ardinanresidencelampiri.com/ardinan-residence-condet/</t>
  </si>
  <si>
    <t>Kompleks AD Bulak Rantai/kopara</t>
  </si>
  <si>
    <t>Jl. Ja. Abah No.1A, RT.2/RW.6, Dukuh, Kec. Kramat jati, Kota Jakarta Timur, Daerah Khusus Ibukota Jakarta 13550</t>
  </si>
  <si>
    <t>RT.2/RW.6, Dukuh, Kec. Kramat jati, Kota Jakarta Timur</t>
  </si>
  <si>
    <t>https://maps.google.com/?cid=0x0:0x53d99ea0b5f6b8b2</t>
  </si>
  <si>
    <t>Cluster Griya Kramat Jati</t>
  </si>
  <si>
    <t>Jl. Bulak Rantai, RT.1/RW.8, Kp. Tengah, Kec. Kramat jati, Kota Jakarta Timur, Daerah Khusus Ibukota Jakarta 13540</t>
  </si>
  <si>
    <t>RT.1/RW.8, Kp. Tengah, Kec. Kramat jati, Kota Jakarta Timur</t>
  </si>
  <si>
    <t>https://maps.google.com/?cid=0x0:0xfe40afdc2ea7973</t>
  </si>
  <si>
    <t>https://www.olx.co.id/item/dijual-rumah-komplek-griya-galaxy-batuampar-iid-923773608</t>
  </si>
  <si>
    <t>Griya Kartini 1</t>
  </si>
  <si>
    <t>Jl. Penggilingan Baru 1 Dalam No.51, RT.4/RW.4, Dukuh, Kec. Kramat jati, Kota Jakarta Timur, Daerah Khusus Ibukota Jakarta 13550</t>
  </si>
  <si>
    <t>RT.4/RW.4, Dukuh, Kec. Kramat jati, Kota Jakarta Timur</t>
  </si>
  <si>
    <t>https://maps.google.com/?cid=0x0:0xa1c29fdd49af567e</t>
  </si>
  <si>
    <t>https://www.pinhome.id/dijual/rumah-sekunder/unit/dijual-rumah-cantik-di-griya-kartini-c-1</t>
  </si>
  <si>
    <t>Cluster Pisangan Baru Blok DD</t>
  </si>
  <si>
    <t>QVRC+39J, RT.8/RW.14, Pisangan Baru, Kec. Matraman, Kota Jakarta Timur, Daerah Khusus Ibukota Jakarta 13110</t>
  </si>
  <si>
    <t>RT.8/RW.14, Pisangan Baru, Kec. Matraman, Kota Jakarta Timur</t>
  </si>
  <si>
    <t>https://maps.google.com/?cid=0x0:0x815aa249f2bc28de</t>
  </si>
  <si>
    <t>https://www.olx.co.id/item/rumah-murah-2-lantai-shm-di-pisangan-baru-jakarta-timur-iid-928161644</t>
  </si>
  <si>
    <t>Cluster Sang Saka</t>
  </si>
  <si>
    <t>Jl. Gongseng Raya No.107-109, RT.4/RW.9, Baru, Kec. Ps. Rebo, Kota Jakarta Timur, Daerah Khusus Ibukota Jakarta 13780</t>
  </si>
  <si>
    <t>RT.4/RW.9, Baru, Kec. Ps. Rebo, Kota Jakarta Timur</t>
  </si>
  <si>
    <t>https://maps.google.com/?cid=0x0:0xe30672710e5b445e</t>
  </si>
  <si>
    <t>Rubingan Residence</t>
  </si>
  <si>
    <t>Jl. Dolang II No.35, RT.10/RW.2, Kalisari, Kec. Ps. Rebo, Kota Jakarta Timur, Daerah Khusus Ibukota Jakarta 13790</t>
  </si>
  <si>
    <t>RT.10/RW.2, Kalisari, Kec. Ps. Rebo, Kota Jakarta Timur</t>
  </si>
  <si>
    <t>https://maps.google.com/?cid=0x0:0x5917f160ed05d241</t>
  </si>
  <si>
    <t>https://www.rumah123.com/properti/jakarta-timur/hos18351742/</t>
  </si>
  <si>
    <t>Nuansa Damai Residence</t>
  </si>
  <si>
    <t>MV76+W5G Nuansa Damai Residence, Jl. Damai IX, RT.14/RW.1, Kalisari, Kec. Ps. Rebo, Kota Jakarta Timur, Daerah Khusus Ibukota Jakarta 13790</t>
  </si>
  <si>
    <t>Jl. Damai IX, RT.14/RW.1, Kalisari, Kec. Ps. Rebo, Kota Jakarta Timur</t>
  </si>
  <si>
    <t>https://maps.google.com/?cid=0x0:0x68e1364e144aca1d</t>
  </si>
  <si>
    <t>https://properti1.com/iklan/jual-rumah-siap-huni-di-kalisari-pasar-rebo-jakarta-timur-nuansa-damai-residence-640560f71d6e345be3792fb7</t>
  </si>
  <si>
    <t>Gading Residence 2</t>
  </si>
  <si>
    <t>Jl. Pori Raya No.13-11 11, RT.11/RW.10, Pisangan Tim., Kec. Pulo Gadung, Kota Jakarta Timur, Daerah Khusus Ibukota Jakarta 13230</t>
  </si>
  <si>
    <t>RT.11/RW.10, Pisangan Tim., Kec. Pulo Gadung, Kota Jakarta Timur</t>
  </si>
  <si>
    <t>https://maps.google.com/?cid=0x0:0xec885305dad27741</t>
  </si>
  <si>
    <t>https://www.pinhome.id/dijual/rumah-sekunder/unit/dijual-rumah-di-jl-pori-raya</t>
  </si>
  <si>
    <t>Komplek Hubad</t>
  </si>
  <si>
    <t>Jl. Radar Baru No.Rt.004/04 Blok. D/6, Kalisari, Kec. Ps. Rebo, Kota Jakarta Timur, Daerah Khusus Ibukota Jakarta 13790</t>
  </si>
  <si>
    <t>Kalisari, Kec. Ps. Rebo, Kota Jakarta Timur</t>
  </si>
  <si>
    <t>https://maps.google.com/?cid=0x0:0x158ec3b273238ed0</t>
  </si>
  <si>
    <t>Jakarta Garden City</t>
  </si>
  <si>
    <t>RWHV+H86, Jl. Jkt Garden City Boulevard, RT.7/RW.6, Cakung Tim., Kec. Cakung, Kota Jakarta Timur, Daerah Khusus Ibukota Jakarta 13910</t>
  </si>
  <si>
    <t>Jl. Jkt Garden City Boulevard, RT.7/RW.6, Cakung Tim., Kec. Cakung, Kota Jakarta Timur</t>
  </si>
  <si>
    <t>https://maps.google.com/?cid=0x0:0x64443ff08284e5ac</t>
  </si>
  <si>
    <t>https://www.99.co/id/jual/rumah/area-jakarta-timur/jakarta-garden-city</t>
  </si>
  <si>
    <t>Cluster Semayang ASYA</t>
  </si>
  <si>
    <t>Semayang Cluster, RT.11/RW.8, Cakung Tim., Kec. Cakung, Kota Jakarta Timur, Daerah Khusus Ibukota Jakarta 13910</t>
  </si>
  <si>
    <t>RT.11/RW.8, Cakung Tim., Kec. Cakung, Kota Jakarta Timur</t>
  </si>
  <si>
    <t>https://maps.google.com/?cid=0x0:0x9b554986cbae8d3b</t>
  </si>
  <si>
    <t>https://m.dekoruma.com/properti/perumahan-semayang-at-asya-jakarta-garden-city-jakarta-timur?utm_source=adwords&amp;gad_source=1&amp;gclid=Cj0KCQjws-S-BhD2ARIsALssG0aOrCF-nnutobEaRcQvZp9qGxmzkOLkGDF6WH4ZwXLI1YCK4Sr7AMkaAvw7EALw_wcB</t>
  </si>
  <si>
    <t>Komplek Perumahan PT. Dharma Niaga</t>
  </si>
  <si>
    <t>Jl. Raya Bekasi KM.17, RT.5/RW.3, Jatinegara, Kec. Cakung, Kota Jakarta Timur, Daerah Khusus Ibukota Jakarta 13930</t>
  </si>
  <si>
    <t>RT.5/RW.3, Jatinegara, Kec. Cakung, Kota Jakarta Timur</t>
  </si>
  <si>
    <t>https://maps.google.com/?cid=0x0:0xd45e55feebf5ca49</t>
  </si>
  <si>
    <t>Komplek Perumahan Puri Jiep Permai</t>
  </si>
  <si>
    <t>Jl. Puri No.14 14, RT.9/RW.3, Jatinegara, Kec. Cakung, Kota Jakarta Timur, Daerah Khusus Ibukota Jakarta 13930</t>
  </si>
  <si>
    <t>RT.9/RW.3, Jatinegara, Kec. Cakung, Kota Jakarta Timur</t>
  </si>
  <si>
    <t>https://maps.google.com/?cid=0x0:0xffd7aac17ca99da3</t>
  </si>
  <si>
    <t>Perumahan Jatinegara Indah</t>
  </si>
  <si>
    <t>Jl. Gn. Krakatau III No.44, RT.01/RW.9, Jatinegara, Kec. Cakung, Kota Jakarta Timur, Daerah Khusus Ibukota Jakarta 13930</t>
  </si>
  <si>
    <t>RT.01/RW.9, Jatinegara, Kec. Cakung, Kota Jakarta Timur</t>
  </si>
  <si>
    <t>https://maps.google.com/?cid=0x0:0x1da72d11db3292a2</t>
  </si>
  <si>
    <t>https://www.99.co/id/properti/ir-21021-dijual-rumah-baru-siap-huni-di-jatinegara-indah-1008768233</t>
  </si>
  <si>
    <t>Perumahan Dinas DKI Aneka Elok</t>
  </si>
  <si>
    <t>Jl. Mahoni Elok No.C15, RT.2/RW.15, Penggilingan, Kec. Cakung, Kota Jakarta Timur, Daerah Khusus Ibukota Jakarta 13940</t>
  </si>
  <si>
    <t>RT.2/RW.15, Penggilingan, Kec. Cakung, Kota Jakarta Timur</t>
  </si>
  <si>
    <t>https://maps.google.com/?cid=0x0:0xa98721217b0ab313</t>
  </si>
  <si>
    <t>https://infolelang.bri.co.id/sale/perumahan-aneka-elok-penggilingan_59966</t>
  </si>
  <si>
    <t>The Royal Residence</t>
  </si>
  <si>
    <t>Jl. Royal Boulevard No.1 Blok C3, RW.4, Pulo Gebang, Kec. Cakung, Kota Jakarta Timur, Daerah Khusus Ibukota Jakarta 13960</t>
  </si>
  <si>
    <t>RW.4, Pulo Gebang, Kec. Cakung, Kota Jakarta Timur</t>
  </si>
  <si>
    <t>https://maps.google.com/?cid=0x0:0x5b6cb07572a425a8</t>
  </si>
  <si>
    <t>https://www.rumah123.com/venue/the-royal-residence-vcm18618/</t>
  </si>
  <si>
    <t>Cluster Valeria - Metland Menteng</t>
  </si>
  <si>
    <t>Cluster Victoria Jl. Valeria Boulevard No.30 Blok G, RW.Metland, Ujung Menteng, Kec. Cakung, Kota Jakarta Timur, Daerah Khusus Ibukota Jakarta 13960</t>
  </si>
  <si>
    <t>RW.Metland, Ujung Menteng, Kec. Cakung, Kota Jakarta Timur</t>
  </si>
  <si>
    <t>https://maps.google.com/?cid=0x0:0x3c278235332ae6d</t>
  </si>
  <si>
    <t>https://rumah.trovit.co.id/listing/rumah-cluster-valeria-6x16-96m-type-5kt-metland-menteng-cakung.12Xd1R1813Y18</t>
  </si>
  <si>
    <t>Perumahan Sakinah</t>
  </si>
  <si>
    <t>Perumahan Sakinah, RT.7/RW.4, Pulo Gebang, Kec. Cakung, Kota Jakarta Timur, Daerah Khusus Ibukota Jakarta 13950</t>
  </si>
  <si>
    <t>RT.7/RW.4, Pulo Gebang, Kec. Cakung, Kota Jakarta Timur</t>
  </si>
  <si>
    <t>https://maps.google.com/?cid=0x0:0x4bc4c2b27b6c9bc</t>
  </si>
  <si>
    <t>https://www.olx.co.id/item/rumah-komersil-cluster-bumi-sakinah-iid-925588015</t>
  </si>
  <si>
    <t>Perumahan Taman Modern</t>
  </si>
  <si>
    <t>Blok G1, Jl. Sakura No.14 14, RT.14/RW.6, Ujung Menteng, Kec. Cakung, Kota Jakarta Timur, Daerah Khusus Ibukota Jakarta 13960</t>
  </si>
  <si>
    <t>Jl. Sakura No.14 14, RT.14/RW.6, Ujung Menteng, Kec. Cakung, Kota Jakarta Timur</t>
  </si>
  <si>
    <t>https://maps.google.com/?cid=0x0:0x7788167cf93866ef</t>
  </si>
  <si>
    <t>https://www.olx.co.id/item/dijual-rumah-cantik-di-taman-modern-cakung-jakarta-timur-e0102and-iid-928731358</t>
  </si>
  <si>
    <t>Royal Residence</t>
  </si>
  <si>
    <t>2, RT.2/RW.4, Ujung Menteng, Kec. Cakung, Kota Jakarta Timur, Daerah Khusus Ibukota Jakarta 13960</t>
  </si>
  <si>
    <t>RT.2/RW.4, Ujung Menteng, Kec. Cakung, Kota Jakarta Timur</t>
  </si>
  <si>
    <t>https://maps.google.com/?cid=0x0:0xd9e8f69e37cbe6b6</t>
  </si>
  <si>
    <t>Damai Residence</t>
  </si>
  <si>
    <t>Jl. Damai No.6, RT.10/RW.9, Lubang Buaya, Kec. Cipayung, Kota Jakarta Timur, Daerah Khusus Ibukota Jakarta 13810</t>
  </si>
  <si>
    <t>RT.10/RW.9, Lubang Buaya, Kec. Cipayung, Kota Jakarta Timur</t>
  </si>
  <si>
    <t>https://maps.google.com/?cid=0x0:0x1df0e9f5f6b6b8f9</t>
  </si>
  <si>
    <t>https://rumah.trovit.co.id/listing/damai-residence-lubang-buaya-jakarta-timur.Y-W1Yl3S_</t>
  </si>
  <si>
    <t>Zanita Residence</t>
  </si>
  <si>
    <t>Jl. Karya No.108, RT.5/RW.6, Lubang Buaya, Kec. Cipayung, Kota Jakarta Timur, Daerah Khusus Ibukota Jakarta 13810</t>
  </si>
  <si>
    <t>RT.5/RW.6, Lubang Buaya, Kec. Cipayung, Kota Jakarta Timur</t>
  </si>
  <si>
    <t>https://maps.google.com/?cid=0x0:0xf8d6dd2a45b14e85</t>
  </si>
  <si>
    <t>https://www.facebook.com/groups/302174856641531/posts/2770336996491959/?_rdr</t>
  </si>
  <si>
    <t>Cluster Naeran I</t>
  </si>
  <si>
    <t>Jl. Albaidho 2, Gg. H. Naeran No.111-114, RT.: 03/RW.11, Lubang Buaya, Kec. Cipayung, Kota Jakarta Timur, Daerah Khusus Ibukota Jakarta 13810</t>
  </si>
  <si>
    <t>Gg. H. Naeran No.111-114, RT.: 03/RW.11, Lubang Buaya, Kec. Cipayung, Kota Jakarta Timur</t>
  </si>
  <si>
    <t>https://maps.google.com/?cid=0x0:0x41e0ce3bd9715910</t>
  </si>
  <si>
    <t>https://www.rumah123.com/properti/jakarta-timur/hos19244921/</t>
  </si>
  <si>
    <t>D'Granada Residence</t>
  </si>
  <si>
    <t>Jl. Cengkeh No.Rt 05 6, RT.6/RW.2, Lubang Buaya, Kec. Cipayung, Kota Jakarta Timur, Daerah Khusus Ibukota Jakarta 13810</t>
  </si>
  <si>
    <t>RT.6/RW.2, Lubang Buaya, Kec. Cipayung, Kota Jakarta Timur</t>
  </si>
  <si>
    <t>https://maps.google.com/?cid=0x0:0xc938dec197209fe8</t>
  </si>
  <si>
    <t>Perumahan Pondok Gede Indah</t>
  </si>
  <si>
    <t>Jl. Raya Pd. Gede No.5, RT.8/RW.1, Lubang Buaya, Kec. Cipayung, Kota Jakarta Timur, Daerah Khusus Ibukota Jakarta 13810</t>
  </si>
  <si>
    <t>RT.8/RW.1, Lubang Buaya, Kec. Cipayung, Kota Jakarta Timur</t>
  </si>
  <si>
    <t>https://maps.google.com/?cid=0x0:0x94296d311276aec2</t>
  </si>
  <si>
    <t>Komplek Kartika Jaya</t>
  </si>
  <si>
    <t>Jl. Kartika Raya No.1 1, RT.1/RW.4, Ceger, Kec. Cipayung, Kota Jakarta Timur, Daerah Khusus Ibukota Jakarta 13820</t>
  </si>
  <si>
    <t>RT.1/RW.4, Ceger, Kec. Cipayung, Kota Jakarta Timur</t>
  </si>
  <si>
    <t>https://maps.google.com/?cid=0x0:0x153d307d841e8c7b</t>
  </si>
  <si>
    <t>https://www.rumah123.com/properti/jakarta-timur/hos18758519/</t>
  </si>
  <si>
    <t>Perumahan Tamini Residence</t>
  </si>
  <si>
    <t>Jl. SMP 160 No.3 3, RT.3/RW.5, Ceger, Kec. Cipayung, Kota Jakarta Timur, Daerah Khusus Ibukota Jakarta 13820</t>
  </si>
  <si>
    <t>RT.3/RW.5, Ceger, Kec. Cipayung, Kota Jakarta Timur</t>
  </si>
  <si>
    <t>https://maps.google.com/?cid=0x0:0x7d7807c05fb18855</t>
  </si>
  <si>
    <t>https://www.rumah123.com/venue/tamini-residence-vcm24464/</t>
  </si>
  <si>
    <t>Komplek Kodam Jaya Cipayung</t>
  </si>
  <si>
    <t>Jl. Bambu Petung No.1, RT.1/RW.7, Cipayung, Kec. Cipayung, Kota Jakarta Timur, Daerah Khusus Ibukota Jakarta</t>
  </si>
  <si>
    <t>Kota Jakarta Timur, Daerah Khusus Ibukota Jakarta</t>
  </si>
  <si>
    <t>https://maps.google.com/?cid=0x0:0xafe4bda2ce2deda4</t>
  </si>
  <si>
    <t>Komplek Perumahan Pusat Polisi Militer</t>
  </si>
  <si>
    <t>Komplek Puspom Ceger, Jl. Raya Ceger blok M-1, RT.10/RW.2, Ceger, Kec. Cipayung, Kota Jakarta Timur, Daerah Khusus Ibukota Jakarta 13820</t>
  </si>
  <si>
    <t>Jl. Raya Ceger blok M-1, RT.10/RW.2, Ceger, Kec. Cipayung, Kota Jakarta Timur</t>
  </si>
  <si>
    <t>https://maps.google.com/?cid=0x0:0x6751f38febe0710e</t>
  </si>
  <si>
    <t>Puri Remaja Asri</t>
  </si>
  <si>
    <t>Jl. Remaja No.22, RT.8/RW.1, Ceger, Kec. Cipayung, Kota Jakarta Timur, Daerah Khusus Ibukota Jakarta 13820</t>
  </si>
  <si>
    <t>RT.8/RW.1, Ceger, Kec. Cipayung, Kota Jakarta Timur</t>
  </si>
  <si>
    <t>https://maps.google.com/?cid=0x0:0xcde0a7ad5fddb994</t>
  </si>
  <si>
    <t>https://www.rumah123.com/venue/puri-remaja-asri-vcm18200/</t>
  </si>
  <si>
    <t>Komplek kodam lama</t>
  </si>
  <si>
    <t>Gg. Jambu No.67, RT.3/RW.3, Ceger, Kec. Cipayung, Kota Jakarta Timur, Daerah Khusus Ibukota Jakarta 13820</t>
  </si>
  <si>
    <t>RT.3/RW.3, Ceger, Kec. Cipayung, Kota Jakarta Timur</t>
  </si>
  <si>
    <t>https://maps.google.com/?cid=0x0:0x8954684b88e7153a</t>
  </si>
  <si>
    <t>Cluster Manunggal</t>
  </si>
  <si>
    <t>MVQP+PC2, RT.2/RW.1, Ceger, Kec. Cipayung, Kota Jakarta Timur, Daerah Khusus Ibukota Jakarta 13820</t>
  </si>
  <si>
    <t>RT.2/RW.1, Ceger, Kec. Cipayung, Kota Jakarta Timur</t>
  </si>
  <si>
    <t>https://maps.google.com/?cid=0x0:0xaefd7738f81f3afd</t>
  </si>
  <si>
    <t>https://rumah.trovit.co.id/listing/rumah-jl-manunggal-raya-cibubur-jakarta-timur.8e73102c-45a5-4c5e-91e5-0fe0a48281c8</t>
  </si>
  <si>
    <t>Perumahan Cilangkap Indah</t>
  </si>
  <si>
    <t>Perumaha Cilangkap indah, Jl. Raya Cilangkap Blok. A11, RT.7/RW.4, Cipayung, Kec. Cipayung, Kota Jakarta Timur, Daerah Khusus Ibukota Jakarta 13840</t>
  </si>
  <si>
    <t>Jl. Raya Cilangkap Blok. A11, RT.7/RW.4, Cipayung, Kec. Cipayung, Kota Jakarta Timur</t>
  </si>
  <si>
    <t>https://maps.google.com/?cid=0x0:0x52de16a4cec2cbe7</t>
  </si>
  <si>
    <t>https://www.rumah123.com/venue/cilangkap-indah-vcm25065/</t>
  </si>
  <si>
    <t>Panca Residence - Bambu Apus</t>
  </si>
  <si>
    <t>Jl. Bambu Petung, Cipayung, Jakarta, Kota Jakarta Timur, Daerah Khusus Ibukota Jakarta 13840</t>
  </si>
  <si>
    <t>Cipayung, Jakarta, Kota Jakarta Timur</t>
  </si>
  <si>
    <t>https://maps.google.com/?cid=0x0:0x9af184f91eddc093</t>
  </si>
  <si>
    <t>https://www.dekoruma.com/properti/perumahan-panca-residence-jakarta-timur?srsltid=AfmBOooZPNx_UlkANkrCVoRdZX9gyeuS3BeSHdfjbzzjgvKuDCciwRJG</t>
  </si>
  <si>
    <t>DH Residence</t>
  </si>
  <si>
    <t>Jl. Tengki Gg.Kenanga 1 No.Ujung 3, RT.8/RW.4, Cipayung, Kec. Cipayung, Kota Jakarta Timur, Daerah Khusus Ibukota Jakarta 13840</t>
  </si>
  <si>
    <t>RT.8/RW.4, Cipayung, Kec. Cipayung, Kota Jakarta Timur</t>
  </si>
  <si>
    <t>https://maps.google.com/?cid=0x0:0xd09d01533e3ac8e</t>
  </si>
  <si>
    <t>https://www.lamudi.co.id/jual/jakarta/jakarta-timur/jual-rumah-cipayung-173625181779/</t>
  </si>
  <si>
    <t>PERUMAHAN THE ROYAL EAST</t>
  </si>
  <si>
    <t>Jl. Cipayung Raya No.88, RT.1/RW.2, Cipayung, Kec. Cipayung, Kota Jakarta Timur, Daerah Khusus Ibukota Jakarta 13840</t>
  </si>
  <si>
    <t>RT.1/RW.2, Cipayung, Kec. Cipayung, Kota Jakarta Timur</t>
  </si>
  <si>
    <t>https://maps.google.com/?cid=0x0:0x7148d287951d6ee8</t>
  </si>
  <si>
    <t>https://www.rumah123.com/venue/the-royal-east-vcm14996/</t>
  </si>
  <si>
    <t>Komplek Dirjen Bina Marga Cipayung</t>
  </si>
  <si>
    <t>Jl. Bina Marga No.18 1, RT.1/RW.5, Cipayung, Kec. Cipayung, Kota Jakarta Timur, Daerah Khusus Ibukota Jakarta 13840</t>
  </si>
  <si>
    <t>RT.1/RW.5, Cipayung, Kec. Cipayung, Kota Jakarta Timur</t>
  </si>
  <si>
    <t>https://maps.google.com/?cid=0x0:0x49c852bcb48b4af0</t>
  </si>
  <si>
    <t>https://rumah.trovit.co.id/listing/rumah-mewah-ada-pool-amp-taman-siap-huni-di-komplek-bina-marga-cipayung.c33eb5ee-d644-4282-b268-80e9dbf4267b</t>
  </si>
  <si>
    <t>Gloria Residence</t>
  </si>
  <si>
    <t>Jl. SMA 64 No.52, RT.2/RW.3, Cipayung, Kec. Cipayung, Kota Jakarta Timur, Daerah Khusus Ibukota Jakarta 13840</t>
  </si>
  <si>
    <t>RT.2/RW.3, Cipayung, Kec. Cipayung, Kota Jakarta Timur</t>
  </si>
  <si>
    <t>https://maps.google.com/?cid=0x0:0x736e13e139e8a314</t>
  </si>
  <si>
    <t>Komplek Polisi Republik Indonesia Munjul</t>
  </si>
  <si>
    <t>Jalan Hankam Munjul Blok Buni No.4, RT.10/RW.3, Munjul, Cipayung, RT.2/RW.3, Munjul, Kec. Cipayung, Kota Jakarta Timur, Daerah Khusus Ibukota Jakarta 13850</t>
  </si>
  <si>
    <t>RT.10/RW.3, Munjul, Cipayung, RT.2/RW.3, Munjul, Kec. Cipayung, Kota Jakarta Timur</t>
  </si>
  <si>
    <t>https://maps.google.com/?cid=0x0:0xd05835eb4b48ad97</t>
  </si>
  <si>
    <t>Green Malaka Residence</t>
  </si>
  <si>
    <t>MV6V+28X, RT.7/RW.1, Munjul, Kec. Cipayung, Kota Jakarta Timur, Daerah Khusus Ibukota Jakarta 13850</t>
  </si>
  <si>
    <t>RT.7/RW.1, Munjul, Kec. Cipayung, Kota Jakarta Timur</t>
  </si>
  <si>
    <t>https://maps.google.com/?cid=0x0:0x2a10caa439418113</t>
  </si>
  <si>
    <t>https://www.99.co/id/properti/cipayung-jakarta-timur-dijual-cepat-rumah-via-lelang-1008841361</t>
  </si>
  <si>
    <t>Griya Semar</t>
  </si>
  <si>
    <t>Jl. Dalang Gg. Semar No.8, RT.8/RW.5, Munjul, Kec. Cipayung, Kota Jakarta Timur, Daerah Khusus Ibukota Jakarta 13850</t>
  </si>
  <si>
    <t>RT.8/RW.5, Munjul, Kec. Cipayung, Kota Jakarta Timur</t>
  </si>
  <si>
    <t>https://maps.google.com/?cid=0x0:0x14d42bba94917826</t>
  </si>
  <si>
    <t>https://www.99.co/id/properti/rumah-siap-huni-di-perumahan-griya-semar-munjul-cipayung-1008670687</t>
  </si>
  <si>
    <t>Perumahan Anggrek Loka jakarta</t>
  </si>
  <si>
    <t>10, Jl. Dalang No.48 11, RT.7/RW.4, Munjul, Kec. Cipayung, Kota Jakarta Timur, Daerah Khusus Ibukota Jakarta 13850</t>
  </si>
  <si>
    <t>Jl. Dalang No.48 11, RT.7/RW.4, Munjul, Kec. Cipayung, Kota Jakarta Timur</t>
  </si>
  <si>
    <t>https://maps.google.com/?cid=0x0:0x7e053f33652d4e3a</t>
  </si>
  <si>
    <t>https://www.rumah123.com/properti/jakarta-timur/hos19260338/</t>
  </si>
  <si>
    <t>Dino Residence</t>
  </si>
  <si>
    <t>Makmur Nomor 2, RT.2/RW.4, Munjul, Kec. Cipayung, Kota Jakarta Timur, Daerah Khusus Ibukota Jakarta 13850</t>
  </si>
  <si>
    <t>RT.2/RW.4, Munjul, Kec. Cipayung, Kota Jakarta Timur</t>
  </si>
  <si>
    <t>https://maps.google.com/?cid=0x0:0xb0f2d022b71e1887</t>
  </si>
  <si>
    <t>https://www.dekoruma.com/properti/dijual-jatinegara-jakarta-timur-rumah-bagus-oleh-farida-88FiHXDWZF?srsltid=AfmBOooBOuUg6TVGTltY6WDb46RsbwDMf2TshIfYkkA59B52Al9qW-MR</t>
  </si>
  <si>
    <t>Peternakan Raya, RT.1/RW.2, Pd. Ranggon, Kec. Cipayung, Kota Jakarta Timur, Daerah Khusus Ibukota Jakarta 13860</t>
  </si>
  <si>
    <t>RT.1/RW.2, Pd. Ranggon, Kec. Cipayung, Kota Jakarta Timur</t>
  </si>
  <si>
    <t>https://maps.google.com/?cid=0x0:0xf282b46c9c916735</t>
  </si>
  <si>
    <t>https://www.pinhome.id/dijual/rumah-sekunder/unit/dijual-rumah-harga-terbaik-di-green-lake-cibubur</t>
  </si>
  <si>
    <t>Cilangkap Baru Residence</t>
  </si>
  <si>
    <t>Jl. Cilangkap Baru No.3, RT.3/RW.1, Pd. Ranggon, Kec. Cipayung, Kota Jakarta Timur, Daerah Khusus Ibukota Jakarta 13870</t>
  </si>
  <si>
    <t>RT.3/RW.1, Pd. Ranggon, Kec. Cipayung, Kota Jakarta Timur</t>
  </si>
  <si>
    <t>https://maps.google.com/?cid=0x0:0xdecc9e88b40ae519</t>
  </si>
  <si>
    <t>https://rumah.trovit.co.id/listing/rumah-split-level-cilangkap-jaktim-baru-mewah-harga-murah-kota-jakarta-timur-arr131-jual-dijual.019363be-7b76-700e-916d-4ea406723f1e</t>
  </si>
  <si>
    <t>Iffath Senders Residences</t>
  </si>
  <si>
    <t>No., Jl. SD Lama No.64, RT.4/RW.1, Pd. Ranggon, Kec. Cipayung, Kota Jakarta Timur, Daerah Khusus Ibukota Jakarta 13860</t>
  </si>
  <si>
    <t>Jl. SD Lama No.64, RT.4/RW.1, Pd. Ranggon, Kec. Cipayung, Kota Jakarta Timur</t>
  </si>
  <si>
    <t>https://maps.google.com/?cid=0x0:0xd2a0dcc13e118ead</t>
  </si>
  <si>
    <t>Cluster Mungil Serut</t>
  </si>
  <si>
    <t>JWW6+QV8, Cluster Mungil Serut, RT.6/RW.4, Pd. Ranggon, Kec. Cipayung, Kota Jakarta Timur, Daerah Khusus Ibukota Jakarta 13860</t>
  </si>
  <si>
    <t>Cluster Mungil Serut, RT.6/RW.4, Pd. Ranggon, Kec. Cipayung, Kota Jakarta Timur</t>
  </si>
  <si>
    <t>https://maps.google.com/?cid=0x0:0xc542cffe039bf42d</t>
  </si>
  <si>
    <t>Perumahan Panorama Alam</t>
  </si>
  <si>
    <t>Cilangkap, Kec. Cipayung, Kota Jakarta Timur, Daerah Khusus Ibukota Jakarta</t>
  </si>
  <si>
    <t>https://maps.google.com/?cid=0x0:0x3d9dbba4de99f18f</t>
  </si>
  <si>
    <t>https://www.brighton.co.id/cari-properti/view/perumahan-panorama-alam-jl-assyafiiyah-cilangkap-cipayung-jakarta-timur</t>
  </si>
  <si>
    <t>Perumahan Puri Cilangkap</t>
  </si>
  <si>
    <t>Jl. Raya Mabes TNI, RT.1/RW.2, Cilangkap, Kec. Cipayung, Kota Jakarta Timur, Daerah Khusus Ibukota Jakarta 13870</t>
  </si>
  <si>
    <t>RT.1/RW.2, Cilangkap, Kec. Cipayung, Kota Jakarta Timur</t>
  </si>
  <si>
    <t>https://maps.google.com/?cid=0x0:0xf9a4ed63a1455a0d</t>
  </si>
  <si>
    <t>https://www.dekoruma.com/properti/dijual-jatinegara-jakarta-timur-rumah-modern-oleh-angky-yY6BcrPcXI</t>
  </si>
  <si>
    <t>8 Grand Residence Cilangkap</t>
  </si>
  <si>
    <t>Jl. Setu Cipayung No.88, RT.5/RW.4, Cilangkap, Kec. Cipayung, Kota Jakarta Timur, Daerah Khusus Ibukota Jakarta 13870</t>
  </si>
  <si>
    <t>RT.5/RW.4, Cilangkap, Kec. Cipayung, Kota Jakarta Timur</t>
  </si>
  <si>
    <t>https://maps.google.com/?cid=0x0:0x274f1683e8676f7f</t>
  </si>
  <si>
    <t>https://kumpulproperti.com/id/34595/dijual-atau-disewakan-rumah-mewah-di-8-grand-residence-cilangkap-jakarta-timur</t>
  </si>
  <si>
    <t>Perumahan Green Cilangkap Indah</t>
  </si>
  <si>
    <t>Jl. Buni 1, RT.3/RW.5, Cilangkap, Kec. Cipayung, Kota Jakarta Timur, Daerah Khusus Ibukota Jakarta 13870</t>
  </si>
  <si>
    <t>RT.3/RW.5, Cilangkap, Kec. Cipayung, Kota Jakarta Timur</t>
  </si>
  <si>
    <t>https://maps.google.com/?cid=0x0:0x474100efb70f3af</t>
  </si>
  <si>
    <t>Nino Residence</t>
  </si>
  <si>
    <t>Nino Residence, RT.7/RW.6, Cilangkap, Kec. Cipayung, Kota Jakarta Timur, Daerah Khusus Ibukota Jakarta 13870</t>
  </si>
  <si>
    <t>RT.7/RW.6, Cilangkap, Kec. Cipayung, Kota Jakarta Timur</t>
  </si>
  <si>
    <t>https://maps.google.com/?cid=0x0:0x92e4f58ac3334f5</t>
  </si>
  <si>
    <t>https://www.pinhome.id/dijual/rumah-sekunder/unit/dijual-rumah-di-nino-residence</t>
  </si>
  <si>
    <t>Perumahan The Green Cipayung Regency</t>
  </si>
  <si>
    <t>Jl. Setu Cipayung No.17, RT.1/RW.4, Cipayung, Kec. Cipayung, Kota Jakarta Timur, Daerah Khusus Ibukota Jakarta 13840</t>
  </si>
  <si>
    <t>RT.1/RW.4, Cipayung, Kec. Cipayung, Kota Jakarta Timur</t>
  </si>
  <si>
    <t>https://maps.google.com/?cid=0x0:0x6c8ef410b12e3cbe</t>
  </si>
  <si>
    <t>https://www.rumah123.com/venue/the-green-cipayung-regency-vcm19414/</t>
  </si>
  <si>
    <t>Komplek Setoe village</t>
  </si>
  <si>
    <t>Jl. Hwarang No.1, RT.1/RW.3, Setu, Kec. Cipayung, Kota Jakarta Timur, Daerah Khusus Ibukota Jakarta 13880</t>
  </si>
  <si>
    <t>RT.1/RW.3, Setu, Kec. Cipayung, Kota Jakarta Timur</t>
  </si>
  <si>
    <t>https://maps.google.com/?cid=0x0:0xc3a4e57d4128398</t>
  </si>
  <si>
    <t>https://www.facebook.com/permalink.php/?story_fbid=3431756263612302&amp;id=2224876200966987</t>
  </si>
  <si>
    <t>Bulo’s Residence</t>
  </si>
  <si>
    <t>Jl. Setu Indah VIII No.22, RT.9/RW.4, Setu, Kec. Cipayung, Kota Jakarta Timur, Daerah Khusus Ibukota Jakarta 13880</t>
  </si>
  <si>
    <t>RT.9/RW.4, Setu, Kec. Cipayung, Kota Jakarta Timur</t>
  </si>
  <si>
    <t>https://maps.google.com/?cid=0x0:0xdcacc1a07b8f5b32</t>
  </si>
  <si>
    <t>Bambu Apus Indah Residence</t>
  </si>
  <si>
    <t>Jl. Bambu Wulung 2, RT.6/RW.5, Bambu Apus, Kec. Cipayung, Kota Jakarta Timur, Daerah Khusus Ibukota Jakarta 13890</t>
  </si>
  <si>
    <t>RT.6/RW.5, Bambu Apus, Kec. Cipayung, Kota Jakarta Timur</t>
  </si>
  <si>
    <t>https://maps.google.com/?cid=0x0:0xd2283f5dc1d631f9</t>
  </si>
  <si>
    <t>https://rumah.trovit.co.id/listing/rumah-di-bambu-apus-cipayung.a54567f5-6555-421b-9edd-bc778f55ac98</t>
  </si>
  <si>
    <t>D'Cananga Royal Cluster</t>
  </si>
  <si>
    <t>MVMX+GFJ, Jl. Kenanga, Bambu Apus, Kec. Cipayung, Kota Jakarta Timur, Daerah Khusus Ibukota Jakarta 13890</t>
  </si>
  <si>
    <t>Jl. Kenanga, Bambu Apus, Kec. Cipayung, Kota Jakarta Timur</t>
  </si>
  <si>
    <t>https://maps.google.com/?cid=0x0:0x7f29196cb2a3a81f</t>
  </si>
  <si>
    <t>https://www.dekoruma.com/properti/perumahan-dcananga-royal-cluster-jakarta-timur?srsltid=AfmBOorsWUjIOfS-pePOTSvES9bONV0zPHCR3wx6ZI4ETRSrIkrVMXx-</t>
  </si>
  <si>
    <t>Perumahan Pesona Bambu Apus</t>
  </si>
  <si>
    <t>6, Jl. Gempol Raya No.18, RT.6/RW.2, Bambu Apus, Kec. Cipayung, Kota Jakarta Timur, Daerah Khusus Ibukota Jakarta 13890</t>
  </si>
  <si>
    <t>Jl. Gempol Raya No.18, RT.6/RW.2, Bambu Apus, Kec. Cipayung, Kota Jakarta Timur</t>
  </si>
  <si>
    <t>https://maps.google.com/?cid=0x0:0x34a18b2d84d54b8b</t>
  </si>
  <si>
    <t>Adhiasta Residence</t>
  </si>
  <si>
    <t>Jl. Bambu Mas, RT.5/RW.5, Bambu Apus, Kec. Cipayung, Kota Jakarta Timur, Daerah Khusus Ibukota Jakarta 13890</t>
  </si>
  <si>
    <t>RT.5/RW.5, Bambu Apus, Kec. Cipayung, Kota Jakarta Timur</t>
  </si>
  <si>
    <t>https://maps.google.com/?cid=0x0:0x6db59bec24180d70</t>
  </si>
  <si>
    <t>https://www.rumah123.com/properti/jakarta-timur/hos17018661/</t>
  </si>
  <si>
    <t>Perumahan Bambu Apus Village</t>
  </si>
  <si>
    <t>MWR3+VVP, Gg. Melati, RT.7/RW.3, Bambu Apus, Kec. Cipayung, Kota Jakarta Timur, Daerah Khusus Ibukota Jakarta 13890</t>
  </si>
  <si>
    <t>Gg. Melati, RT.7/RW.3, Bambu Apus, Kec. Cipayung, Kota Jakarta Timur</t>
  </si>
  <si>
    <t>https://maps.google.com/?cid=0x0:0x93bd0166717b0c29</t>
  </si>
  <si>
    <t>https://pashouses.id/rumah/perumahan-bambu-apus-village</t>
  </si>
  <si>
    <t>KJ Residence</t>
  </si>
  <si>
    <t>MWX7+7M7, Jl. Pagelarang, RT.7/RW.3, Lubang Buaya, Kec. Cipayung, Kota Jakarta Timur, Daerah Khusus Ibukota Jakarta 13890</t>
  </si>
  <si>
    <t>Jl. Pagelarang, RT.7/RW.3, Lubang Buaya, Kec. Cipayung, Kota Jakarta Timur</t>
  </si>
  <si>
    <t>https://maps.google.com/?cid=0x0:0x748a02c7d3c50c39</t>
  </si>
  <si>
    <t>BAMBOO ROYAL RESIDENCE</t>
  </si>
  <si>
    <t>Jl. Bambu Apus Raya No.18, RT.12/RW.3, Bambu Apus, Kec. Cipayung, Kota Jakarta Timur, Daerah Khusus Ibukota Jakarta 13890</t>
  </si>
  <si>
    <t>RT.12/RW.3, Bambu Apus, Kec. Cipayung, Kota Jakarta Timur</t>
  </si>
  <si>
    <t>https://maps.google.com/?cid=0x0:0x7ef65a1e82d2bebe</t>
  </si>
  <si>
    <t>Komplek PPA</t>
  </si>
  <si>
    <t>Jl. H. Baping No.4, RT.4/RW.9, Ciracas, Kec. Ciracas, Kota Jakarta Timur, Daerah Khusus Ibukota Jakarta 13740</t>
  </si>
  <si>
    <t>RT.4/RW.9, Ciracas, Kec. Ciracas, Kota Jakarta Timur</t>
  </si>
  <si>
    <t>https://maps.google.com/?cid=0x0:0xf93ec3534a989bed</t>
  </si>
  <si>
    <t>https://www.pinhome.id/dijual/rumah-sekunder/unit/dijual-rumah-di-jl-ppa-bambu-apus-gg-damai-1-no42</t>
  </si>
  <si>
    <t>Cluster Tower Ciracas</t>
  </si>
  <si>
    <t>Gg. H. Sati No.59 10, RT.12/RW.9, Ciracas, Kec. Ciracas, Kota Jakarta Timur, Daerah Khusus Ibukota Jakarta 13740</t>
  </si>
  <si>
    <t>RT.12/RW.9, Ciracas, Kec. Ciracas, Kota Jakarta Timur</t>
  </si>
  <si>
    <t>https://maps.google.com/?cid=0x0:0x8e1f7b34c7787a38</t>
  </si>
  <si>
    <t>Perumahan Kavling DPRD DKI</t>
  </si>
  <si>
    <t>Jl. Karya Bakti, RT.11/RW.7, Cibubur, Kec. Ciracas, Kota Jakarta Timur, Daerah Khusus Ibukota Jakarta 13720</t>
  </si>
  <si>
    <t>RT.11/RW.7, Cibubur, Kec. Ciracas, Kota Jakarta Timur</t>
  </si>
  <si>
    <t>https://maps.google.com/?cid=0x0:0xce9791e91ecc0026</t>
  </si>
  <si>
    <t>https://rumah.trovit.co.id/listing/dijual-rumah-mewah-baru-perum-dprd-dki-cibubur-kota-jakarta-timur-lokasi-hijau-asri-strategis.0192d1ed-8e86-733c-a139-424fe0f5b79c</t>
  </si>
  <si>
    <t>Pancanaka Green Leaf</t>
  </si>
  <si>
    <t>1, Jl. Taruna Jaya No.65, RT.3/RW.13, Cibubur, Kec. Ciracas, Kota Jakarta Timur, Daerah Khusus Ibukota Jakarta 13720</t>
  </si>
  <si>
    <t>Jl. Taruna Jaya No.65, RT.3/RW.13, Cibubur, Kec. Ciracas, Kota Jakarta Timur</t>
  </si>
  <si>
    <t>https://maps.google.com/?cid=0x0:0x1f3d9ad2f2d95ac</t>
  </si>
  <si>
    <t>https://www.rumah123.com/venue/pancanaka-green-leaf-vcm15534/</t>
  </si>
  <si>
    <t>Kavling Bukit Asri</t>
  </si>
  <si>
    <t>Jl. Abdulrahman No.50 12, RT.12/RW.5, Cibubur, Kec. Ciracas, Kota Jakarta Timur, Daerah Khusus Ibukota Jakarta 13720</t>
  </si>
  <si>
    <t>RT.12/RW.5, Cibubur, Kec. Ciracas, Kota Jakarta Timur</t>
  </si>
  <si>
    <t>https://maps.google.com/?cid=0x0:0x1d9d3e01671321de</t>
  </si>
  <si>
    <t>Ciracas Family Residence</t>
  </si>
  <si>
    <t>MV5J+M3W, Jl. Persatuan, RT.8/RW.8, Klp. Dua Wetan, Kec. Ciracas, Kota Jakarta Timur, Daerah Khusus Ibukota Jakarta 13730</t>
  </si>
  <si>
    <t>Jl. Persatuan, RT.8/RW.8, Klp. Dua Wetan, Kec. Ciracas, Kota Jakarta Timur</t>
  </si>
  <si>
    <t>https://maps.google.com/?cid=0x0:0x54e4d990f4e24e5</t>
  </si>
  <si>
    <t>https://www.rumah123.com/properti/jakarta-timur/hos18689409/</t>
  </si>
  <si>
    <t>Green Grass Townhouse Ciracas</t>
  </si>
  <si>
    <t>Jl. Raya Klp. Dua Wetan No.2, RT.1/RW.1, Klp. Dua Wetan, Kec. Ciracas, Kota Jakarta Timur, Daerah Khusus Ibukota Jakarta 13730</t>
  </si>
  <si>
    <t>RT.1/RW.1, Klp. Dua Wetan, Kec. Ciracas, Kota Jakarta Timur</t>
  </si>
  <si>
    <t>https://maps.google.com/?cid=0x0:0xed0836cae82e88ba</t>
  </si>
  <si>
    <t>https://www.jualrumahjakarta.com/2564/jual-rumah-cluster-bagus-di-green-grass-ciracas-tmii-jakarta-timur-31-kt-3-km/</t>
  </si>
  <si>
    <t>Perumahan Kemhan Mabes TNI Cibubur</t>
  </si>
  <si>
    <t>Jl. Anggur No.H 33, RT.3/RW.3, Klp. Dua Wetan, Kec. Ciracas, Kota Jakarta Timur, Daerah Khusus Ibukota Jakarta 13730</t>
  </si>
  <si>
    <t>RT.3/RW.3, Klp. Dua Wetan, Kec. Ciracas, Kota Jakarta Timur</t>
  </si>
  <si>
    <t>https://maps.google.com/?cid=0x0:0x7a581c89d37b5d79</t>
  </si>
  <si>
    <t>HIKARI ASA RESIDENCE</t>
  </si>
  <si>
    <t>Gg. Darussalam No.59, RT.10/RW.11, Klp. Dua Wetan, Kec. Ciracas, Kota Jakarta Timur, Daerah Khusus Ibukota Jakarta 13730</t>
  </si>
  <si>
    <t>RT.10/RW.11, Klp. Dua Wetan, Kec. Ciracas, Kota Jakarta Timur</t>
  </si>
  <si>
    <t>https://maps.google.com/?cid=0x0:0x7c0b7bff1d14c2ca</t>
  </si>
  <si>
    <t>Komplek PTB</t>
  </si>
  <si>
    <t>Jl. Indokisar Blok IID No.8, RT.1/RW.5, Klp. Dua Wetan, Kec. Ciracas, Kota Jakarta Timur, Daerah Khusus Ibukota Jakarta 13730</t>
  </si>
  <si>
    <t>RT.1/RW.5, Klp. Dua Wetan, Kec. Ciracas, Kota Jakarta Timur</t>
  </si>
  <si>
    <t>https://maps.google.com/?cid=0x0:0x85a44f09e5fcbdc4</t>
  </si>
  <si>
    <t>Pandan Wangi Residence</t>
  </si>
  <si>
    <t>Jl. Pandan Wangi No.11 1, RT.1/RW.9, Klp. Dua Wetan, Kec. Ciracas, Kota Jakarta Timur, Daerah Khusus Ibukota Jakarta 13730</t>
  </si>
  <si>
    <t>RT.1/RW.9, Klp. Dua Wetan, Kec. Ciracas, Kota Jakarta Timur</t>
  </si>
  <si>
    <t>https://maps.google.com/?cid=0x0:0xae1f33df5b1e2339</t>
  </si>
  <si>
    <t>https://www.rumah123.com/perumahan-baru/properti/jakarta-timur/pandan-wangi-residence/nps2348/</t>
  </si>
  <si>
    <t>Panca Residence - Ciracas</t>
  </si>
  <si>
    <t>Jl. Pengantin Ali No.4, Ciracas, Kec. Ciracas, Kota Jakarta Timur, Daerah Khusus Ibukota Jakarta 13740</t>
  </si>
  <si>
    <t>Ciracas, Kec. Ciracas, Kota Jakarta Timur</t>
  </si>
  <si>
    <t>https://maps.google.com/?cid=0x0:0xad568cc97a63a835</t>
  </si>
  <si>
    <t>https://www.rumah123.com/properti/jakarta-timur/hos19312923/</t>
  </si>
  <si>
    <t>Komplek Depkes</t>
  </si>
  <si>
    <t>Gg. Usaha 1, Ciracas, Kec. Ciracas, Kota Jakarta Timur, Daerah Khusus Ibukota Jakarta 13740</t>
  </si>
  <si>
    <t>https://maps.google.com/?cid=0x0:0xfdff6eeb6a71330a</t>
  </si>
  <si>
    <t>https://cbdjakarta.raywhite.co.id/properti/415549/rumah-di-komplek-depkes-kramat-jati-cocok-untuk-kos2anusahadekat-dengan-rs-polri</t>
  </si>
  <si>
    <t>Rosewood Residence Ciracas</t>
  </si>
  <si>
    <t>Jl. Pengantin Ali No.14, RT.6/RW.6, Ciracas, Kec. Ciracas, Kota Jakarta Timur, Daerah Khusus Ibukota Jakarta 13740</t>
  </si>
  <si>
    <t>https://maps.google.com/?cid=0x0:0xbb629382877c4c48</t>
  </si>
  <si>
    <t>Cahaya Residence 2</t>
  </si>
  <si>
    <t>Jl. Masjid Al-Ishlah No.6 3, RT.3/RW.7, Susukan, Kec. Ciracas, Kota Jakarta Timur, Daerah Khusus Ibukota Jakarta 13750</t>
  </si>
  <si>
    <t>RT.3/RW.7, Susukan, Kec. Ciracas, Kota Jakarta Timur</t>
  </si>
  <si>
    <t>https://maps.google.com/?cid=0x0:0x1380ec55baa6a4da</t>
  </si>
  <si>
    <t>https://www.pinhome.id/dijual/rumah-sekunder/unit/dijual-rumah-di-jl-pandan-alas-no-58k-cahaya-residence</t>
  </si>
  <si>
    <t>Perumahan Sava Village Ciracas</t>
  </si>
  <si>
    <t>MVF9+48C, Jl. H.M. Seman, RT.12/RW.1, Susukan, Kec. Ciracas, Kota Jakarta Timur, Daerah Khusus Ibukota Jakarta 13750</t>
  </si>
  <si>
    <t>Jl. H.M. Seman, RT.12/RW.1, Susukan, Kec. Ciracas, Kota Jakarta Timur</t>
  </si>
  <si>
    <t>https://maps.google.com/?cid=0x0:0x6304b0cbc117fd93</t>
  </si>
  <si>
    <t>https://homesyariah.com/properti/perumahan-ciracas-jakarta-timur-sava-village/</t>
  </si>
  <si>
    <t>Mutiara Baping Residance</t>
  </si>
  <si>
    <t>MVQF+CVX, RT.7/RW.6, Susukan, Kec. Ciracas, Kota Jakarta Timur, Daerah Khusus Ibukota Jakarta 13750</t>
  </si>
  <si>
    <t>RT.7/RW.6, Susukan, Kec. Ciracas, Kota Jakarta Timur</t>
  </si>
  <si>
    <t>https://maps.google.com/?cid=0x0:0xb3466e8ecf0d6a01</t>
  </si>
  <si>
    <t>MARSI Residence</t>
  </si>
  <si>
    <t>No, Jl. Suci No.115 4, RT.9/RW.6, Susukan, Kec. Ciracas, Kota Jakarta Timur, Daerah Khusus Ibukota Jakarta 13750</t>
  </si>
  <si>
    <t>Jl. Suci No.115 4, RT.9/RW.6, Susukan, Kec. Ciracas, Kota Jakarta Timur</t>
  </si>
  <si>
    <t>https://maps.google.com/?cid=0x0:0xfa09dbf4f5b57975</t>
  </si>
  <si>
    <t>https://www.rumah123.com/properti/jakarta-timur/hos18532719/</t>
  </si>
  <si>
    <t>HN town house</t>
  </si>
  <si>
    <t>Jl. Raya Poncol No.4, RT.7/RW.01, Ciracas, Kec. Ciracas, Kota Jakarta Timur, Daerah Khusus Ibukota Jakarta 13750</t>
  </si>
  <si>
    <t>RT.7/RW.01, Ciracas, Kec. Ciracas, Kota Jakarta Timur</t>
  </si>
  <si>
    <t>https://maps.google.com/?cid=0x0:0xa2083f924b5e3f4a</t>
  </si>
  <si>
    <t>Perumahan Taman Permata</t>
  </si>
  <si>
    <t>Jl. Bumi Harapan Permata No.5 3, RT.3/RW.1, Rambutan, Kec. Ciracas, Kota Jakarta Timur, Daerah Khusus Ibukota Jakarta 13830</t>
  </si>
  <si>
    <t>RT.3/RW.1, Rambutan, Kec. Ciracas, Kota Jakarta Timur</t>
  </si>
  <si>
    <t>https://maps.google.com/?cid=0x0:0x8fd6b4eb9478fe03</t>
  </si>
  <si>
    <t>https://www.dekoruma.com/properti/dijual-ciracas-jakarta-timur-rumah-2-lantai-mewah-oleh-muhammad-irzamsyah-TMlEDwvpDN?srsltid=AfmBOop6QcLznpeTOAZZ2ws1y6zlbRRPMCEJn2cuke9ZPz8V-wfTmgCw</t>
  </si>
  <si>
    <t>Janur Village Residence Ciracas</t>
  </si>
  <si>
    <t>Jl. Pengantin Ali No.8 12, RT.12/RW.6, Rambutan, Kec. Ciracas, Kota Jakarta Timur, Daerah Khusus Ibukota Jakarta 13740</t>
  </si>
  <si>
    <t>RT.12/RW.6, Rambutan, Kec. Ciracas, Kota Jakarta Timur</t>
  </si>
  <si>
    <t>https://maps.google.com/?cid=0x0:0xdf437a7deadac572</t>
  </si>
  <si>
    <t>https://www.lamudi.co.id/jual/jakarta/jakarta-timur/rumah-semi-furnish-di-ciracas-jakarta-timur/</t>
  </si>
  <si>
    <t>Ciracas Gate Residence 2</t>
  </si>
  <si>
    <t>Jl. Penganten Ali II No.41, RT.8/RW.6, Ciracas, Kec. Ciracas, Kota Jakarta Timur, Daerah Khusus Ibukota Jakarta 13740</t>
  </si>
  <si>
    <t>RT.8/RW.6, Ciracas, Kec. Ciracas, Kota Jakarta Timur</t>
  </si>
  <si>
    <t>https://maps.google.com/?cid=0x0:0x1d6371d08376835e</t>
  </si>
  <si>
    <t>https://www.dotproperty.id/rumah-dijual-dengan-3-kamar-tidur-di-ciracas-jakarta_6067207</t>
  </si>
  <si>
    <t>Green Residence Pondok Bambu</t>
  </si>
  <si>
    <t>Jalan Taruna No.52 RT.008RW.004, Pd. Bambu, Kec. Duren Sawit, Kota Jakarta Timur, Daerah Khusus Ibukota Jakarta 13430</t>
  </si>
  <si>
    <t>https://maps.google.com/?cid=0x0:0x877f8fd787849c26</t>
  </si>
  <si>
    <t>Komplek Perumahan Pondok Kopi</t>
  </si>
  <si>
    <t>Jl. Pd. Kopi Tim. No.3 6, RT.2/RW.11, Pd. Kopi, Kec. Duren Sawit, Kota Jakarta Timur, Daerah Khusus Ibukota Jakarta 13460</t>
  </si>
  <si>
    <t>RT.2/RW.11, Pd. Kopi, Kec. Duren Sawit, Kota Jakarta Timur</t>
  </si>
  <si>
    <t>https://maps.google.com/?cid=0x0:0xd7c7324248f49196</t>
  </si>
  <si>
    <t>https://www.lamudi.co.id/jual/jakarta/jakarta-timur/dijual-cepat-rumah-malaka-country-estate-pondok-ko-17399337283/</t>
  </si>
  <si>
    <t>QW6R+5F4, Jl. Pd. Klp. Sel., RT.15/RW.2, Pd. Klp., Kec. Duren Sawit, Kota Jakarta Timur, Daerah Khusus Ibukota Jakarta 13450</t>
  </si>
  <si>
    <t>Jl. Pd. Klp. Sel., RT.15/RW.2, Pd. Klp., Kec. Duren Sawit, Kota Jakarta Timur</t>
  </si>
  <si>
    <t>https://maps.google.com/?cid=0x0:0xb41dbb02ddcb6fd8</t>
  </si>
  <si>
    <t>Cluster Griya Asri Duren Sawit</t>
  </si>
  <si>
    <t>Jalan Swadaya VIII No. 76 A - H, RT.13/RW.1, Duren Sawit, Kec. Duren Sawit, Kota Jakarta Timur, Daerah Khusus Ibukota Jakarta 13440</t>
  </si>
  <si>
    <t>RT.13/RW.1, Duren Sawit, Kec. Duren Sawit, Kota Jakarta Timur</t>
  </si>
  <si>
    <t>https://maps.google.com/?cid=0x0:0x9242378b2b0f0862</t>
  </si>
  <si>
    <t>https://www.dekoruma.com/properti/dijual-duren-sawit-jakarta-timur-rumah-2-lantai-mewah-oleh-lien-lee-kEr3q4NOCk?srsltid=AfmBOopWSUvaRNn6OWxt20FrEnjd0hvGyP0bJaxHHddB2kwIXXb0YmGG</t>
  </si>
  <si>
    <t>Palm Garden Residence</t>
  </si>
  <si>
    <t>Palm Garden Residence, Jl. Poncol Raya No.6 2, RT.6/RW.7, Pd. Bambu, Kec. Duren Sawit, Kota Jakarta Timur, Daerah Khusus Ibukota Jakarta 13430</t>
  </si>
  <si>
    <t>Jl. Poncol Raya No.6 2, RT.6/RW.7, Pd. Bambu, Kec. Duren Sawit, Kota Jakarta Timur</t>
  </si>
  <si>
    <t>https://maps.google.com/?cid=0x0:0xb31565af3492a5b3</t>
  </si>
  <si>
    <t>https://www.dekoruma.com/properti/dijual-duren-sawit-jakarta-timur-rumah-2-lantai-menarik-oleh-naomi-rEBuMCHqJr?srsltid=AfmBOop3THxy0fTspk0qdPuDoT139UmpLqVhf0D6r606RF2wIUz5QZYc</t>
  </si>
  <si>
    <t>Duren Sawit Residence</t>
  </si>
  <si>
    <t>Jl. Inpres No.Raya, Klender, Kec. Duren Sawit, Kota Jakarta Timur, Daerah Khusus Ibukota Jakarta 13470</t>
  </si>
  <si>
    <t>Klender, Kec. Duren Sawit, Kota Jakarta Timur</t>
  </si>
  <si>
    <t>https://maps.google.com/?cid=0x0:0x11478d1aa6d05186</t>
  </si>
  <si>
    <t>https://www.99.co/id/properti/rumah-duren-sawit-residence-dekat-stasiun-buaran-1003938398</t>
  </si>
  <si>
    <t>Rhema Residence</t>
  </si>
  <si>
    <t>QW55+CVP, RT.16/RW.7, Pd. Bambu, Kec. Duren Sawit, Kota Jakarta Timur, Daerah Khusus Ibukota Jakarta 13430</t>
  </si>
  <si>
    <t>RT.16/RW.7, Pd. Bambu, Kec. Duren Sawit, Kota Jakarta Timur</t>
  </si>
  <si>
    <t>https://maps.google.com/?cid=0x0:0x36a25f0c48ba3358</t>
  </si>
  <si>
    <t>Pondok Swadaya Duren Sawit</t>
  </si>
  <si>
    <t>QW69+P5V, Jl. Swadaya Raya, RT.2/RW.5, Duren Sawit, Kec. Duren Sawit, Kota Jakarta Timur, Daerah Khusus Ibukota Jakarta 13440</t>
  </si>
  <si>
    <t>Jl. Swadaya Raya, RT.2/RW.5, Duren Sawit, Kec. Duren Sawit, Kota Jakarta Timur</t>
  </si>
  <si>
    <t>https://maps.google.com/?cid=0x0:0xf193b976a2927fbe</t>
  </si>
  <si>
    <t>https://rumah.trovit.co.id/listing/rumah-gedong-pake-murah-di-swadaya-duren-sawit.1n1t1us13sn1F</t>
  </si>
  <si>
    <t>Taman Duren Sawit Rawa Domba</t>
  </si>
  <si>
    <t>Jl. Taman Duren Sawit No.4, RT.4/RW.16, Duren Sawit, Kec. Duren Sawit, Kota Jakarta Timur, Daerah Khusus Ibukota Jakarta 13440</t>
  </si>
  <si>
    <t>RT.4/RW.16, Duren Sawit, Kec. Duren Sawit, Kota Jakarta Timur</t>
  </si>
  <si>
    <t>https://maps.google.com/?cid=0x0:0xd7b5b1791afa9f58</t>
  </si>
  <si>
    <t>https://rumah.trovit.co.id/listing/dijual-rumah-jalan-raya-rawa-domba-duren-sawit-jakarta-timur-lokasi-strategis.01913681-3baf-7ee7-a8fa-5c3cd6d45db7</t>
  </si>
  <si>
    <t>Baladewa Residence</t>
  </si>
  <si>
    <t>Jl. Baladewa No.15 9, RT.9/RW.3, Duren Sawit, Kec. Duren Sawit, Kota Jakarta Timur, Daerah Khusus Ibukota Jakarta 13440</t>
  </si>
  <si>
    <t>RT.9/RW.3, Duren Sawit, Kec. Duren Sawit, Kota Jakarta Timur</t>
  </si>
  <si>
    <t>https://maps.google.com/?cid=0x0:0x1d151ac3f9b57041</t>
  </si>
  <si>
    <t>https://www.dotproperty.id/rumah-dijual-dengan-5-kamar-tidur-di-duren-sawit-jakarta_6284199</t>
  </si>
  <si>
    <t>Komp. Billymoon</t>
  </si>
  <si>
    <t>Blok CG2, Jl. Janur IX No.9, RT.6/RW.10, Pd. Klp., Kec. Duren Sawit, Kota Jakarta Timur, Daerah Khusus Ibukota Jakarta 13450</t>
  </si>
  <si>
    <t>Jl. Janur IX No.9, RT.6/RW.10, Pd. Klp., Kec. Duren Sawit, Kota Jakarta Timur</t>
  </si>
  <si>
    <t>https://maps.google.com/?cid=0x0:0x80535254e3930ab5</t>
  </si>
  <si>
    <t>https://www.olx.co.id/item/s547b-rumah-baru-termurah-di-billymoon-pondok-kelapa-jakarta-timur-iid-932233833</t>
  </si>
  <si>
    <t>Harris Residence</t>
  </si>
  <si>
    <t>Jl. Klp. Sawit Raya Am No.21 5, RT.8/RW.7, Pd. Klp., Kec. Duren Sawit, Kota Jakarta Timur, Daerah Khusus Ibukota Jakarta 13450</t>
  </si>
  <si>
    <t>RT.8/RW.7, Pd. Klp., Kec. Duren Sawit, Kota Jakarta Timur</t>
  </si>
  <si>
    <t>https://maps.google.com/?cid=0x0:0x98b2664de6f1fcb4</t>
  </si>
  <si>
    <t>https://www.rumah123.com/venue/harris-residence-vcm29976/</t>
  </si>
  <si>
    <t>Perumahan Palem Indah</t>
  </si>
  <si>
    <t>Jl. Pd. Kelapa Raya No.16, RT.16/RW.2, Pd. Kopi, Kec. Duren Sawit, Kota Jakarta Timur, Daerah Khusus Ibukota Jakarta 13460</t>
  </si>
  <si>
    <t>RT.16/RW.2, Pd. Kopi, Kec. Duren Sawit, Kota Jakarta Timur</t>
  </si>
  <si>
    <t>https://maps.google.com/?cid=0x0:0xf3fbeb04ed22742d</t>
  </si>
  <si>
    <t>https://rumah.trovit.co.id/listing/palem-indah-pondok-kelapa-jakarta-timur.1i1-1j1ZV121a1_</t>
  </si>
  <si>
    <t>Perum Billy Moon</t>
  </si>
  <si>
    <t>QW4H+38F, RT.7/RW.10, Pd. Klp., Kec. Duren Sawit, Kota Jakarta Timur, Daerah Khusus Ibukota Jakarta 13450</t>
  </si>
  <si>
    <t>RT.7/RW.10, Pd. Klp., Kec. Duren Sawit, Kota Jakarta Timur</t>
  </si>
  <si>
    <t>https://maps.google.com/?cid=0x0:0x23b8e05b30167dba</t>
  </si>
  <si>
    <t>Perumahan Pondok Kelapa</t>
  </si>
  <si>
    <t>QW3F+G5W, Jl. Klp. Kopyor 13, RT.13/RW.7, Pd. Klp., Kec. Duren Sawit, Kota Jakarta Timur, Daerah Khusus Ibukota Jakarta 13450</t>
  </si>
  <si>
    <t>Jl. Klp. Kopyor 13, RT.13/RW.7, Pd. Klp., Kec. Duren Sawit, Kota Jakarta Timur</t>
  </si>
  <si>
    <t>https://maps.google.com/?cid=0x0:0xa7a4bbfbe95af728</t>
  </si>
  <si>
    <t>https://www.olx.co.id/item/rumah-bagus-bebas-banjir-dan-siap-dihuni-di-pondok-kelapa-iid-931755920</t>
  </si>
  <si>
    <t>Zukha Town House</t>
  </si>
  <si>
    <t>Jl. H. Dogon No.15, RT.18/RW.2, Pd. Klp., Kec. Duren Sawit, Kota Jakarta Timur, Daerah Khusus Ibukota Jakarta 13450</t>
  </si>
  <si>
    <t>RT.18/RW.2, Pd. Klp., Kec. Duren Sawit, Kota Jakarta Timur</t>
  </si>
  <si>
    <t>https://maps.google.com/?cid=0x0:0x5b7c06fdcb918421</t>
  </si>
  <si>
    <t>https://www.dekoruma.com/properti/perumahan-zukha-townhouse-jakarta-timur?srsltid=AfmBOorQqbd5erEKHdHFAvLJEMWlsY2xT18Z4I00nwfsm1yUGaUNv7pI</t>
  </si>
  <si>
    <t>Kompleks Prosida</t>
  </si>
  <si>
    <t>QW6V+56W, Jl. H. Naman, RT.2/RW.2, Pd. Klp., Kec. Duren Sawit, Kota Jakarta Timur, Daerah Khusus Ibukota Jakarta 13450</t>
  </si>
  <si>
    <t>Jl. H. Naman, RT.2/RW.2, Pd. Klp., Kec. Duren Sawit, Kota Jakarta Timur</t>
  </si>
  <si>
    <t>https://maps.google.com/?cid=0x0:0xa79951462346b680</t>
  </si>
  <si>
    <t>ARDINAN RESIDENCE LAMPIRI</t>
  </si>
  <si>
    <t>Jl. Pondok Kelapa Selatan VIIC No.45, RT.5/RW.5, Pd. Klp., Kec. Duren Sawit, Kota Jakarta Timur, Daerah Khusus Ibukota Jakarta 13450</t>
  </si>
  <si>
    <t>RT.5/RW.5, Pd. Klp., Kec. Duren Sawit, Kota Jakarta Timur</t>
  </si>
  <si>
    <t>https://maps.google.com/?cid=0x0:0x47aa3b450c06da49</t>
  </si>
  <si>
    <t>https://www.dekoruma.com/properti/dijual-duren-sawit-jakarta-timur-rumah-2-lantai-dijual-oleh-revaldy-muhammad-EATcp8vxj6?srsltid=AfmBOorYxWC_ojdXBlg_9mQCEyf-tcVmFyDB1ZPXu9nKQBE1MrH-WiJi</t>
  </si>
  <si>
    <t>Pondok Kelapa Gardenia</t>
  </si>
  <si>
    <t>Jl. Lampiri Raya No.23, RT.2/RW.12, Pd. Klp., Kec. Duren Sawit, Kota Jakarta Timur, Daerah Khusus Ibukota Jakarta 13450</t>
  </si>
  <si>
    <t>RT.2/RW.12, Pd. Klp., Kec. Duren Sawit, Kota Jakarta Timur</t>
  </si>
  <si>
    <t>https://maps.google.com/?cid=0x0:0x5602975382926856</t>
  </si>
  <si>
    <t>Taman Malaka Utara VI</t>
  </si>
  <si>
    <t>Jl. Taman Malaka Utara 6 No.5, RT.5/RW.9, Malaka Sari, Kec. Duren Sawit, Kota Jakarta Timur, Daerah Khusus Ibukota Jakarta 13460</t>
  </si>
  <si>
    <t>RT.5/RW.9, Malaka Sari, Kec. Duren Sawit, Kota Jakarta Timur</t>
  </si>
  <si>
    <t>https://maps.google.com/?cid=0x0:0xb4e36af7fab5f771</t>
  </si>
  <si>
    <t>https://www.olx.co.id/item/luas-180m2-rumah-megah-di-taman-malaka-pondok-kelapa-iid-930338069</t>
  </si>
  <si>
    <t>Cluster Swadaya Residence</t>
  </si>
  <si>
    <t>No., Jl. Swadaya Raya No.29, RT.2/RW.5, Duren Sawit, Kec. Duren Sawit, Kota Jakarta Timur, Daerah Khusus Ibukota Jakarta 13440</t>
  </si>
  <si>
    <t>Jl. Swadaya Raya No.29, RT.2/RW.5, Duren Sawit, Kec. Duren Sawit, Kota Jakarta Timur</t>
  </si>
  <si>
    <t>https://maps.google.com/?cid=0x0:0xcceda4fff7a02c3b</t>
  </si>
  <si>
    <t>https://www.dekoruma.com/properti/dijual-duren-sawit-jakarta-timur-rumah-2-lantai-modern-oleh-pringgondani-qRbEm9O5vG?srsltid=AfmBOoooyGDnEGWeJeb7OoOK4wWQ-sNp_y9VX1EFKRlXPej5E2iBzk0r</t>
  </si>
  <si>
    <t>Matraman Town House</t>
  </si>
  <si>
    <t>Jl. Matraman Raya No.155, RW.9, Palmeriam, Kec. Matraman, Kota Jakarta Timur, Daerah Khusus Ibukota Jakarta 13140</t>
  </si>
  <si>
    <t>RW.9, Palmeriam, Kec. Matraman, Kota Jakarta Timur</t>
  </si>
  <si>
    <t>https://maps.google.com/?cid=0x0:0xd5246db45a92e614</t>
  </si>
  <si>
    <t>https://rumah.trovit.co.id/listing/town-house-3-lantai-di-lokasi-cantik-di-matraman-jakarta-timur.b225b85c-c1d3-47da-8610-f29b25f62131</t>
  </si>
  <si>
    <t>Bukit Duri Permai</t>
  </si>
  <si>
    <t>Jalan Jatinegara Barat No.105, RT.13, Bidara Cina, Jatinegara, RT.4/RW.3, Kp. Melayu, Kecamatan Jatinegara, Kota Jakarta Timur, Daerah Khusus Ibukota Jakarta 13320</t>
  </si>
  <si>
    <t>RT.13, Bidara Cina, Jatinegara, RT.4/RW.3, Kp. Melayu, Kecamatan Jatinegara, Kota Jakarta Timur</t>
  </si>
  <si>
    <t>https://maps.google.com/?cid=0x0:0x7a0d2f2b6ee752f9</t>
  </si>
  <si>
    <t>https://rumah.trovit.co.id/listing/rumah-cantik-siap-huni-di-bukit-duri-permai-jakarta-timur.1H1a1r1k1u1h1Si</t>
  </si>
  <si>
    <t>Komplek TNI AL Kebon Nanas</t>
  </si>
  <si>
    <t>Jl. Di Panjaitan No.17, RT.9/RW.2, Cipinang Cempedak, Kecamatan Jatinegara, Kota Jakarta Timur, Daerah Khusus Ibukota Jakarta 13340</t>
  </si>
  <si>
    <t>RT.9/RW.2, Cipinang Cempedak, Kecamatan Jatinegara, Kota Jakarta Timur</t>
  </si>
  <si>
    <t>https://maps.google.com/?cid=0x0:0x4b49401565129679</t>
  </si>
  <si>
    <t>Cluster baru cipinang muara</t>
  </si>
  <si>
    <t>Gg. Wiro Jl. Y No.25, RT.5/RW.3, Cipinang Muara, Kecamatan Jatinegara, Kota Jakarta Timur, Daerah Khusus Ibukota Jakarta 13420</t>
  </si>
  <si>
    <t>RT.5/RW.3, Cipinang Muara, Kecamatan Jatinegara, Kota Jakarta Timur</t>
  </si>
  <si>
    <t>https://maps.google.com/?cid=0x0:0xdf42f1f04b1a364c</t>
  </si>
  <si>
    <t>https://www.olx.co.id/item/dijual-rumah-baru-di-cipinang-muara-jakarta-timur-iid-917601245</t>
  </si>
  <si>
    <t>Jatinegara Paradise Cluster</t>
  </si>
  <si>
    <t>Jl. Cipinang Lontar, Cipinang Muara, Kecamatan Jatinegara, Kota Jakarta Timur, Daerah Khusus Ibukota Jakarta 13420</t>
  </si>
  <si>
    <t>Cipinang Muara, Kecamatan Jatinegara, Kota Jakarta Timur</t>
  </si>
  <si>
    <t>https://maps.google.com/?cid=0x0:0xab14551d6833fb09</t>
  </si>
  <si>
    <t>https://www.lamudi.co.id/jual/jakarta/jakarta-timur/jatinegara-paradise-cluster-baru-di-cipinang-muara-170502511892/</t>
  </si>
  <si>
    <t>KANSA RESIDENCE</t>
  </si>
  <si>
    <t>Jl. H. Taiman Ujung No.7, RT.7/RW.4, Kp. Tengah, Kec. Kramat jati, Kota Jakarta Timur, Daerah Khusus Ibukota Jakarta 13540</t>
  </si>
  <si>
    <t>RT.7/RW.4, Kp. Tengah, Kec. Kramat jati, Kota Jakarta Timur</t>
  </si>
  <si>
    <t>https://maps.google.com/?cid=0x0:0x2e2c77fc26c96bd0</t>
  </si>
  <si>
    <t>https://rumah.trovit.co.id/listing/kansa-residence-jakarta-timur.e9223c5b-793d-40ed-adea-cd8806093294</t>
  </si>
  <si>
    <t>Arsa Residence Jakarta Timur</t>
  </si>
  <si>
    <t>Jl. Dukuh V No.10, RT.6/RW.5, Dukuh, Kec. Kramat jati, Kota Jakarta Timur, Daerah Khusus Ibukota Jakarta 13550</t>
  </si>
  <si>
    <t>RT.6/RW.5, Dukuh, Kec. Kramat jati, Kota Jakarta Timur</t>
  </si>
  <si>
    <t>https://maps.google.com/?cid=0x0:0x7c5d64c68892bc16</t>
  </si>
  <si>
    <t>https://www.rumah123.com/venue/arsa-residence-vcm21614/</t>
  </si>
  <si>
    <t>Cluster Green Kramat Jati</t>
  </si>
  <si>
    <t>Jl. Nugraha 1 No.7 9, RT.10/RW.9, Kramat Jati, Kec. Kramat jati, Kota Jakarta Timur, Daerah Khusus Ibukota Jakarta 13510</t>
  </si>
  <si>
    <t>RT.10/RW.9, Kramat Jati, Kec. Kramat jati, Kota Jakarta Timur</t>
  </si>
  <si>
    <t>https://maps.google.com/?cid=0x0:0x739e663a349553e0</t>
  </si>
  <si>
    <t>Komplek Pelita Air Service. Kramat Jati</t>
  </si>
  <si>
    <t>Jl. Raya Bogor, RT.1/RW.2, Batu Ampar, Kec. Kramat jati, Kota Jakarta Timur, Daerah Khusus Ibukota Jakarta 13520</t>
  </si>
  <si>
    <t>RT.1/RW.2, Batu Ampar, Kec. Kramat jati, Kota Jakarta Timur</t>
  </si>
  <si>
    <t>https://maps.google.com/?cid=0x0:0xab8db7518662c55d</t>
  </si>
  <si>
    <t>https://www.brighton.co.id/cari-properti/view/komplek-pelita-air-service</t>
  </si>
  <si>
    <t>Mahkota Residence Condet</t>
  </si>
  <si>
    <t>Jl. Raya Condet No.69, RT.4/RW.3, Batu Ampar, Kec. Kramat jati, Kota Jakarta Timur, Daerah Khusus Ibukota Jakarta 13520</t>
  </si>
  <si>
    <t>RT.4/RW.3, Batu Ampar, Kec. Kramat jati, Kota Jakarta Timur</t>
  </si>
  <si>
    <t>https://maps.google.com/?cid=0x0:0x1de8ea559ff7053e</t>
  </si>
  <si>
    <t>https://id.carousell.com/p/rumah-fullfurnish-dalam-cluster-mahkota-residence-condet-jakarta-1161433522/</t>
  </si>
  <si>
    <t>Al Banna Residence</t>
  </si>
  <si>
    <t>Jl. Batu Tulis III No.93 10, RT.10/RW.3, Batu Ampar, Kec. Kramat jati, Kota Jakarta Timur, Daerah Khusus Ibukota Jakarta 13520</t>
  </si>
  <si>
    <t>RT.10/RW.3, Batu Ampar, Kec. Kramat jati, Kota Jakarta Timur</t>
  </si>
  <si>
    <t>https://maps.google.com/?cid=0x0:0x876fbb00444b728e</t>
  </si>
  <si>
    <t>https://www.ayojualrumah.com/properti/al-banna-residence/25711</t>
  </si>
  <si>
    <t>Kompleks Graha Alam Indah Condet</t>
  </si>
  <si>
    <t>PV64+5QF, Jl. Raya Condet Jl. Alam Indah, RT.1/RW.3, Batu Ampar, Kec. Kramat jati, Kota Jakarta Timur, Daerah Khusus Ibukota Jakarta 13520</t>
  </si>
  <si>
    <t>Jl. Raya Condet Jl. Alam Indah, RT.1/RW.3, Batu Ampar, Kec. Kramat jati, Kota Jakarta Timur</t>
  </si>
  <si>
    <t>https://maps.google.com/?cid=0x0:0xd9435480fbc4d8ff</t>
  </si>
  <si>
    <t>Sedap Malam Residence</t>
  </si>
  <si>
    <t>Gg. Sedap Malam No.RT 04, RT.4/RW.4, Balekambang, Kec. Kramat jati, Kota Jakarta Timur, Daerah Khusus Ibukota Jakarta 13530</t>
  </si>
  <si>
    <t>RT.4/RW.4, Balekambang, Kec. Kramat jati, Kota Jakarta Timur</t>
  </si>
  <si>
    <t>https://maps.google.com/?cid=0x0:0x5a4b4e8bc3ead38a</t>
  </si>
  <si>
    <t>White Casa Residence</t>
  </si>
  <si>
    <t>Jl. Kramat Bar., RT.8/RW.4, Kp. Tengah, Kec. Kramat jati, Kota Jakarta Timur, Daerah Khusus Ibukota Jakarta 13540</t>
  </si>
  <si>
    <t>RT.8/RW.4, Kp. Tengah, Kec. Kramat jati, Kota Jakarta Timur</t>
  </si>
  <si>
    <t>https://maps.google.com/?cid=0x0:0xa039351d177b19ce</t>
  </si>
  <si>
    <t>https://www.99.co/id/properti/1009040152</t>
  </si>
  <si>
    <t>Pinewood Residence</t>
  </si>
  <si>
    <t>PVFC+4VC, Jl. Kerja Bakti, RT.1/RW.2, Makasar, Kec. Kramat jati, Kota Jakarta Timur, Daerah Khusus Ibukota Jakarta</t>
  </si>
  <si>
    <t>https://maps.google.com/?cid=0x0:0x9dbe431da9ffce43</t>
  </si>
  <si>
    <t>https://www.rumah123.com/venue/pinewood-residence-vcm28943/</t>
  </si>
  <si>
    <t>Grand Dukuh Indah</t>
  </si>
  <si>
    <t>Jl. Penggilingan Baru I No.Dalam 14, RT.14/RW.4, Dukuh, Kec. Kramat jati, Kota Jakarta Timur, Daerah Khusus Ibukota Jakarta 13550</t>
  </si>
  <si>
    <t>RT.14/RW.4, Dukuh, Kec. Kramat jati, Kota Jakarta Timur</t>
  </si>
  <si>
    <t>https://maps.google.com/?cid=0x0:0x4cd677931659a8c5</t>
  </si>
  <si>
    <t>https://www.rumah123.com/properti/jakarta-timur/hos17846752/</t>
  </si>
  <si>
    <t>Citra Dukuh Residence</t>
  </si>
  <si>
    <t>Jl. MAN 6 No.6 10, RT.10/RW.4, Dukuh, Kec. Kramat jati, Kota Jakarta Timur, Daerah Khusus Ibukota Jakarta 13550</t>
  </si>
  <si>
    <t>RT.10/RW.4, Dukuh, Kec. Kramat jati, Kota Jakarta Timur</t>
  </si>
  <si>
    <t>https://maps.google.com/?cid=0x0:0xc7486e41e1721e1e</t>
  </si>
  <si>
    <t>Griya Alam Dukuh</t>
  </si>
  <si>
    <t>Jl. Penggilingan Baru I No.88, RT.11/RW.4, Dukuh, Kec. Kramat jati, Kota Jakarta Timur, Daerah Khusus Ibukota Jakarta 13550</t>
  </si>
  <si>
    <t>RT.11/RW.4, Dukuh, Kec. Kramat jati, Kota Jakarta Timur</t>
  </si>
  <si>
    <t>https://maps.google.com/?cid=0x0:0xc6284a4b42dc6e77</t>
  </si>
  <si>
    <t>https://emeraldavenue.raywhite.co.id/properti/334941/dijual-rumah-bagus-di-perum-griya-alam-asri-jl-batu-sari-kramat-jati</t>
  </si>
  <si>
    <t>Pondok dukuh indah 1</t>
  </si>
  <si>
    <t>Jl. Al-Bashor No.9, RT.9/RW.3, Dukuh, Kec. Kramat jati, Kota Jakarta Timur, Daerah Khusus Ibukota Jakarta 13550</t>
  </si>
  <si>
    <t>RT.9/RW.3, Dukuh, Kec. Kramat jati, Kota Jakarta Timur</t>
  </si>
  <si>
    <t>https://maps.google.com/?cid=0x0:0xf677b4c6a4dfd052</t>
  </si>
  <si>
    <t>Wisma Dukuh Permai 4</t>
  </si>
  <si>
    <t>Jl. Kampus No.22 16, RT.16/RW.4, Dukuh, Kec. Kramat jati, Kota Jakarta Timur, Daerah Khusus Ibukota Jakarta 13550</t>
  </si>
  <si>
    <t>RT.16/RW.4, Dukuh, Kec. Kramat jati, Kota Jakarta Timur</t>
  </si>
  <si>
    <t>https://maps.google.com/?cid=0x0:0x23e10bb44fdc7af1</t>
  </si>
  <si>
    <t>Komplek Cawang Indah</t>
  </si>
  <si>
    <t>Jl. Mesjid Bendungan Komp Cawang Indah No.2, RT.11/RW.7, Cawang, Kec. Kramat jati, Kota Jakarta Timur, Daerah Khusus Ibukota Jakarta 13630</t>
  </si>
  <si>
    <t>RT.11/RW.7, Cawang, Kec. Kramat jati, Kota Jakarta Timur</t>
  </si>
  <si>
    <t>https://maps.google.com/?cid=0x0:0xa713da097355f81b</t>
  </si>
  <si>
    <t>Komp. Perumahan Merpati</t>
  </si>
  <si>
    <t>Komp. Perumahan Merpati No.9, RT.9/RW.4, Cawang, Kec. Kramat jati, Kota Jakarta Timur, Daerah Khusus Ibukota Jakarta 13630</t>
  </si>
  <si>
    <t>RT.9/RW.4, Cawang, Kec. Kramat jati, Kota Jakarta Timur</t>
  </si>
  <si>
    <t>https://maps.google.com/?cid=0x0:0xc410d2e0f6ee754e</t>
  </si>
  <si>
    <t>Green Harmonis Residence</t>
  </si>
  <si>
    <t>Jl. Ciliwung I No.76, RT.10/RW.6, Cililitan, Kec. Kramat jati, Kota Jakarta Timur, Daerah Khusus Ibukota Jakarta 13640</t>
  </si>
  <si>
    <t>RT.10/RW.6, Cililitan, Kec. Kramat jati, Kota Jakarta Timur</t>
  </si>
  <si>
    <t>https://maps.google.com/?cid=0x0:0x689f982c3c685860</t>
  </si>
  <si>
    <t>https://www.brighton.co.id/cari-properti/view/green-harmonis-residence-kramat-jati-jakarta-timur</t>
  </si>
  <si>
    <t>Perumahan Borneo Indah I</t>
  </si>
  <si>
    <t>Masjid Al-Hidayah Perumahan Borneo, Jl. Al-Hidayah, Cililitan, Kec. Kramat jati, Kota Jakarta Timur, Daerah Khusus Ibukota Jakarta 13640</t>
  </si>
  <si>
    <t>Jl. Al-Hidayah, Cililitan, Kec. Kramat jati, Kota Jakarta Timur</t>
  </si>
  <si>
    <t>https://maps.google.com/?cid=0x0:0x6375d3a69ed583a5</t>
  </si>
  <si>
    <t>https://www.facebook.com/media/set/?set=a.618538908229615.1073741845.602563489827157&amp;type=3</t>
  </si>
  <si>
    <t>Kompleks Trikora Halim Perdana Kusuma</t>
  </si>
  <si>
    <t>Jl. Maliki No.7, RT.7/RW.15, Halim Perdana Kusumah, Kec. Makasar, Kota Jakarta Timur, Daerah Khusus Ibukota Jakarta 13610</t>
  </si>
  <si>
    <t>RT.7/RW.15, Halim Perdana Kusumah, Kec. Makasar, Kota Jakarta Timur</t>
  </si>
  <si>
    <t>https://maps.google.com/?cid=0x0:0xa903e79c8370b4a7</t>
  </si>
  <si>
    <t>Perumahan TNI AU Denmatra 1 Paskhas</t>
  </si>
  <si>
    <t>Jl. Shinta No.174, RT.19/RW.3, Halim Perdana Kusumah, Kec. Makasar, Kota Jakarta Timur, Daerah Khusus Ibukota Jakarta 13610</t>
  </si>
  <si>
    <t>RT.19/RW.3, Halim Perdana Kusumah, Kec. Makasar, Kota Jakarta Timur</t>
  </si>
  <si>
    <t>https://maps.google.com/?cid=0x0:0x433afd0a885411d7</t>
  </si>
  <si>
    <t>Komplek Garuda Emas</t>
  </si>
  <si>
    <t>3, RT.3/RW.12, Halim Perdana Kusumah, Kec. Makasar, Kota Jakarta Timur, Daerah Khusus Ibukota Jakarta 13610</t>
  </si>
  <si>
    <t>RT.3/RW.12, Halim Perdana Kusumah, Kec. Makasar, Kota Jakarta Timur</t>
  </si>
  <si>
    <t>https://maps.google.com/?cid=0x0:0xb84cc2a306e11154</t>
  </si>
  <si>
    <t>Cluster de Matraman</t>
  </si>
  <si>
    <t>Jl. Pisangan Baru Tengah 2 No.286, RT.6/RW.3, Pisangan Baru, Kec. Matraman, Kota Jakarta Timur, Daerah Khusus Ibukota Jakarta 13110</t>
  </si>
  <si>
    <t>RT.6/RW.3, Pisangan Baru, Kec. Matraman, Kota Jakarta Timur</t>
  </si>
  <si>
    <t>https://maps.google.com/?cid=0x0:0x9c77dc8ee39cde7</t>
  </si>
  <si>
    <t>https://m.dekoruma.com/properti/perumahan-cluster-de-matraman-jakarta-timur?utm_source=adwords&amp;gad_source=1&amp;gclid=Cj0KCQjws-S-BhD2ARIsALssG0bvEhsncoAEsTwcj6VvKA1Df9brHUbPE5dMf43xKSj7jf60l_OF44caAtBWEALw_wcB</t>
  </si>
  <si>
    <t>Komplek Perumahan Angkatan Darat Cijantung II</t>
  </si>
  <si>
    <t>Jl. Anggrek No.18 Blok H, RT.7/RW.4, Gedong, Kec. Ps. Rebo, Kota Jakarta Timur, Daerah Khusus Ibukota Jakarta 13760</t>
  </si>
  <si>
    <t>RT.7/RW.4, Gedong, Kec. Ps. Rebo, Kota Jakarta Timur</t>
  </si>
  <si>
    <t>https://maps.google.com/?cid=0x0:0xcdfe9823a5e14a</t>
  </si>
  <si>
    <t>Komplek LAPAN</t>
  </si>
  <si>
    <t>MV55+5V4, Jl. Komp. Lapan, RT.7/RW.9, Pekayon, Kec. Ps. Rebo, Kota Jakarta Timur, Daerah Khusus Ibukota Jakarta 13710</t>
  </si>
  <si>
    <t>Jl. Komp. Lapan, RT.7/RW.9, Pekayon, Kec. Ps. Rebo, Kota Jakarta Timur</t>
  </si>
  <si>
    <t>https://maps.google.com/?cid=0x0:0x863c6bbf32db8ba7</t>
  </si>
  <si>
    <t>Komplek Zeni Menzikon TNI - AD</t>
  </si>
  <si>
    <t>Jl. Raya Jakarta-Bogor No.10A 1, RT.2/RW.8, Pekayon, Kec. Ps. Rebo, Kota Jakarta Timur, Daerah Khusus Ibukota Jakarta 13710</t>
  </si>
  <si>
    <t>RT.2/RW.8, Pekayon, Kec. Ps. Rebo, Kota Jakarta Timur</t>
  </si>
  <si>
    <t>https://maps.google.com/?cid=0x0:0x2e54a64dc01d9bcd</t>
  </si>
  <si>
    <t>Gedong Residence</t>
  </si>
  <si>
    <t>Jl. H. Taiman Barat No.60 4, RT.4/RW.2, Gedong, Kec. Ps. Rebo, Kota Jakarta Timur, Daerah Khusus Ibukota Jakarta 13760</t>
  </si>
  <si>
    <t>RT.4/RW.2, Gedong, Kec. Ps. Rebo, Kota Jakarta Timur</t>
  </si>
  <si>
    <t>https://maps.google.com/?cid=0x0:0x3b57c01448ba5abb</t>
  </si>
  <si>
    <t>https://rumah.trovit.co.id/listing/bu-rumah-dijual-baru-terjangkau-gedong-condet-pasar-rebo.e3115255-65d6-42b2-a0e6-febaea00469b</t>
  </si>
  <si>
    <t>Cluster Griya Ujung Gedong</t>
  </si>
  <si>
    <t>Jl. Ujung Gedong No.62, RT.5/RW.10, Gedong, Kec. Ps. Rebo, Kota Jakarta Timur, Daerah Khusus Ibukota Jakarta 13760</t>
  </si>
  <si>
    <t>RT.5/RW.10, Gedong, Kec. Ps. Rebo, Kota Jakarta Timur</t>
  </si>
  <si>
    <t>https://maps.google.com/?cid=0x0:0x570b5c419a483479</t>
  </si>
  <si>
    <t>DSB Residence 2</t>
  </si>
  <si>
    <t>5, Jl. Ujung Gedong No.15, RT.5/RW.10, Gedong, Kec. Ps. Rebo, Kota Jakarta Timur, Daerah Khusus Ibukota Jakarta 13760</t>
  </si>
  <si>
    <t>Jl. Ujung Gedong No.15, RT.5/RW.10, Gedong, Kec. Ps. Rebo, Kota Jakarta Timur</t>
  </si>
  <si>
    <t>https://maps.google.com/?cid=0x0:0x710a63b0a3b51989</t>
  </si>
  <si>
    <t>Perumahan Casa Gedong</t>
  </si>
  <si>
    <t>5 No.12, RT.5/RW.12, Gedong, Kec. Ps. Rebo, Kota Jakarta Timur, Daerah Khusus Ibukota Jakarta 13760</t>
  </si>
  <si>
    <t>RT.5/RW.12, Gedong, Kec. Ps. Rebo, Kota Jakarta Timur</t>
  </si>
  <si>
    <t>https://maps.google.com/?cid=0x0:0x654e36b6d81a2832</t>
  </si>
  <si>
    <t>Cahaya Gedong Residence 2</t>
  </si>
  <si>
    <t>Jl. H. Taiman, Gedong, Kec. Ps. Rebo, Kota Jakarta Timur, Daerah Khusus Ibukota Jakarta 13760</t>
  </si>
  <si>
    <t>Gedong, Kec. Ps. Rebo, Kota Jakarta Timur</t>
  </si>
  <si>
    <t>https://maps.google.com/?cid=0x0:0x2444e02ba48b79a1</t>
  </si>
  <si>
    <t>https://www.pinhome.id/dijual/rumah-sekunder/unit/dijual-rumah-lokasi-strategis-di-cahaya-gedong-residence</t>
  </si>
  <si>
    <t>PERUMAHAN GRIYA DANA KARYA</t>
  </si>
  <si>
    <t>Jl. H. Taiman No.1, RT.2/RW.2, Gedong, Kec. Ps. Rebo, Kota Jakarta Timur, Daerah Khusus Ibukota Jakarta 13760</t>
  </si>
  <si>
    <t>RT.2/RW.2, Gedong, Kec. Ps. Rebo, Kota Jakarta Timur</t>
  </si>
  <si>
    <t>https://maps.google.com/?cid=0x0:0xbd8006afbd739aea</t>
  </si>
  <si>
    <t>Perumahan Gedong Prima</t>
  </si>
  <si>
    <t>Jl. H. Taiman No.10 5, RT.5/RW.10, Gedong, Kec. Ps. Rebo, Kota Jakarta Timur, Daerah Khusus Ibukota Jakarta 13760</t>
  </si>
  <si>
    <t>https://maps.google.com/?cid=0x0:0x32b6c70e403aad73</t>
  </si>
  <si>
    <t>https://www.dekoruma.com/properti/dijual-jatinegara-jakarta-timur-rumah-sederhana-oleh-lexus-t5sTnlB2dZ?srsltid=AfmBOooLsQ88Iuc0mazUimdSH5q-ireWAOLNENvvRGQ2Cv5Au-1jucPq</t>
  </si>
  <si>
    <t>Mutiara Gedong Residence</t>
  </si>
  <si>
    <t>PV36+4WW, Jl. Ujung Gedong, RT.2/RW.12, Gedong, Kec. Ps. Rebo, Kota Jakarta Timur, Daerah Khusus Ibukota Jakarta 13760</t>
  </si>
  <si>
    <t>Jl. Ujung Gedong, RT.2/RW.12, Gedong, Kec. Ps. Rebo, Kota Jakarta Timur</t>
  </si>
  <si>
    <t>https://maps.google.com/?cid=0x0:0x9b151a35d7d2fdd2</t>
  </si>
  <si>
    <t>CASA Residence Cijantung</t>
  </si>
  <si>
    <t>Jl. Bima II, Cijantung, Kec. Ps. Rebo, Kota Jakarta Timur, Daerah Khusus Ibukota Jakarta 13770</t>
  </si>
  <si>
    <t>Cijantung, Kec. Ps. Rebo, Kota Jakarta Timur</t>
  </si>
  <si>
    <t>https://maps.google.com/?cid=0x0:0xd8968c1f55f3efd8</t>
  </si>
  <si>
    <t>https://www.99.co/id/properti/rumah-murah-casa-residence-cijantung-jakarta-timur-1008634752</t>
  </si>
  <si>
    <t>Cluster Nuansa Gongseng</t>
  </si>
  <si>
    <t>Jl. Asem No.2, RT.3/RW.1, Cijantung, Kec. Ps. Rebo, Kota Jakarta Timur, Daerah Khusus Ibukota Jakarta 13770</t>
  </si>
  <si>
    <t>RT.3/RW.1, Cijantung, Kec. Ps. Rebo, Kota Jakarta Timur</t>
  </si>
  <si>
    <t>https://maps.google.com/?cid=0x0:0x9900a1081e3d79b7</t>
  </si>
  <si>
    <t>D'Cijantung Village</t>
  </si>
  <si>
    <t>Jl. Jaya I Jl. Yayasan No.7, RT.5/RW.7, Cijantung, Kec. Ps. Rebo, Kota Jakarta Timur, Daerah Khusus Ibukota Jakarta 13770</t>
  </si>
  <si>
    <t>RT.5/RW.7, Cijantung, Kec. Ps. Rebo, Kota Jakarta Timur</t>
  </si>
  <si>
    <t>https://maps.google.com/?cid=0x0:0xe840c233fd38f9b1</t>
  </si>
  <si>
    <t>Ajwa Residence Gotong Royong</t>
  </si>
  <si>
    <t>Jl. Gotong Royong Dalam No.39, RT.5/RW.9, Baru, Kec. Ps. Rebo, Kota Jakarta Timur, Daerah Khusus Ibukota Jakarta 13780</t>
  </si>
  <si>
    <t>RT.5/RW.9, Baru, Kec. Ps. Rebo, Kota Jakarta Timur</t>
  </si>
  <si>
    <t>https://maps.google.com/?cid=0x0:0xc69289973a049725</t>
  </si>
  <si>
    <t>Deco Residence</t>
  </si>
  <si>
    <t>MVF2+8P4, RW.9, Baru, Kec. Ps. Rebo, Kota Jakarta Timur, Daerah Khusus Ibukota Jakarta 13780</t>
  </si>
  <si>
    <t>RW.9, Baru, Kec. Ps. Rebo, Kota Jakarta Timur</t>
  </si>
  <si>
    <t>https://maps.google.com/?cid=0x0:0xe608ae06c59b2d97</t>
  </si>
  <si>
    <t>https://www.pinhome.id/dijual/rumah-sekunder/unit/dijual-rumah-di-cijantung-13</t>
  </si>
  <si>
    <t>Komplek Pushubad</t>
  </si>
  <si>
    <t>Jl. Radar IX No.76, Kalisari, Kec. Ps. Rebo, Kota Jakarta Timur, Daerah Khusus Ibukota Jakarta 13790</t>
  </si>
  <si>
    <t>https://maps.google.com/?cid=0x0:0x7453e7e7baaba7e</t>
  </si>
  <si>
    <t>Tirta Sari Residence</t>
  </si>
  <si>
    <t>Jl. Tirta Sari No.I No.25, RT.7/RW.9, Kalisari, Kec. Ps. Rebo, Kota Jakarta Timur, Daerah Khusus Ibukota Jakarta 13790</t>
  </si>
  <si>
    <t>RT.7/RW.9, Kalisari, Kec. Ps. Rebo, Kota Jakarta Timur</t>
  </si>
  <si>
    <t>https://maps.google.com/?cid=0x0:0x687c4864a4aea162</t>
  </si>
  <si>
    <t>https://www.dekoruma.com/properti/dijual-jatinegara-jakarta-timur-rumah-santai-oleh-cahyo-Tt2cJdI954?srsltid=AfmBOoqRDUmKRa0Hk6kbGX6n_MhZGnvcp3j30J9VH-EiPNLYTEsAMmx_</t>
  </si>
  <si>
    <t>Pulomas Residence</t>
  </si>
  <si>
    <t>Jl. Pulo Mas Timur No.18 Blok G No.9, Kayu Putih, Kec. Pulo Gadung, Kota Jakarta Timur, Daerah Khusus Ibukota Jakarta 13210</t>
  </si>
  <si>
    <t>Kayu Putih, Kec. Pulo Gadung, Kota Jakarta Timur</t>
  </si>
  <si>
    <t>https://maps.google.com/?cid=0x0:0x75cc9b87114b0ed1</t>
  </si>
  <si>
    <t>https://www.99.co/id/properti/rumah-2-lt-bagus-cantik-komplek-elit-startegis-di-pulomas-1008474398</t>
  </si>
  <si>
    <t>Kompleks BCS</t>
  </si>
  <si>
    <t>no 13230, Jl. Cipta Sarana No.A7, RT.17/RW.6, Pisangan Tim., Kec. Pulo Gadung, Kota Jakarta Timur, Daerah Khusus Ibukota Jakarta 13230</t>
  </si>
  <si>
    <t>Jl. Cipta Sarana No.A7, RT.17/RW.6, Pisangan Tim., Kec. Pulo Gadung, Kota Jakarta Timur</t>
  </si>
  <si>
    <t>https://maps.google.com/?cid=0x0:0x1b6d4120e541b39a</t>
  </si>
  <si>
    <t>Perumahan Kementerian Keuangan</t>
  </si>
  <si>
    <t>Kompleks Keuangan, Jl. Perhubungan, Jati, Kec. Pulo Gadung, Kota Jakarta Timur, Daerah Khusus Ibukota Jakarta 13220</t>
  </si>
  <si>
    <t>Jl. Perhubungan, Jati, Kec. Pulo Gadung, Kota Jakarta Timur</t>
  </si>
  <si>
    <t>https://maps.google.com/?cid=0x0:0x3b999ac667d7842a</t>
  </si>
  <si>
    <t>MHN Residence</t>
  </si>
  <si>
    <t>Jl. Pulo Asem V No.54, RT.5/RW.1, Jati, Kec. Pulo Gadung, Kota Jakarta Timur, Daerah Khusus Ibukota Jakarta 13220</t>
  </si>
  <si>
    <t>RT.5/RW.1, Jati, Kec. Pulo Gadung, Kota Jakarta Timur</t>
  </si>
  <si>
    <t>https://maps.google.com/?cid=0x0:0x1f73ef49253fbed6</t>
  </si>
  <si>
    <t>Gading Residence 1</t>
  </si>
  <si>
    <t>Gg. Kebembem II No.25, RT.8/RW.10, Pisangan Tim., Kec. Pulo Gadung, Kota Jakarta Timur, Daerah Khusus Ibukota Jakarta 13230</t>
  </si>
  <si>
    <t>RT.8/RW.10, Pisangan Tim., Kec. Pulo Gadung, Kota Jakarta Timur</t>
  </si>
  <si>
    <t>https://maps.google.com/?cid=0x0:0xb2d1451fb9ce270a</t>
  </si>
  <si>
    <t>Danar Residence Kebembem III</t>
  </si>
  <si>
    <t>Jl. Cipinang Kebembem III No.7, RT.13/RW.13, Pisangan Tim., Kec. Pulo Gadung, Kota Jakarta Timur, Daerah Khusus Ibukota Jakarta 13230</t>
  </si>
  <si>
    <t>RT.13/RW.13, Pisangan Tim., Kec. Pulo Gadung, Kota Jakarta Timur</t>
  </si>
  <si>
    <t>https://maps.google.com/?cid=0x0:0xb1d67489894367e8</t>
  </si>
  <si>
    <t>https://www.rumah123.com/properti/jakarta-pusat/hos6590711/</t>
  </si>
  <si>
    <t>RESIDENCE 222-223</t>
  </si>
  <si>
    <t>Jl. Bekasi Timur Raya No.1, RT.1/RW.16, Cipinang, Kec. Pulo Gadung, Kota Jakarta Timur, Daerah Khusus Ibukota Jakarta 13240</t>
  </si>
  <si>
    <t>RT.1/RW.16, Cipinang, Kec. Pulo Gadung, Kota Jakarta Timur</t>
  </si>
  <si>
    <t>https://maps.google.com/?cid=0x0:0x7f2b2dd03e910c6e</t>
  </si>
  <si>
    <t>Kamojang Residence</t>
  </si>
  <si>
    <t>Jl. Kamojang No.5, Pulo Gadung, Kec. Pulo Gadung, Kota Jakarta Timur, Daerah Khusus Ibukota Jakarta 13120</t>
  </si>
  <si>
    <t>Pulo Gadung, Kec. Pulo Gadung, Kota Jakarta Timur</t>
  </si>
  <si>
    <t>https://maps.google.com/?cid=0x0:0x9d6f62a4831ac76f</t>
  </si>
  <si>
    <t>https://www.pinhome.id/dijual/rumah-baru/kamojang-residence</t>
  </si>
  <si>
    <t>Cluster D'Banyan</t>
  </si>
  <si>
    <t>Dekat, Jl. D'Banyan Raya, RT.15/RW.1, Cakung Tim., Kec. Cakung, Kota Jakarta Timur, Daerah Khusus Ibukota Jakarta 13910</t>
  </si>
  <si>
    <t>Jl. D'Banyan Raya, RT.15/RW.1, Cakung Tim., Kec. Cakung, Kota Jakarta Timur</t>
  </si>
  <si>
    <t>https://maps.google.com/?cid=0x0:0xf990733acb98732c</t>
  </si>
  <si>
    <t>https://rumah.trovit.co.id/listing/rumah-bagus-2-lantai-di-cluster-dbanyan-jakarta-garden-city-jakarta-timur.m1ynlo1o1X1K</t>
  </si>
  <si>
    <t>Premier Riviera Residence</t>
  </si>
  <si>
    <t>Jl. Raya Bekasi No.Km.17, Jatinegara, Kec. Cakung, Kota Jakarta Timur, Daerah Khusus Ibukota Jakarta 13930</t>
  </si>
  <si>
    <t>Jatinegara, Kec. Cakung, Kota Jakarta Timur</t>
  </si>
  <si>
    <t>https://maps.google.com/?cid=0x0:0xb4e8b6a68afb6823</t>
  </si>
  <si>
    <t>https://www.99.co/id/properti/rumah-bagus-cluster-premier-riviera-rawamangun-jakarta-timur-1007921175</t>
  </si>
  <si>
    <t>JIEP Grand Bizhome</t>
  </si>
  <si>
    <t>Jl. Pulosidik No.50 9, RT.9/RW.3, Jatinegara, Kec. Cakung, Kota Jakarta Timur, Daerah Khusus Ibukota Jakarta 13930</t>
  </si>
  <si>
    <t>https://maps.google.com/?cid=0x0:0x157a8eac0fbb2f4</t>
  </si>
  <si>
    <t>Perumahan jatinegara baru</t>
  </si>
  <si>
    <t>Jl. Gn. Salak No.EA 39, Penggilingan, Kec. Cakung, Kota Jakarta Timur, Daerah Khusus Ibukota Jakarta 13940</t>
  </si>
  <si>
    <t>Penggilingan, Kec. Cakung, Kota Jakarta Timur</t>
  </si>
  <si>
    <t>https://maps.google.com/?cid=0x0:0xbb4b731b32b3eaac</t>
  </si>
  <si>
    <t>Mutiara Sanggraha</t>
  </si>
  <si>
    <t>Jakarta Timur, RT.7/RW.6, Pulo Gebang, Kec. Cakung, Kota Jakarta Timur, Daerah Khusus Ibukota Jakarta 13950</t>
  </si>
  <si>
    <t>RT.7/RW.6, Pulo Gebang, Kec. Cakung, Kota Jakarta Timur</t>
  </si>
  <si>
    <t>https://maps.google.com/?cid=0x0:0xeff2c3192ec7864d</t>
  </si>
  <si>
    <t>https://www.rumah123.com/venue/mutiara-sanggraha-vcm23088/</t>
  </si>
  <si>
    <t>Puri Amala</t>
  </si>
  <si>
    <t>Puri amala, Jl. Komarudin I, RT.15/RW.5, Penggilingan, Kec. Cakung, Kota Jakarta Timur, Daerah Khusus Ibukota Jakarta 13950</t>
  </si>
  <si>
    <t>Jl. Komarudin I, RT.15/RW.5, Penggilingan, Kec. Cakung, Kota Jakarta Timur</t>
  </si>
  <si>
    <t>https://maps.google.com/?cid=0x0:0x7023eff7dd60683b</t>
  </si>
  <si>
    <t>https://asiaone.co.id/properties/dijual-rumah-di-perumahan-puri-amala-cakung-jakarta-timur/</t>
  </si>
  <si>
    <t>Perumahan Pulo Gebang Permai</t>
  </si>
  <si>
    <t>6, Jl. Pulo Gebang No.3 4 11 5, RT.5/RW.13, Pulo Gebang, Kec. Cakung, Kota Jakarta Timur, Daerah Khusus Ibukota Jakarta 13950</t>
  </si>
  <si>
    <t>Jl. Pulo Gebang No.3 4 11 5, RT.5/RW.13, Pulo Gebang, Kec. Cakung, Kota Jakarta Timur</t>
  </si>
  <si>
    <t>https://maps.google.com/?cid=0x0:0x74f8301a3d775e85</t>
  </si>
  <si>
    <t>https://www.99.co/id/properti/rumah-dijual-4mily-cakung-1007213610</t>
  </si>
  <si>
    <t>Komplek eramas</t>
  </si>
  <si>
    <t>Jl. Sentra Primer Tim. No.8, RT.13/RW.8, Pulo Gebang, Kec. Cakung, Kota Jakarta Timur, Daerah Khusus Ibukota Jakarta 13950</t>
  </si>
  <si>
    <t>RT.13/RW.8, Pulo Gebang, Kec. Cakung, Kota Jakarta Timur</t>
  </si>
  <si>
    <t>https://maps.google.com/?cid=0x0:0x59ae3516ab2a1dd8</t>
  </si>
  <si>
    <t xml:space="preserve">Taman Modern Cakung Dahlia 4 </t>
  </si>
  <si>
    <t>Jl. Dahlia IV No.D17, RT.9/RW.6, Ujung Menteng, Kec. Cakung, Kota Jakarta Timur, Daerah Khusus Ibukota Jakarta 13960</t>
  </si>
  <si>
    <t>RT.9/RW.6, Ujung Menteng, Kec. Cakung, Kota Jakarta Timur</t>
  </si>
  <si>
    <t>https://maps.google.com/?cid=0x0:0x57ea7395396863e1</t>
  </si>
  <si>
    <t>https://arebihome.com/dev/property/api021-229-875111092174247/</t>
  </si>
  <si>
    <t>Azalea Residence</t>
  </si>
  <si>
    <t>Jl. Damai No.55, RT.3/RW.9, Lubang Buaya, Kec. Cipayung, Kota Jakarta Timur, Daerah Khusus Ibukota Jakarta 13810</t>
  </si>
  <si>
    <t>RT.3/RW.9, Lubang Buaya, Kec. Cipayung, Kota Jakarta Timur</t>
  </si>
  <si>
    <t>https://maps.google.com/?cid=0x0:0x9ddb95ae03b9275e</t>
  </si>
  <si>
    <t>https://www.rumah123.com/perumahan-baru/properti/jakarta-timur/azalea-residence/nps1657/</t>
  </si>
  <si>
    <t>Cluster Green Damai Village</t>
  </si>
  <si>
    <t>Jl. Damai No.13, RT.13/RW.9, Lubang Buaya, Kec. Cipayung, Kota Jakarta Timur, Daerah Khusus Ibukota Jakarta 13810</t>
  </si>
  <si>
    <t>RT.13/RW.9, Lubang Buaya, Kec. Cipayung, Kota Jakarta Timur</t>
  </si>
  <si>
    <t>https://maps.google.com/?cid=0x0:0xaa34c624016b2aca</t>
  </si>
  <si>
    <t>https://www.facebook.com/groups/529551647202561/posts/2916846418473060/</t>
  </si>
  <si>
    <t>Perum Green Delima Lubang Buaya</t>
  </si>
  <si>
    <t>Green delima, Jl. Delima I, Lubang Buaya, Kec. Cipayung, Kota Jakarta Timur, Daerah Khusus Ibukota Jakarta 13810</t>
  </si>
  <si>
    <t>Jl. Delima I, Lubang Buaya, Kec. Cipayung, Kota Jakarta Timur</t>
  </si>
  <si>
    <t>https://maps.google.com/?cid=0x0:0x4eff6d552edd0d3c</t>
  </si>
  <si>
    <t>https://m.dekoruma.com/properti/dijual-jatinegara-jakarta-timur-rumah-minimalis-oleh-ade-InD56Uc22Y</t>
  </si>
  <si>
    <t>Villa Cipayung 1</t>
  </si>
  <si>
    <t>Jl. SMA 64, RT.5/RW.2, Cipayung, Kec. Cipayung, Kota Jakarta Timur, Daerah Khusus Ibukota Jakarta 13840</t>
  </si>
  <si>
    <t>RT.5/RW.2, Cipayung, Kec. Cipayung, Kota Jakarta Timur</t>
  </si>
  <si>
    <t>https://maps.google.com/?cid=0x0:0xe9a95dbef0eef635</t>
  </si>
  <si>
    <t>The 8 Residence Cipayung</t>
  </si>
  <si>
    <t>Jl. Cipayung Raya No.RT.004/02, RT.3/RW.2, Cipayung, Kec. Cipayung, Kota Jakarta Timur, Daerah Khusus Ibukota Jakarta 13840</t>
  </si>
  <si>
    <t>RT.3/RW.2, Cipayung, Kec. Cipayung, Kota Jakarta Timur</t>
  </si>
  <si>
    <t>https://maps.google.com/?cid=0x0:0xd21e1d00dfd74e49</t>
  </si>
  <si>
    <t>https://www.iklanrumah.com/list/detail/31218/cluster-the-8-residence-cipayung-jakarta-timur</t>
  </si>
  <si>
    <t>Green Baraka Town House</t>
  </si>
  <si>
    <t>Jl. Bambu Hitam, RT.3/RW.4, Cipayung, Kec. Cipayung, Kota Jakarta Timur, Daerah Khusus Ibukota Jakarta 13840</t>
  </si>
  <si>
    <t>RT.3/RW.4, Cipayung, Kec. Cipayung, Kota Jakarta Timur</t>
  </si>
  <si>
    <t>https://maps.google.com/?cid=0x0:0x63191a77b3b4dfb0</t>
  </si>
  <si>
    <t>https://www.pinhome.id/dijual/rumah-baru/green-baraka-townhouse</t>
  </si>
  <si>
    <t>Green Jambore Residence</t>
  </si>
  <si>
    <t>Jl. Masjid Al-Akbar, RT.5/RW.5, Munjul, Kec. Cipayung, Kota Jakarta Timur, Daerah Khusus Ibukota Jakarta 13850</t>
  </si>
  <si>
    <t>RT.5/RW.5, Munjul, Kec. Cipayung, Kota Jakarta Timur</t>
  </si>
  <si>
    <t>https://maps.google.com/?cid=0x0:0x3b257b397b25b5c3</t>
  </si>
  <si>
    <t>KOMPLEK POLRI MUNJUL BARU</t>
  </si>
  <si>
    <t>Jl. Buni, RT.8/RW.8, Munjul, Kec. Cipayung, Kota Jakarta Timur, Daerah Khusus Ibukota Jakarta 13850</t>
  </si>
  <si>
    <t>RT.8/RW.8, Munjul, Kec. Cipayung, Kota Jakarta Timur</t>
  </si>
  <si>
    <t>https://maps.google.com/?cid=0x0:0x3f476e6289e14bb</t>
  </si>
  <si>
    <t>Puri Munjul Raya Residence</t>
  </si>
  <si>
    <t>SMK Analis, Depan Pusdikes, Jl. Jankes AD No.RT 008/02, RT.4/RW.1, Munjul, Kec. Cipayung, Kota Jakarta Timur, Daerah Khusus Ibukota Jakarta 13850</t>
  </si>
  <si>
    <t>Depan Pusdikes, Jl. Jankes AD No.RT 008/02, RT.4/RW.1, Munjul, Kec. Cipayung, Kota Jakarta Timur</t>
  </si>
  <si>
    <t>https://maps.google.com/?cid=0x0:0xd03bd2898de79e63</t>
  </si>
  <si>
    <t>Pesona Residence</t>
  </si>
  <si>
    <t>Jl. Pangkalan, RT.2/RW.4, Pd. Ranggon, Kec. Cipayung, Kota Jakarta Timur, Daerah Khusus Ibukota Jakarta 13860</t>
  </si>
  <si>
    <t>RT.2/RW.4, Pd. Ranggon, Kec. Cipayung, Kota Jakarta Timur</t>
  </si>
  <si>
    <t>https://maps.google.com/?cid=0x0:0x6b079ff571ec59cf</t>
  </si>
  <si>
    <t>Mutiara Residence</t>
  </si>
  <si>
    <t>MW54+8X3, Jl. Damai III, RT.3/RW.6, Cilangkap, Kec. Cipayung, Kota Jakarta Timur, Daerah Khusus Ibukota Jakarta 13870</t>
  </si>
  <si>
    <t>Jl. Damai III, RT.3/RW.6, Cilangkap, Kec. Cipayung, Kota Jakarta Timur</t>
  </si>
  <si>
    <t>https://maps.google.com/?cid=0x0:0x3ba13d2afac79b54</t>
  </si>
  <si>
    <t>Puri Bintang Malaka</t>
  </si>
  <si>
    <t>kel, Jl. Malaka I No.92, RT.5/RW.5, Cilangkap, Kec. Cipayung, Kota Jakarta Timur, Daerah Khusus Ibukota Jakarta 13870</t>
  </si>
  <si>
    <t>Jl. Malaka I No.92, RT.5/RW.5, Cilangkap, Kec. Cipayung, Kota Jakarta Timur</t>
  </si>
  <si>
    <t>https://maps.google.com/?cid=0x0:0xdea74202d71230c3</t>
  </si>
  <si>
    <t>https://www.olx.co.id/item/dijual-rumah-baru-2-lantai-di-malaka-cipayung-jakarta-timur-iid-932180759</t>
  </si>
  <si>
    <t>Perumahan Pulau Harapan (Al-Hamid)</t>
  </si>
  <si>
    <t>Jl. Basuki Pulau Harapan village (perumahan al-hamid No.350, RT.7/RW.6, Cilangkap, Kec. Cipayung, Kota Jakarta Timur, Daerah Khusus Ibukota Jakarta 13870</t>
  </si>
  <si>
    <t>https://maps.google.com/?cid=0x0:0x9a6dcf0d5d98edda</t>
  </si>
  <si>
    <t>Qasthalani Residence</t>
  </si>
  <si>
    <t>CLUSTER QASTHALANI RESIDENCE, Jl. Assyafi'iyah No.4, RT.3/RW.3, Cilangkap, Kec. Cipayung, Kota Jakarta Timur, Daerah Khusus Ibukota Jakarta 13870</t>
  </si>
  <si>
    <t>Jl. Assyafi'iyah No.4, RT.3/RW.3, Cilangkap, Kec. Cipayung, Kota Jakarta Timur</t>
  </si>
  <si>
    <t>https://maps.google.com/?cid=0x0:0x6281d913d8cff64b</t>
  </si>
  <si>
    <t>Perumahan Mini Gang Karya</t>
  </si>
  <si>
    <t>Jl. Bambu Petung Gang Karya, RT.6/RW.4, Cipayung, Kec. Cipayung, Kota Jakarta Timur, Daerah Khusus Ibukota Jakarta 13840</t>
  </si>
  <si>
    <t>RT.6/RW.4, Cipayung, Kec. Cipayung, Kota Jakarta Timur</t>
  </si>
  <si>
    <t>https://maps.google.com/?cid=0x0:0x208075772de37f64</t>
  </si>
  <si>
    <t>Puspa Pesona</t>
  </si>
  <si>
    <t>Jl. H. Niman No.87, RT.1/RW.3, Setu, Kec. Cipayung, Kota Jakarta Timur, Daerah Khusus Ibukota Jakarta 13880</t>
  </si>
  <si>
    <t>https://maps.google.com/?cid=0x0:0xca63d0e0a153580e</t>
  </si>
  <si>
    <t>https://www.dekoruma.com/properti/perumahan-puspa-pesona-jakarta-timur?srsltid=AfmBOoprd7tZCsas2VbZKb7LwNqo41GVtBzFJc9zbT6kVc4fq7h8Kmy1</t>
  </si>
  <si>
    <t>Madakara Residence</t>
  </si>
  <si>
    <t>Jl. Mandor Hasan, RT.4/RW.1, Bambu Apus, Kec. Cipayung, Kota Jakarta Timur, Daerah Khusus Ibukota Jakarta 13890</t>
  </si>
  <si>
    <t>RT.4/RW.1, Bambu Apus, Kec. Cipayung, Kota Jakarta Timur</t>
  </si>
  <si>
    <t>https://maps.google.com/?cid=0x0:0x2e60fd521d2eccb4</t>
  </si>
  <si>
    <t>https://pashouses.id/rumah/madakara-residence-jakarta</t>
  </si>
  <si>
    <t>Astina Residence Bambu Apus Jakarta Timur</t>
  </si>
  <si>
    <t>Jl. Swadaya I No.9, RT.9/RW.1, Bambu Apus, Kec. Cipayung, Kota Jakarta Timur, Daerah Khusus Ibukota Jakarta 13890</t>
  </si>
  <si>
    <t>RT.9/RW.1, Bambu Apus, Kec. Cipayung, Kota Jakarta Timur</t>
  </si>
  <si>
    <t>https://maps.google.com/?cid=0x0:0x3fbba0794b08f681</t>
  </si>
  <si>
    <t>https://www.huni.id/unit/rumah/dijual/astina-residence-bambu-apus-jakarta-timur-jakarta-timur/601ae70602333939bebdae93</t>
  </si>
  <si>
    <t>Puri Mutiara Bambu Apus 2</t>
  </si>
  <si>
    <t>https://maps.google.com/?cid=0x0:0xe5191300c82affd7</t>
  </si>
  <si>
    <t>BAMBU APUS RESIDENCE 3</t>
  </si>
  <si>
    <t>MVFX+C2F, Gg. Mekar II, RT.11/RW.1, Bambu Apus, Kec. Cipayung, Kota Jakarta Timur, Daerah Khusus Ibukota Jakarta</t>
  </si>
  <si>
    <t>https://maps.google.com/?cid=0x0:0x6893d7742f24556b</t>
  </si>
  <si>
    <t>https://rumah.trovit.co.id/listing/rumah-dijual-murah-bambu-apus-jakarta-timur.deda93bb-7495-4ea1-89d9-d60cbaa1c726</t>
  </si>
  <si>
    <t>Green Town Cibubur</t>
  </si>
  <si>
    <t>Jl. Mualim Aminudin No.3, RT.3/RW.14, Cibubur, Kec. Ciracas, Kota Jakarta Timur, Daerah Khusus Ibukota Jakarta 13720</t>
  </si>
  <si>
    <t>RT.3/RW.14, Cibubur, Kec. Ciracas, Kota Jakarta Timur</t>
  </si>
  <si>
    <t>https://maps.google.com/?cid=0x0:0xb49ff94caf6cee29</t>
  </si>
  <si>
    <t>CANEL BOEDOET Residence</t>
  </si>
  <si>
    <t>Jl. Bulak Ringin 6 No.104, RT.8/RW.3, Cibubur, Kec. Ciracas, Kota Jakarta Timur, Daerah Khusus Ibukota Jakarta 13720</t>
  </si>
  <si>
    <t>RT.8/RW.3, Cibubur, Kec. Ciracas, Kota Jakarta Timur</t>
  </si>
  <si>
    <t>https://maps.google.com/?cid=0x0:0x2f86a8fe991ac3ae</t>
  </si>
  <si>
    <t>Taruna Riverside Residence</t>
  </si>
  <si>
    <t>Jl. Taruna I Bar., RT.018/RW.5, Cibubur, Kec. Ciracas, Kota Jakarta Timur, Daerah Khusus Ibukota Jakarta 13720</t>
  </si>
  <si>
    <t>RT.018/RW.5, Cibubur, Kec. Ciracas, Kota Jakarta Timur</t>
  </si>
  <si>
    <t>https://maps.google.com/?cid=0x0:0x4f1eb76331d49a24</t>
  </si>
  <si>
    <t>https://www.lamudi.co.id/jual/jakarta/jakarta-timur/dapatkan-rumah-ready-stock-di-cibubur-jakarta-timu-170172892820/</t>
  </si>
  <si>
    <t>Kamila Residence</t>
  </si>
  <si>
    <t>Jl. Purimas I No.9, RT.9/RW.8, Klp. Dua Wetan, Kec. Ciracas, Kota Jakarta Timur, Daerah Khusus Ibukota Jakarta 13730</t>
  </si>
  <si>
    <t>RT.9/RW.8, Klp. Dua Wetan, Kec. Ciracas, Kota Jakarta Timur</t>
  </si>
  <si>
    <t>https://maps.google.com/?cid=0x0:0x3289ff29fe6b0cfb</t>
  </si>
  <si>
    <t>https://kamilaresidence.blogspot.com/</t>
  </si>
  <si>
    <t>Perumahan Grand Tri Asih</t>
  </si>
  <si>
    <t>Jl. Raya Klp. Dua Wetan No.42, RT.1/RW.1, Kelapa Dua, Kec. Ciracas, Kota Jakarta Timur, Daerah Khusus Ibukota Jakarta 13730</t>
  </si>
  <si>
    <t>RT.1/RW.1, Kelapa Dua, Kec. Ciracas, Kota Jakarta Timur</t>
  </si>
  <si>
    <t>https://maps.google.com/?cid=0x0:0x757c0c8cd1097eda</t>
  </si>
  <si>
    <t>https://cariproperti.com/grand-tri-asih-ciracas</t>
  </si>
  <si>
    <t>Griya Sembada</t>
  </si>
  <si>
    <t>MV5P+6GQ, RT.3/RW.8, Klp. Dua Wetan, Kec. Ciracas, Kota Jakarta Timur, Daerah Khusus Ibukota Jakarta 13730</t>
  </si>
  <si>
    <t>RT.3/RW.8, Klp. Dua Wetan, Kec. Ciracas, Kota Jakarta Timur</t>
  </si>
  <si>
    <t>https://maps.google.com/?cid=0x0:0x53137d10949b10f</t>
  </si>
  <si>
    <t>Perumahan mandar asri</t>
  </si>
  <si>
    <t>Jl. Pt.Mandar Cahayasari No.3, RT.3/RW.9, Ciracas, Kec. Ciracas, Kota Jakarta Timur, Daerah Khusus Ibukota Jakarta 13740</t>
  </si>
  <si>
    <t>RT.3/RW.9, Ciracas, Kec. Ciracas, Kota Jakarta Timur</t>
  </si>
  <si>
    <t>https://maps.google.com/?cid=0x0:0x55f3a0aba49c47e0</t>
  </si>
  <si>
    <t>Gardenia Residence</t>
  </si>
  <si>
    <t>Gardenia Residence, Jl. Tanah Merdeka 1 No.18 RT 06/06, RT.6/RW.6, Ciracas, Kec. Ciracas, Kota Jakarta Timur, Daerah Khusus Ibukota Jakarta 13740</t>
  </si>
  <si>
    <t>Jl. Tanah Merdeka 1 No.18 RT 06/06, RT.6/RW.6, Ciracas, Kec. Ciracas, Kota Jakarta Timur</t>
  </si>
  <si>
    <t>https://maps.google.com/?cid=0x0:0xc55e0cc9cdf64b26</t>
  </si>
  <si>
    <t>https://www.rumah123.com/properti/jakarta-timur/hos4466736/</t>
  </si>
  <si>
    <t>Pavilliun Residence Ciracas</t>
  </si>
  <si>
    <t>Jl. H. Saibun No.6, RT.4/RW.4, Susukan, Kec. Ciracas, Kota Jakarta Timur, Daerah Khusus Ibukota Jakarta 13750</t>
  </si>
  <si>
    <t>RT.4/RW.4, Susukan, Kec. Ciracas, Kota Jakarta Timur</t>
  </si>
  <si>
    <t>https://maps.google.com/?cid=0x0:0xca9ef833b3c0ff08</t>
  </si>
  <si>
    <t>https://www.tribunjualbeli.com/dki-jakarta/2052416/jual-rumah-di-the-pavilion-jalan-suci-ciracas-jakarta-timur</t>
  </si>
  <si>
    <t>Perumahan Puri Ciracas Asri</t>
  </si>
  <si>
    <t>Jl. Kramat Gg. Musholla No.1 5, RT.7/RW.11, Klp. Dua Wetan, Kec. Ciracas, Kota Jakarta Timur, Daerah Khusus Ibukota Jakarta 13730</t>
  </si>
  <si>
    <t>RT.7/RW.11, Klp. Dua Wetan, Kec. Ciracas, Kota Jakarta Timur</t>
  </si>
  <si>
    <t>https://maps.google.com/?cid=0x0:0x802902f04f58eff</t>
  </si>
  <si>
    <t>https://www.99.co/id/properti/rumah-dijual-9900jt-ciracas-1007038261</t>
  </si>
  <si>
    <t>Mutiara Asgo</t>
  </si>
  <si>
    <t>Jl. Asgo 2 No.5 9, RT.16/RW.3, Rambutan, Kec. Ciracas, Kota Jakarta Timur, Daerah Khusus Ibukota Jakarta 13830</t>
  </si>
  <si>
    <t>RT.16/RW.3, Rambutan, Kec. Ciracas, Kota Jakarta Timur</t>
  </si>
  <si>
    <t>https://maps.google.com/?cid=0x0:0xeef3ee2c65474d21</t>
  </si>
  <si>
    <t>Cipta Griya Madani</t>
  </si>
  <si>
    <t>Dekat AYAM BAKAR RIBET GHB, Jl. HM. Sabar No.-9 5, RT.3/RW.1, Kel:RAMBUTAN Kec:, Kec. Ciracas, Kota Jakarta Timur, Daerah Khusus Ibukota Jakarta 13830</t>
  </si>
  <si>
    <t>Jl. HM. Sabar No.-9 5, RT.3/RW.1, Kel:RAMBUTAN Kec:, Kec. Ciracas, Kota Jakarta Timur</t>
  </si>
  <si>
    <t>https://maps.google.com/?cid=0x0:0x3374d662486180fc</t>
  </si>
  <si>
    <t>Perumahan Cimura</t>
  </si>
  <si>
    <t>Jl. Cipinang Muara I No.46 12, RT.12/RW.2, Pd. Bambu, Kec. Duren Sawit, Kota Jakarta Timur, Daerah Khusus Ibukota Jakarta 13430</t>
  </si>
  <si>
    <t>RT.12/RW.2, Pd. Bambu, Kec. Duren Sawit, Kota Jakarta Timur</t>
  </si>
  <si>
    <t>https://maps.google.com/?cid=0x0:0x1909a98beefd235f</t>
  </si>
  <si>
    <t>Graha BHS RESIDENCE</t>
  </si>
  <si>
    <t>Jl. Pahlawan Revolusi No.22b, RT.2/RW.2, Pd. Bambu, Kec. Duren Sawit, Kota Jakarta Timur, Daerah Khusus Ibukota Jakarta 13430</t>
  </si>
  <si>
    <t>RT.2/RW.2, Pd. Bambu, Kec. Duren Sawit, Kota Jakarta Timur</t>
  </si>
  <si>
    <t>https://maps.google.com/?cid=0x0:0x71eccf65fb1a0698</t>
  </si>
  <si>
    <t>Komplek Naman Regency (NARCY)</t>
  </si>
  <si>
    <t>Jl. H. Naman, RT.010/RW.010, Pd. Klp., Kec. Duren Sawit, Kota Jakarta Timur, Daerah Khusus Ibukota Jakarta 13450</t>
  </si>
  <si>
    <t>RT.010/RW.010, Pd. Klp., Kec. Duren Sawit, Kota Jakarta Timur</t>
  </si>
  <si>
    <t>https://maps.google.com/?cid=0x0:0x8a86c64338c1e0c7</t>
  </si>
  <si>
    <t>https://www.rumah123.com/properti/jakarta-timur/hos18993073/</t>
  </si>
  <si>
    <t>Perumahan Permata Timur 1</t>
  </si>
  <si>
    <t>PWXF+3X3, Jl. Curug Raya, RT.1/RW.8, Pd. Klp., Kec. Duren Sawit, Kota Jakarta Timur, Daerah Khusus Ibukota Jakarta 13450</t>
  </si>
  <si>
    <t>Jl. Curug Raya, RT.1/RW.8, Pd. Klp., Kec. Duren Sawit, Kota Jakarta Timur</t>
  </si>
  <si>
    <t>https://maps.google.com/?cid=0x0:0x6aee6aa22e303b23</t>
  </si>
  <si>
    <t>https://www.lamudi.co.id/jual/jakarta/jakarta-timur/di-jual-rumah-dalam-perumahan-permata-timur-1-jaka-173535430911/</t>
  </si>
  <si>
    <t>Perumahan DSB 14</t>
  </si>
  <si>
    <t>Jl. Swakarsa III, Pd. Klp., Kec. Duren Sawit, Kota Jakarta Timur, Daerah Khusus Ibukota Jakarta 13450</t>
  </si>
  <si>
    <t>Pd. Klp., Kec. Duren Sawit, Kota Jakarta Timur</t>
  </si>
  <si>
    <t>https://maps.google.com/?cid=0x0:0x4e23f9b211b0bce7</t>
  </si>
  <si>
    <t>Perumahan Bumi Malaka Asri 2</t>
  </si>
  <si>
    <t>8, Jl. Anggrek Raya No.30 1, RT.1/RW.2, Malaka Sari, Kec. Duren Sawit, Kota Jakarta Timur, Daerah Khusus Ibukota Jakarta 13460</t>
  </si>
  <si>
    <t>Jl. Anggrek Raya No.30 1, RT.1/RW.2, Malaka Sari, Kec. Duren Sawit, Kota Jakarta Timur</t>
  </si>
  <si>
    <t>https://maps.google.com/?cid=0x0:0xbf5542a6f3e2b191</t>
  </si>
  <si>
    <t>https://rumah.trovit.co.id/listing/rumah-strategis-di-perumahan-bumi-malaka-asri-duren-sawit-jakarta-timur.V1N1aH1xa1Ob</t>
  </si>
  <si>
    <t>Perum Malaka Country Estate</t>
  </si>
  <si>
    <t>Jl. Pd. Kopi Raya No.1 Blok H1, RT.9/RW.8, Pd. Kopi, Kec. Duren Sawit, Kota Jakarta Timur, Daerah Khusus Ibukota Jakarta 13460</t>
  </si>
  <si>
    <t>RT.9/RW.8, Pd. Kopi, Kec. Duren Sawit, Kota Jakarta Timur</t>
  </si>
  <si>
    <t>https://maps.google.com/?cid=0x0:0xe99becc1573483a6</t>
  </si>
  <si>
    <t>https://rumah.trovit.co.id/listing/rumah-bagus-di-malaka-country-estate-jakarta-timur.1pl1BJ1_h15-</t>
  </si>
  <si>
    <t>Perumahan Taman Jatinegara</t>
  </si>
  <si>
    <t>Jl. I Gusti Ngurah Rai No.7 14, RT.7/RW.14, Penggilingan, Kec. Cakung, Kota Jakarta Timur, Daerah Khusus Ibukota Jakarta 13940</t>
  </si>
  <si>
    <t>RT.7/RW.14, Penggilingan, Kec. Cakung, Kota Jakarta Timur</t>
  </si>
  <si>
    <t>https://maps.google.com/?cid=0x0:0x58e57b3522e68510</t>
  </si>
  <si>
    <t>https://www.rumah123.com/venue/taman-jatinegara-vcm15261/</t>
  </si>
  <si>
    <t>Taman cipinang pulo wetan</t>
  </si>
  <si>
    <t>Unnamed Road, RT.11/RW.12, Cipinang Besar Utara, Kecamatan Jatinegara, Kota Jakarta Timur, Daerah Khusus Ibukota Jakarta 13410</t>
  </si>
  <si>
    <t>RT.11/RW.12, Cipinang Besar Utara, Kecamatan Jatinegara, Kota Jakarta Timur</t>
  </si>
  <si>
    <t>https://maps.google.com/?cid=0x0:0x7248e128e16a2171</t>
  </si>
  <si>
    <t>Batu Tulis Residence</t>
  </si>
  <si>
    <t>Jl. Batu Tulis III No.64D 9, RT.9/RW.3, Batu Ampar, Kec. Kramat jati, Kota Jakarta Timur, Daerah Khusus Ibukota Jakarta 13520</t>
  </si>
  <si>
    <t>RT.9/RW.3, Batu Ampar, Kec. Kramat jati, Kota Jakarta Timur</t>
  </si>
  <si>
    <t>https://maps.google.com/?cid=0x0:0x81088e9c84452b6e</t>
  </si>
  <si>
    <t>https://www.dekoruma.com/properti/dijual-jatinegara-jakarta-timur-rumah-menarik-oleh-anas-T4pOOjSnQQ?srsltid=AfmBOoos8pSDAinXOMjI6BqSu3EDZlxvfyX1gft2m-urpIPf7gxdKjIw</t>
  </si>
  <si>
    <t>Munggang Residence</t>
  </si>
  <si>
    <t>Jl. Munggang No.11 10, RT.10/RW.4, Balekambang, Kec. Kramat jati, Kota Jakarta Timur, Daerah Khusus Ibukota Jakarta 13530</t>
  </si>
  <si>
    <t>RT.10/RW.4, Balekambang, Kec. Kramat jati, Kota Jakarta Timur</t>
  </si>
  <si>
    <t>https://maps.google.com/?cid=0x0:0x9215eb503eedf5e3</t>
  </si>
  <si>
    <t>https://www.tribunjualbeli.com/dki-jakarta/2218965/rumah-4-kamar-190m2-munggang-residence-kramat-jati-jakarta-timur</t>
  </si>
  <si>
    <t>Foresta Residence</t>
  </si>
  <si>
    <t>PVG3+CFX Foresta Residence Town House, RT.8/RW.1, Balekambang, Kec. Kramat jati, Kota Jakarta Timur, Daerah Khusus Ibukota Jakarta 13530</t>
  </si>
  <si>
    <t>RT.8/RW.1, Balekambang, Kec. Kramat jati, Kota Jakarta Timur</t>
  </si>
  <si>
    <t>https://maps.google.com/?cid=0x0:0xb8d3c73cecb7dd00</t>
  </si>
  <si>
    <t>Perumahan Graha 10</t>
  </si>
  <si>
    <t>PV65+CW8, Jl. Mushollah, RT.4/RW.9, Kp. Tengah, Kec. Kramat jati, Kota Jakarta Timur, Daerah Khusus Ibukota Jakarta 13540</t>
  </si>
  <si>
    <t>Jl. Mushollah, RT.4/RW.9, Kp. Tengah, Kec. Kramat jati, Kota Jakarta Timur</t>
  </si>
  <si>
    <t>https://maps.google.com/?cid=0x0:0x2b2112e831cf2c85</t>
  </si>
  <si>
    <t>https://residences.co.id/graha-10-rumah-dijual-condet/</t>
  </si>
  <si>
    <t>GREEN SAHARA RESIDENCE</t>
  </si>
  <si>
    <t>Jl. Raya Inpres No.9 2, RT.9/RW.3, Kp. Tengah, Kec. Kramat jati, Kota Jakarta Timur, Daerah Khusus Ibukota Jakarta 13540</t>
  </si>
  <si>
    <t>RT.9/RW.3, Kp. Tengah, Kec. Kramat jati, Kota Jakarta Timur</t>
  </si>
  <si>
    <t>https://maps.google.com/?cid=0x0:0xe0000acf5a470264</t>
  </si>
  <si>
    <t>https://www.rumah123.com/properti/jakarta-timur/hos18526032/</t>
  </si>
  <si>
    <t>Komplek Guru SDN Makasar 08</t>
  </si>
  <si>
    <t>PVHG+63G, RT.13/RW.2, Makasar, Kec. Makasar, Kota Jakarta Timur, Daerah Khusus Ibukota Jakarta 13570</t>
  </si>
  <si>
    <t>RT.13/RW.2, Makasar, Kec. Makasar, Kota Jakarta Timur</t>
  </si>
  <si>
    <t>https://maps.google.com/?cid=0x0:0x2f579b6634b9a600</t>
  </si>
  <si>
    <t>Taman Palem Halim</t>
  </si>
  <si>
    <t>Jl. Pusdiklat Depnaker Taman Palem Halim No.6, RT.6/RW.5, Makasar, Kec. Makasar, Kota Jakarta Timur, Daerah Khusus Ibukota Jakarta 13570</t>
  </si>
  <si>
    <t>RT.6/RW.5, Makasar, Kec. Makasar, Kota Jakarta Timur</t>
  </si>
  <si>
    <t>https://maps.google.com/?cid=0x0:0x9c2bf734d3d82886</t>
  </si>
  <si>
    <t>https://www.99.co/id/komplek-perumahan/12929-taman-palem-halim/units</t>
  </si>
  <si>
    <t>Kompleks TNI AU Rajawali Lama</t>
  </si>
  <si>
    <t>Jl. Falcon blok 3 E 3, RT.1/RW.10, Halim Perdana Kusumah, Kec. Makasar, Kota Jakarta Timur, Daerah Khusus Ibukota Jakarta 13610</t>
  </si>
  <si>
    <t>RT.1/RW.10, Halim Perdana Kusumah, Kec. Makasar, Kota Jakarta Timur</t>
  </si>
  <si>
    <t>https://maps.google.com/?cid=0x0:0xa78ec9eb5aed61d5</t>
  </si>
  <si>
    <t>Komplek galaksi, perumahan dwikora no 33</t>
  </si>
  <si>
    <t>Komplek galaksi, perumahan dwikora No.33, RT.9/RW.12, Halim Perdana Kusumah, Kec. Makasar, Kota Jakarta Timur, Daerah Khusus Ibukota Jakarta 13610</t>
  </si>
  <si>
    <t>perumahan dwikora No.33, RT.9/RW.12, Halim Perdana Kusumah, Kec. Makasar, Kota Jakarta Timur</t>
  </si>
  <si>
    <t>https://maps.google.com/?cid=0x0:0xe9499e60e17b0aa8</t>
  </si>
  <si>
    <t>Komplek Cipinang Melayu</t>
  </si>
  <si>
    <t>Jl. Harapan indah No.8 1, RT.1/RW.12, Cipinang Melayu, Kec. Makasar, Kota Jakarta Timur, Daerah Khusus Ibukota Jakarta 13620</t>
  </si>
  <si>
    <t>RT.1/RW.12, Cipinang Melayu, Kec. Makasar, Kota Jakarta Timur</t>
  </si>
  <si>
    <t>https://maps.google.com/?cid=0x0:0xbb27ab3bc5626d94</t>
  </si>
  <si>
    <t>https://www.lamudi.co.id/jual/jakarta/jakarta-timur/jual-cepat-rumah-luas-476m2-di-cipinang-melayu-dib-174220138056/</t>
  </si>
  <si>
    <t>Villa Jatiwaringin B</t>
  </si>
  <si>
    <t>Jl. Mawar Raya No.12-20 4, RT.4/RW.9, Cipinang Melayu, Kec. Makasar, Kota Jakarta Timur, Daerah Khusus Ibukota Jakarta 13620</t>
  </si>
  <si>
    <t>RT.4/RW.9, Cipinang Melayu, Kec. Makasar, Kota Jakarta Timur</t>
  </si>
  <si>
    <t>https://maps.google.com/?cid=0x0:0x63b979572fdaa263</t>
  </si>
  <si>
    <t>https://www.rumah123.com/venue/villa-jatiwaringin-vcm28850/</t>
  </si>
  <si>
    <t>Cluster Daun Pisangan Baru</t>
  </si>
  <si>
    <t>Jl. H No.14, RT.9/RW.14, Pisangan Baru, Kec. Matraman, Kota Jakarta Timur, Daerah Khusus Ibukota Jakarta 13110</t>
  </si>
  <si>
    <t>RT.9/RW.14, Pisangan Baru, Kec. Matraman, Kota Jakarta Timur</t>
  </si>
  <si>
    <t>https://maps.google.com/?cid=0x0:0xe604b676208a69ba</t>
  </si>
  <si>
    <t>Mangosteen Residence Matraman</t>
  </si>
  <si>
    <t>Jl. Matraman Salemba No.4, RT.4/RW.1, Kb. Manggis, Kec. Matraman, Kota Jakarta Timur, Daerah Khusus Ibukota Jakarta 13150</t>
  </si>
  <si>
    <t>RT.4/RW.1, Kb. Manggis, Kec. Matraman, Kota Jakarta Timur</t>
  </si>
  <si>
    <t>https://maps.google.com/?cid=0x0:0x786bf8accec6400c</t>
  </si>
  <si>
    <t>Griya Waskita</t>
  </si>
  <si>
    <t>Jl. Kesatrian No.1, RT.3/RW.3, Kb. Manggis, Kec. Matraman, Kota Jakarta Timur, Daerah Khusus Ibukota Jakarta 13150</t>
  </si>
  <si>
    <t>RT.3/RW.3, Kb. Manggis, Kec. Matraman, Kota Jakarta Timur</t>
  </si>
  <si>
    <t>https://maps.google.com/?cid=0x0:0xe872e5576bcf7800</t>
  </si>
  <si>
    <t>Budi Darsono Residence</t>
  </si>
  <si>
    <t>Jl. Kesatrian VC No.24 20, RT.28/RW.3, Kb. Manggis, Kec. Matraman, Kota Jakarta Timur, Daerah Khusus Ibukota Jakarta 13150</t>
  </si>
  <si>
    <t>RT.28/RW.3, Kb. Manggis, Kec. Matraman, Kota Jakarta Timur</t>
  </si>
  <si>
    <t>https://maps.google.com/?cid=0x0:0xd8b55039aee0f929</t>
  </si>
  <si>
    <t>D puspita kalisari residence</t>
  </si>
  <si>
    <t>Jl. Sawi No.1 2, RT.2/RW.1, Pekayon, Kec. Ps. Rebo, Kota Jakarta Timur, Daerah Khusus Ibukota Jakarta 13710</t>
  </si>
  <si>
    <t>RT.2/RW.1, Pekayon, Kec. Ps. Rebo, Kota Jakarta Timur</t>
  </si>
  <si>
    <t>https://maps.google.com/?cid=0x0:0x7337d5f6242e86ba</t>
  </si>
  <si>
    <t>https://homesyariah.com/properti/perumahan-pasar-rebo-jakarta-timur-dpuspita-5-residence-kalisari/</t>
  </si>
  <si>
    <t>PERUMAHAN PURI GEDONG</t>
  </si>
  <si>
    <t>Jl. H. Taiman No.23, RT.3/RW.10, Gedong, Kec. Ps. Rebo, Kota Jakarta Timur, Daerah Khusus Ibukota Jakarta 13760</t>
  </si>
  <si>
    <t>RT.3/RW.10, Gedong, Kec. Ps. Rebo, Kota Jakarta Timur</t>
  </si>
  <si>
    <t>https://maps.google.com/?cid=0x0:0x34b6b36117ea2bb9</t>
  </si>
  <si>
    <t>Griya Alam Gedong 3</t>
  </si>
  <si>
    <t>Jl. Raya Tengah No.26 9, RT.9/RW.3, Gedong, Kec. Ps. Rebo, Kota Jakarta Timur, Daerah Khusus Ibukota Jakarta 13760</t>
  </si>
  <si>
    <t>RT.9/RW.3, Gedong, Kec. Ps. Rebo, Kota Jakarta Timur</t>
  </si>
  <si>
    <t>https://maps.google.com/?cid=0x0:0xb35b2f5ca2031294</t>
  </si>
  <si>
    <t>https://anivagadingserpong.raywhite.co.id/properti/427852/dijual-rumah-bagus-siap-huni-di-griya-alam-gedong-ps-rebo-jakarta-timur</t>
  </si>
  <si>
    <t>Cahaya Residence 1 Cijantung</t>
  </si>
  <si>
    <t>Jl. Pandanalas No.58, RT.3/RW.2, Cijantung, Kec. Ps. Rebo, Kota Jakarta Timur, Daerah Khusus Ibukota Jakarta 13770</t>
  </si>
  <si>
    <t>RT.3/RW.2, Cijantung, Kec. Ps. Rebo, Kota Jakarta Timur</t>
  </si>
  <si>
    <t>https://maps.google.com/?cid=0x0:0x9f3ebecf1d81912</t>
  </si>
  <si>
    <t>Cluster Salam Asri Cijantung Jakarta Timur</t>
  </si>
  <si>
    <t>MVH5+3P4, Jakarta Timur, RT.2/RW.7, Cijantung, Kec. Ps. Rebo, Kota Jakarta Timur, Daerah Khusus Ibukota Jakarta 13770</t>
  </si>
  <si>
    <t>Jakarta Timur, RT.2/RW.7, Cijantung, Kec. Ps. Rebo, Kota Jakarta Timur</t>
  </si>
  <si>
    <t>https://maps.google.com/?cid=0x0:0x8dd73499b0e9993e</t>
  </si>
  <si>
    <t>https://agenberkahindo.com/asheu_catalogue/dijual-rumah-di-cijantung-jakarta-timur/</t>
  </si>
  <si>
    <t>PERUMAHAN D'ISTANBUL RESIDENCE</t>
  </si>
  <si>
    <t>Jl. Rambutan No.8, RT.6/RW.3, Kalisari, Kec. Ps. Rebo, Kota Jakarta Timur, Daerah Khusus Ibukota Jakarta 13780</t>
  </si>
  <si>
    <t>RT.6/RW.3, Kalisari, Kec. Ps. Rebo, Kota Jakarta Timur</t>
  </si>
  <si>
    <t>https://maps.google.com/?cid=0x0:0x593cb4cfa3e4f440</t>
  </si>
  <si>
    <t>INOMIKA RESIDENCE</t>
  </si>
  <si>
    <t>2, Jl. Kenanga II No.5, RT.2/RW.11, Kalisari, Kec. Ps. Rebo, Kota Jakarta Timur, Daerah Khusus Ibukota Jakarta 13790</t>
  </si>
  <si>
    <t>Jl. Kenanga II No.5, RT.2/RW.11, Kalisari, Kec. Ps. Rebo, Kota Jakarta Timur</t>
  </si>
  <si>
    <t>https://maps.google.com/?cid=0x0:0x46b1c869249be5a5</t>
  </si>
  <si>
    <t>The Mozz 9 Residence</t>
  </si>
  <si>
    <t>MV86+JMG, Jl. Lkr. Sari, RT.14/RW.9, Kalisari, Kec. Ps. Rebo, Kota Jakarta Timur, Daerah Khusus Ibukota Jakarta 13790</t>
  </si>
  <si>
    <t>Jl. Lkr. Sari, RT.14/RW.9, Kalisari, Kec. Ps. Rebo, Kota Jakarta Timur</t>
  </si>
  <si>
    <t>https://maps.google.com/?cid=0x0:0xce2edb5bdd9c8a2</t>
  </si>
  <si>
    <t>https://www.rumah123.com/venue/the-mozz-residence-9-vcm27610/</t>
  </si>
  <si>
    <t>Kayu Mas Residence</t>
  </si>
  <si>
    <t>Jl. Kayu Mas Sel. 7, RT.3/RW.3, Pulo Gadung, Kec. Pulo Gadung, Kota Jakarta Timur, Daerah Khusus Ibukota Jakarta 13260</t>
  </si>
  <si>
    <t>RT.3/RW.3, Pulo Gadung, Kec. Pulo Gadung, Kota Jakarta Timur</t>
  </si>
  <si>
    <t>https://maps.google.com/?cid=0x0:0xea3b93aad2c5b03a</t>
  </si>
  <si>
    <t>https://www.dekoruma.com/properti/perumahan-kayu-mas-residence-jakarta-timur?srsltid=AfmBOopht4mxwygrFTGWHQODec5lN7U9R123PTXEW9b8Qb28gWeg2Blm</t>
  </si>
  <si>
    <t>Perumahan Kayu Putih Residence</t>
  </si>
  <si>
    <t>RV9W+66G, RT.11/RW.7, Pulo Gadung, Kec. Pulo Gadung, Kota Jakarta Timur, Daerah Khusus Ibukota Jakarta 13260</t>
  </si>
  <si>
    <t>RT.11/RW.7, Pulo Gadung, Kec. Pulo Gadung, Kota Jakarta Timur</t>
  </si>
  <si>
    <t>https://maps.google.com/?cid=0x0:0xd3a5db24b004e961</t>
  </si>
  <si>
    <t>https://www.dekoruma.com/properti/dijual-pulo-gadung-jakarta-timur-rumah-2-lantai-santai-oleh-anthony-UqJujG2QtL?srsltid=AfmBOoqmW9B5h1cDMhKR_XaMWAZeaJ0m1FnLp9yQZC1m6WxEGHSRQ_T2</t>
  </si>
  <si>
    <t>HarveyDavey Residence</t>
  </si>
  <si>
    <t>Jl. Pulo Mas III H No.1A, Kayu Putih, Kec. Pulo Gadung, Kota Jakarta Timur, Daerah Khusus Ibukota Jakarta 13210</t>
  </si>
  <si>
    <t>https://maps.google.com/?cid=0x0:0x2edc44be3fbb6cd2</t>
  </si>
  <si>
    <t>Taman Berdikari Sentosa</t>
  </si>
  <si>
    <t>Jl. Pemuda 3 No.20, RT.20/RW.6, Jati, Kec. Pulo Gadung, Kota Jakarta Timur, Daerah Khusus Ibukota Jakarta 13220</t>
  </si>
  <si>
    <t>RT.20/RW.6, Jati, Kec. Pulo Gadung, Kota Jakarta Timur</t>
  </si>
  <si>
    <t>https://maps.google.com/?cid=0x0:0x61d6ad16cd213e7d</t>
  </si>
  <si>
    <t>https://rumah.trovit.co.id/listing/rumah-taman-berdikari-sentosa-rawamangun-jakarta-timur.0195886d-ba5e-7770-a959-6e903a5d97ea</t>
  </si>
  <si>
    <t>Komplek Dirgantara 2 Halim</t>
  </si>
  <si>
    <t>No., Jl. Gatotkaca Dirgantara II No.531, RT.6/RW.2, Halim Perdana Kusumah, Kec. Makasar, Kota Jakarta Timur, Daerah Khusus Ibukota Jakarta 13610</t>
  </si>
  <si>
    <t>Jl. Gatotkaca Dirgantara II No.531, RT.6/RW.2, Halim Perdana Kusumah, Kec. Makasar, Kota Jakarta Timur</t>
  </si>
  <si>
    <t>https://maps.google.com/?cid=0x0:0x97c839f44e0eb9c0</t>
  </si>
  <si>
    <t>Tipar Pratama Residence</t>
  </si>
  <si>
    <t>Jl. Tipar No.94 2, RT.2/RW.7, Pekayon, Kec. Ps. Rebo, Kota Jakarta Timur, Daerah Khusus Ibukota Jakarta 13710</t>
  </si>
  <si>
    <t>RT.2/RW.7, Pekayon, Kec. Ps. Rebo, Kota Jakarta Timur</t>
  </si>
  <si>
    <t>https://maps.google.com/?cid=0x0:0xfce5d3353b565937</t>
  </si>
  <si>
    <t>https://www.olx.co.id/item/dijual-rumah-tipar-pratama-residence-di-jakarta-timur-iid-931815126</t>
  </si>
  <si>
    <t>Griya Aksara Residence</t>
  </si>
  <si>
    <t>Jl. Bungur VI No.171, RT.9/RW.6, Rambutan, Kec. Ciracas, Kota Jakarta Timur, Daerah Khusus Ibukota Jakarta 13830</t>
  </si>
  <si>
    <t>RT.9/RW.6, Rambutan, Kec. Ciracas, Kota Jakarta Timur</t>
  </si>
  <si>
    <t>https://maps.google.com/?cid=0x0:0xe060cf62b4b26afa</t>
  </si>
  <si>
    <t>Cantik Permai Residence</t>
  </si>
  <si>
    <t>Jl. H. Syarbini III No.5, RT.5/RW.6, Makasar, Kec. Makasar, Kota Jakarta Timur, Daerah Khusus Ibukota Jakarta 13570</t>
  </si>
  <si>
    <t>RT.5/RW.6, Makasar, Kec. Makasar, Kota Jakarta Timur</t>
  </si>
  <si>
    <t>https://maps.google.com/?cid=0x0:0x3daf093b07d38958</t>
  </si>
  <si>
    <t>https://www.dekoruma.com/properti/dijual-makasar-jakarta-timur-rumah-2-lantai-kosong-oleh-user-olx-JaH9sEd7dl?srsltid=AfmBOoor4AIRabxw7bax7WxVTQdaUQ0vEYBbr3hS1c5WbRlyimXPDbB8</t>
  </si>
  <si>
    <t>Perumahan Ceger Permai Indah</t>
  </si>
  <si>
    <t>Jl. SMP 160 No.57, RT.3/RW.5, Ceger, Kec. Cipayung, Kota Jakarta Timur, Daerah Khusus Ibukota Jakarta 13820</t>
  </si>
  <si>
    <t>https://maps.google.com/?cid=0x0:0x6150ca7be6a0746d</t>
  </si>
  <si>
    <t>Perumahan Mutiara Pondok Ranggon</t>
  </si>
  <si>
    <t>Jl. Subur Pertamina No.5, RT.5/RW.2, Pd. Ranggon, Kec. Cipayung, Kota Jakarta Timur, Daerah Khusus Ibukota Jakarta 13860</t>
  </si>
  <si>
    <t>RT.5/RW.2, Pd. Ranggon, Kec. Cipayung, Kota Jakarta Timur</t>
  </si>
  <si>
    <t>https://maps.google.com/?cid=0x0:0x6f8f3722240883d5</t>
  </si>
  <si>
    <t>https://residences.co.id/mutiara-pondok-ranggon-rumah-dijual-cibubur-jakarta-timur/</t>
  </si>
  <si>
    <t>Perumahan Puri Mutiara Cipayung</t>
  </si>
  <si>
    <t>MW45+7RW, RT.2/RW.3, Pd. Ranggon, Kec. Cipayung, Kota Jakarta Timur, Daerah Khusus Ibukota Jakarta 13860</t>
  </si>
  <si>
    <t>RT.2/RW.3, Pd. Ranggon, Kec. Cipayung, Kota Jakarta Timur</t>
  </si>
  <si>
    <t>https://maps.google.com/?cid=0x0:0xdb0830ab09784372</t>
  </si>
  <si>
    <t>Green T Residence 3</t>
  </si>
  <si>
    <t>Jl. Gebang Sari Dalam III, RT.7/RW.5, Bambu Apus, Kec. Cipayung, Kota Jakarta Timur, Daerah Khusus Ibukota Jakarta 13890</t>
  </si>
  <si>
    <t>RT.7/RW.5, Bambu Apus, Kec. Cipayung, Kota Jakarta Timur</t>
  </si>
  <si>
    <t>https://maps.google.com/?cid=0x0:0x7cf4546e62768dec</t>
  </si>
  <si>
    <t>https://www.99.co/id/komplek-perumahan/72846-green-t-residence/units</t>
  </si>
  <si>
    <t>Perumahan Kementerian Agama</t>
  </si>
  <si>
    <t>Jl. Klp. Dua Raya No.89 1, RT.1/RW.8, Klp. Dua Wetan, Kec. Ciracas, Kota Jakarta Timur, Daerah Khusus Ibukota Jakarta 13730</t>
  </si>
  <si>
    <t>RT.1/RW.8, Klp. Dua Wetan, Kec. Ciracas, Kota Jakarta Timur</t>
  </si>
  <si>
    <t>https://maps.google.com/?cid=0x0:0xed0ff6c1761b46d8</t>
  </si>
  <si>
    <t>Perumahan De Palm Residence</t>
  </si>
  <si>
    <t>Jl. H. Baping No.52, RT.2/RW.9, Ciracas, Kec. Ciracas, Kota Jakarta Timur, Daerah Khusus Ibukota Jakarta 13740</t>
  </si>
  <si>
    <t>RT.2/RW.9, Ciracas, Kec. Ciracas, Kota Jakarta Timur</t>
  </si>
  <si>
    <t>https://maps.google.com/?cid=0x0:0x3a94bcd548240510</t>
  </si>
  <si>
    <t>Komplek Karya Sarana</t>
  </si>
  <si>
    <t>4, Jl. Buaran 2 No.14, RT.6/RW.13, Klender, Kec. Duren Sawit, Kota Jakarta Timur, Daerah Khusus Ibukota Jakarta 13470</t>
  </si>
  <si>
    <t>Jl. Buaran 2 No.14, RT.6/RW.13, Klender, Kec. Duren Sawit, Kota Jakarta Timur</t>
  </si>
  <si>
    <t>https://maps.google.com/?cid=0x0:0xa9b31ef28c75ceb4</t>
  </si>
  <si>
    <t>https://www.rumah123.com/venue/karya-sarana-vcm22898/</t>
  </si>
  <si>
    <t>Komplek Nirmala Asri 7</t>
  </si>
  <si>
    <t>Jl. Puskesmas No.7 5, RT.5/RW.11, Kalisari, Kec. Ps. Rebo, Kota Jakarta Timur, Daerah Khusus Ibukota Jakarta 13790</t>
  </si>
  <si>
    <t>RT.5/RW.11, Kalisari, Kec. Ps. Rebo, Kota Jakarta Timur</t>
  </si>
  <si>
    <t>https://maps.google.com/?cid=0x0:0xe621f3489548690d</t>
  </si>
  <si>
    <t>https://www.pinhome.id/dijual/rumah-sekunder/unit/dijual-rumah-bebas-banjir-di-cluster-nirmala-asri-kalisari-cijantung</t>
  </si>
  <si>
    <t>Puri Mutiara 3</t>
  </si>
  <si>
    <t>MV3X+7JC, Jl. Dalang No.48 A - N, RT.12/RW.5, Munjul, Kec. Cipayung, Kota Jakarta Timur, Daerah Khusus Ibukota Jakarta 13850</t>
  </si>
  <si>
    <t>Jl. Dalang No.48 A - N, RT.12/RW.5, Munjul, Kec. Cipayung, Kota Jakarta Timur</t>
  </si>
  <si>
    <t>https://maps.google.com/?cid=0x0:0x8986450c9c7180fc</t>
  </si>
  <si>
    <t>TB Simatupang Residence</t>
  </si>
  <si>
    <t>RT.12/RW.5, Rambutan, Kec. Ciracas, Kota Jakarta Timur, Daerah Khusus Ibukota Jakarta 13830</t>
  </si>
  <si>
    <t>Rambutan, Kec. Ciracas, Kota Jakarta Timur</t>
  </si>
  <si>
    <t>https://maps.google.com/?cid=0x0:0x5e308a5860ee3b69</t>
  </si>
  <si>
    <t>https://property.birulangit.info/property/tb-simatupang-residence-town-house-syariah-di-jakarta-timur/</t>
  </si>
  <si>
    <t>Cluster Griya Asri 3 Duren Sawit</t>
  </si>
  <si>
    <t>Jl. Gading I No.4, RT.4/RW.5, Duren Sawit, Kec. Duren Sawit, Kota Jakarta Timur, Daerah Khusus Ibukota Jakarta 13440</t>
  </si>
  <si>
    <t>RT.4/RW.5, Duren Sawit, Kec. Duren Sawit, Kota Jakarta Timur</t>
  </si>
  <si>
    <t>https://maps.google.com/?cid=0x0:0xb6ff756ca0d9c5d9</t>
  </si>
  <si>
    <t>https://www.dekoruma.com/properti/dijual-duren-sawit-jakarta-timur-rumah-2-lantai-mewah-oleh-lien-lee-kEr3q4NOCk?srsltid=AfmBOoobVLHZTb035TMCRnN-16A2qXiNYzANzEXx2VGuUB-CjmnpE9FG</t>
  </si>
  <si>
    <t>Perumahan Nuansa Pondok Kelapa</t>
  </si>
  <si>
    <t>QW9P+V62, Jl. Pd. Kelapa Raya No.7, RT.2/RW.2, Pd. Kopi, Kec. Duren Sawit, Kota Jakarta Timur, Daerah Khusus Ibukota Jakarta 13460</t>
  </si>
  <si>
    <t>Jl. Pd. Kelapa Raya No.7, RT.2/RW.2, Pd. Kopi, Kec. Duren Sawit, Kota Jakarta Timur</t>
  </si>
  <si>
    <t>https://maps.google.com/?cid=0x0:0x75b2eabe1738a4c2</t>
  </si>
  <si>
    <t>Cluster Onasis Townhouse Utan Kayu</t>
  </si>
  <si>
    <t>Jl. Duren No.24, RT.4/RW.9, Utan Kayu Utara, Kec. Matraman, Kota Jakarta Timur, Daerah Khusus Ibukota Jakarta 13120</t>
  </si>
  <si>
    <t>RT.4/RW.9, Utan Kayu Utara, Kec. Matraman, Kota Jakarta Timur</t>
  </si>
  <si>
    <t>https://maps.google.com/?cid=0x0:0x8d617287be5372cb</t>
  </si>
  <si>
    <t>Komplek Perumahan Islami Nur-Az</t>
  </si>
  <si>
    <t>Nur az islamic town house, Jl kelapa Dua wetan ciracas Jakarta Timur, Rt 4/ rw 8, RT.3/RW.8, Klp. Dua Wetan, Kec. Ciracas, Jakarta, Daerah Khusus Ibukota Jakarta 13730</t>
  </si>
  <si>
    <t>Jl kelapa Dua wetan ciracas Jakarta Timur, Rt 4/ rw 8, RT.3/RW.8, Klp. Dua Wetan, Kec. Ciracas, Jakarta</t>
  </si>
  <si>
    <t>https://maps.google.com/?cid=0x0:0x103b7f954ab84a7f</t>
  </si>
  <si>
    <t>https://www.rumah123.com/properti/jakarta-timur/hos12549617/</t>
  </si>
  <si>
    <t>Taman Pulo Indah</t>
  </si>
  <si>
    <t>Q1, Jl. Rambutan II No.36 19, RT.19/RW.7, Penggilingan, Kec. Cakung, Kota Jakarta Timur, Daerah Khusus Ibukota Jakarta 13940</t>
  </si>
  <si>
    <t>Jl. Rambutan II No.36 19, RT.19/RW.7, Penggilingan, Kec. Cakung, Kota Jakarta Timur</t>
  </si>
  <si>
    <t>https://maps.google.com/?cid=0x0:0xa9a918897ceb87</t>
  </si>
  <si>
    <t>https://www.olx.co.id/item/rumah-dijual-taman-pulo-indah-penggilingan-cakung-jakarta-timur-iid-925592591</t>
  </si>
  <si>
    <t>Perumahan TPI</t>
  </si>
  <si>
    <t>Jl. Anggur III No.5 blok U4, RT.18/RW.7, Penggilingan, Kec. Cakung, Kota Jakarta Timur, Daerah Khusus Ibukota Jakarta 13940</t>
  </si>
  <si>
    <t>RT.18/RW.7, Penggilingan, Kec. Cakung, Kota Jakarta Timur</t>
  </si>
  <si>
    <t>https://maps.google.com/?cid=0x0:0x46d07728a0c84354</t>
  </si>
  <si>
    <t>Komplek Marapu</t>
  </si>
  <si>
    <t>komplek marapu, blok A3, Jl. Tengki, RT.4/RW.3, Cipayung, Kec. Cipayung, Kota Jakarta Timur, Daerah Khusus Ibukota Jakarta 13840</t>
  </si>
  <si>
    <t>blok A3, Jl. Tengki, RT.4/RW.3, Cipayung, Kec. Cipayung, Kota Jakarta Timur</t>
  </si>
  <si>
    <t>https://maps.google.com/?cid=0x0:0x6ffef94cc3874548</t>
  </si>
  <si>
    <t>https://lautan-property.com/property/green-view-marapu-cipayung/</t>
  </si>
  <si>
    <t>Komplek Pertambangan</t>
  </si>
  <si>
    <t>Jl. Teratai I No.13, RT.5/RW.9, Pd. Bambu, Kec. Duren Sawit, Kota Jakarta Timur, Daerah Khusus Ibukota Jakarta 13430</t>
  </si>
  <si>
    <t>RT.5/RW.9, Pd. Bambu, Kec. Duren Sawit, Kota Jakarta Timur</t>
  </si>
  <si>
    <t>https://maps.google.com/?cid=0x0:0x559d08347e723fb</t>
  </si>
  <si>
    <t>Komplek Kodam Jaya</t>
  </si>
  <si>
    <t>PVPC+75G, Jl. Tj. Raya, RT.1/RW.2, Kramat Jati, Kec. Kramat jati, Kota Jakarta Timur, Daerah Khusus Ibukota Jakarta 13510</t>
  </si>
  <si>
    <t>Jl. Tj. Raya, RT.1/RW.2, Kramat Jati, Kec. Kramat jati, Kota Jakarta Timur</t>
  </si>
  <si>
    <t>https://maps.google.com/?cid=0x0:0xecaede583d68e186</t>
  </si>
  <si>
    <t>Grand Crystal Town House</t>
  </si>
  <si>
    <t>Jl. Batu Ampar 3 No.10A, RT.14/RW.3, Batu Ampar, Kec. Kramat jati, Kota Jakarta Timur, Daerah Khusus Ibukota Jakarta 13520</t>
  </si>
  <si>
    <t>RT.14/RW.3, Batu Ampar, Kec. Kramat jati, Kota Jakarta Timur</t>
  </si>
  <si>
    <t>https://maps.google.com/?cid=0x0:0x73ca8c0e13ec8c7b</t>
  </si>
  <si>
    <t>Perumahan Eramas 2000 Pulo Gebang Cakung Jakarta Timur</t>
  </si>
  <si>
    <t>Jl. Jati No.16, RT.16/RW.8, Pulo Gebang, Kec. Cakung, Kota Jakarta Timur, Daerah Khusus Ibukota Jakarta 13950</t>
  </si>
  <si>
    <t>RT.16/RW.8, Pulo Gebang, Kec. Cakung, Kota Jakarta Timur</t>
  </si>
  <si>
    <t>https://maps.google.com/?cid=0x0:0x39f4535405084488</t>
  </si>
  <si>
    <t>Green View Marapu Damai 2</t>
  </si>
  <si>
    <t>Jl. Damai II No.2 2, RT.3/RW.2, Cilangkap, Kec. Cipayung, Kota Jakarta Timur, Daerah Khusus Ibukota Jakarta 13870</t>
  </si>
  <si>
    <t>RT.3/RW.2, Cilangkap, Kec. Cipayung, Kota Jakarta Timur</t>
  </si>
  <si>
    <t>https://maps.google.com/?cid=0x0:0x6852294d0cef06a4</t>
  </si>
  <si>
    <t>https://www.brighton.co.id/cari-properti/view/perumahan-view-green-marapu-jalan-damai-ii</t>
  </si>
  <si>
    <t>Villa Melati</t>
  </si>
  <si>
    <t>Jl. Taman Melati No.3, RT.3/RW.5, Cilangkap, Kec. Cipayung, Kota Jakarta Timur, Daerah Khusus Ibukota Jakarta 13870</t>
  </si>
  <si>
    <t>https://maps.google.com/?cid=0x0:0x82da3b601dcbe2f9</t>
  </si>
  <si>
    <t>Santosa Residence</t>
  </si>
  <si>
    <t>Jl. Rw. Binong No.63 3, RT.3/RW.10, Bambu Apus, Kec. Cipayung, Kota Jakarta Timur, Daerah Khusus Ibukota Jakarta 13890</t>
  </si>
  <si>
    <t>RT.3/RW.10, Bambu Apus, Kec. Cipayung, Kota Jakarta Timur</t>
  </si>
  <si>
    <t>https://maps.google.com/?cid=0x0:0x112c7e77438dfc0f</t>
  </si>
  <si>
    <t>Perumahan Mangga 100</t>
  </si>
  <si>
    <t>PV76+V9W, Jl. Mangga, RT.2/RW.3, Batu Ampar, Kec. Kramat jati, Kota Jakarta Timur, Daerah Khusus Ibukota Jakarta 13520</t>
  </si>
  <si>
    <t>Jl. Mangga, RT.2/RW.3, Batu Ampar, Kec. Kramat jati, Kota Jakarta Timur</t>
  </si>
  <si>
    <t>https://maps.google.com/?cid=0x0:0xa65278672b3a406</t>
  </si>
  <si>
    <t>Danakarya Residence</t>
  </si>
  <si>
    <t>Jl. Dana Karya No.22 5, RT.5/RW.8, Gedong, Kec. Ps. Rebo, Kota Jakarta Timur, Daerah Khusus Ibukota Jakarta 13760</t>
  </si>
  <si>
    <t>RT.5/RW.8, Gedong, Kec. Ps. Rebo, Kota Jakarta Timur</t>
  </si>
  <si>
    <t>https://maps.google.com/?cid=0x0:0xfd396bec6d47a45c</t>
  </si>
  <si>
    <t>Perumahan Aneka Elok</t>
  </si>
  <si>
    <t>Agathis Elok 1 No.12 Blok D8, RT.8/RW.9, Pulo Gebang, Kec. Cakung, Kota Jakarta Timur, Daerah Khusus Ibukota Jakarta 13950</t>
  </si>
  <si>
    <t>RT.8/RW.9, Pulo Gebang, Kec. Cakung, Kota Jakarta Timur</t>
  </si>
  <si>
    <t>https://maps.google.com/?cid=0x0:0xce91e3d2e1ca9242</t>
  </si>
  <si>
    <t>https://rumah.trovit.co.id/listing/rumah-di-aneka-elok-penggilingan-jakarta-timur.3aed7790-2858-1f5a-bc59-85c22f329164</t>
  </si>
  <si>
    <t>Taman Sari V no 10, Perumahan Jatinegara Baru, Penggilingan</t>
  </si>
  <si>
    <t>Taman Sari 5 No.10, RW.16, Penggilingan, Kec. Cakung, Kota Jakarta Timur, Daerah Khusus Ibukota Jakarta 13940</t>
  </si>
  <si>
    <t>RW.16, Penggilingan, Kec. Cakung, Kota Jakarta Timur</t>
  </si>
  <si>
    <t>https://maps.google.com/?cid=0x0:0x2c1bf4fec9e7ce81</t>
  </si>
  <si>
    <t>https://www.olx.co.id/item/dijual-rumah-2lt-di-perumahan-jatinegara-baru-penggilingan-jak-tim-iid-930767608</t>
  </si>
  <si>
    <t>Griya Salamun</t>
  </si>
  <si>
    <t>Jl. Mawar No.11, RT.11/RW.3, Pd. Ranggon, Kec. Cipayung, Kota Jakarta Timur, Daerah Khusus Ibukota Jakarta 13860</t>
  </si>
  <si>
    <t>RT.11/RW.3, Pd. Ranggon, Kec. Cipayung, Kota Jakarta Timur</t>
  </si>
  <si>
    <t>https://maps.google.com/?cid=0x0:0x9e57fad4f5d639b7</t>
  </si>
  <si>
    <t>https://www.facebook.com/rumahjaktim/posts/cluster-griya-salamun-cipayung-jakarta-timurrumah-di-jakarta-timur-harga-580-jut/1692888667633565/</t>
  </si>
  <si>
    <t>PADI RESIDENCE</t>
  </si>
  <si>
    <t>Jl. Bina Marga No.25 5, RT.5/RW.5, Ceger, Kec. Cipayung, Kota Jakarta Timur, Daerah Khusus Ibukota Jakarta 13820</t>
  </si>
  <si>
    <t>RT.5/RW.5, Ceger, Kec. Cipayung, Kota Jakarta Timur</t>
  </si>
  <si>
    <t>https://maps.google.com/?cid=0x0:0xb16272f2a5e0e50</t>
  </si>
  <si>
    <t>Griya Setu Cipayung 2</t>
  </si>
  <si>
    <t>Gg. Botin I Blok Botin No.33, RT.7/RW.4, Cipayung, Kec. Cipayung, Kota Jakarta Timur, Daerah Khusus Ibukota Jakarta 13840</t>
  </si>
  <si>
    <t>RT.7/RW.4, Cipayung, Kec. Cipayung, Kota Jakarta Timur</t>
  </si>
  <si>
    <t>https://maps.google.com/?cid=0x0:0x9c52335cb77d4adc</t>
  </si>
  <si>
    <t>https://www.pinhome.id/dijual/rumah-sekunder/unit/dijual-rumah-rumah-griya-setu-di-griya-setu-cipayung</t>
  </si>
  <si>
    <t>Grand Bima Mansion</t>
  </si>
  <si>
    <t>Jl. Bina Marga No.49, RT.3/RW.6, Cipayung, Kec. Cipayung, Kota Jakarta Timur, Daerah Khusus Ibukota Jakarta 13840</t>
  </si>
  <si>
    <t>RT.3/RW.6, Cipayung, Kec. Cipayung, Kota Jakarta Timur</t>
  </si>
  <si>
    <t>https://maps.google.com/?cid=0x0:0xf8b61c1c991ae048</t>
  </si>
  <si>
    <t>https://www.dotproperty.id/komersial-dijual-dengan-di-cipayung-jakarta_7905097</t>
  </si>
  <si>
    <t>Green House DJS Fam</t>
  </si>
  <si>
    <t>Jl. Salak Raya No.17, RT.10/RW.4, Munjul, Kec. Cipayung, Kota Jakarta Timur, Daerah Khusus Ibukota Jakarta 13850</t>
  </si>
  <si>
    <t>RT.10/RW.4, Munjul, Kec. Cipayung, Kota Jakarta Timur</t>
  </si>
  <si>
    <t>https://maps.google.com/?cid=0x0:0x9aba1c750454fae2</t>
  </si>
  <si>
    <t>Puri Bumi Respati</t>
  </si>
  <si>
    <t>Jl. Smea 33- Smik No.3, RW.1, Bambu Apus, Kec. Cipayung, Kota Jakarta Timur, Daerah Khusus Ibukota Jakarta 13890</t>
  </si>
  <si>
    <t>RW.1, Bambu Apus, Kec. Cipayung, Kota Jakarta Timur</t>
  </si>
  <si>
    <t>https://maps.google.com/?cid=0x0:0x3a73bc767160f76</t>
  </si>
  <si>
    <t>https://rumah.trovit.co.id/listing/rumah-type-townhouse-cantik-di-cipayung-jakarta-timur.83a50dd4-68c0-4852-87fb-b337bba52c03</t>
  </si>
  <si>
    <t>Cipayung Residence</t>
  </si>
  <si>
    <t>Jalan Raya Kelapa Dua Wetan No.5a RT.4/RW.8 Kelapa Dua Wetan Ciracas RT.4, RT.4/RW.8, Klp. Dua Wetan, Kec. Ciracas, Kota Jakarta Timur, Daerah Khusus Ibukota Jakarta 13740</t>
  </si>
  <si>
    <t>RT.4/RW.8, Klp. Dua Wetan, Kec. Ciracas, Kota Jakarta Timur</t>
  </si>
  <si>
    <t>https://maps.google.com/?cid=0x0:0x4d74da40c53e2ff</t>
  </si>
  <si>
    <t>Cluster Paramastri</t>
  </si>
  <si>
    <t>JWX3+MMJ, Jl. Cilangkap Baru, RW.1, Cilangkap, Kec. Cipayung, Kota Jakarta Timur, Daerah Khusus Ibukota Jakarta 13870</t>
  </si>
  <si>
    <t>Jl. Cilangkap Baru, RW.1, Cilangkap, Kec. Cipayung, Kota Jakarta Timur</t>
  </si>
  <si>
    <t>https://maps.google.com/?cid=0x0:0xe2470cbaafa92d2b</t>
  </si>
  <si>
    <t>https://muslimproperti.id/perumahan/jakarta-timur/cipayung/cluster-paramastri-6/</t>
  </si>
  <si>
    <t>Perumahan Ciracas Riverside</t>
  </si>
  <si>
    <t>Jl. Manunggal No.2, RT.6/RW.2, Klp. Dua Wetan, Kec. Ciracas, Kota Jakarta Timur, Daerah Khusus Ibukota Jakarta 13730</t>
  </si>
  <si>
    <t>RT.6/RW.2, Klp. Dua Wetan, Kec. Ciracas, Kota Jakarta Timur</t>
  </si>
  <si>
    <t>https://maps.google.com/?cid=0x0:0xff58dc53d8c062b2</t>
  </si>
  <si>
    <t>https://homesyariah.com/properti/perumahan-ciracas-riverside-jakarta-timur/</t>
  </si>
  <si>
    <t>Komplek Aulia Rahma</t>
  </si>
  <si>
    <t>Gg. Taufik, RT.15/RW.8, Klp. Dua Wetan, Kec. Ciracas, Kota Jakarta Timur, Daerah Khusus Ibukota Jakarta 13730</t>
  </si>
  <si>
    <t>RT.15/RW.8, Klp. Dua Wetan, Kec. Ciracas, Kota Jakarta Timur</t>
  </si>
  <si>
    <t>https://maps.google.com/?cid=0x0:0x3772bb3a7dead676</t>
  </si>
  <si>
    <t>Mohza Residence</t>
  </si>
  <si>
    <t>Jl. H. Ba'in Blok Haji Bain No.6, RT.1/RW.8, Klp. Dua Wetan, Kec. Ciracas, Kota Jakarta Timur, Daerah Khusus Ibukota Jakarta 13730</t>
  </si>
  <si>
    <t>https://maps.google.com/?cid=0x0:0x26252f496ee13d05</t>
  </si>
  <si>
    <t>https://pashouses.id/rumah/mohza-residence</t>
  </si>
  <si>
    <t>Bougenville Residence Ciracas</t>
  </si>
  <si>
    <t>Gg. Pule 88. II, RT.017/RW.9, Ciracas, Kec. Ciracas, Kota Jakarta Timur, Daerah Khusus Ibukota Jakarta 13740</t>
  </si>
  <si>
    <t>RT.017/RW.9, Ciracas, Kec. Ciracas, Kota Jakarta Timur</t>
  </si>
  <si>
    <t>https://maps.google.com/?cid=0x0:0x5b52f81c5747ee3f</t>
  </si>
  <si>
    <t>https://pashouses.id/rumah-dijual/area/jakarta-timur/ciracas/ciracas</t>
  </si>
  <si>
    <t>Ciracas Gate Residence 1</t>
  </si>
  <si>
    <t>MVJM+524, RT.8/RW.6, Ciracas, Kec. Ciracas, Kota Jakarta Timur, Daerah Khusus Ibukota Jakarta 13740</t>
  </si>
  <si>
    <t>https://maps.google.com/?cid=0x0:0xfe795de43f59a484</t>
  </si>
  <si>
    <t>Griya Rambutan Cluster</t>
  </si>
  <si>
    <t>Jl. SD Inpres No.84, Rambutan, Kec. Ciracas, Kota Jakarta Timur, Daerah Khusus Ibukota Jakarta 13830</t>
  </si>
  <si>
    <t>https://maps.google.com/?cid=0x0:0x1c7cb5ad2255f74c</t>
  </si>
  <si>
    <t>https://pashouses.id/rumah/perumahan-griya-rambutan-cluster</t>
  </si>
  <si>
    <t>Komplek PTB Duren Sawit R5/28</t>
  </si>
  <si>
    <t>Jl. Duren Sawit Timur IV No.28 11, RT.11/RW.8, Duren Sawit, Kec. Duren Sawit, Kota Jakarta Timur, Daerah Khusus Ibukota Jakarta 13440</t>
  </si>
  <si>
    <t>RT.11/RW.8, Duren Sawit, Kec. Duren Sawit, Kota Jakarta Timur</t>
  </si>
  <si>
    <t>https://maps.google.com/?cid=0x0:0x3bbc7aaed6b8832</t>
  </si>
  <si>
    <t>https://www.99.co/id/properti/ir-21021-dijual-rumah-tinggal-di-komp-ptb-duren-sawit-1008705063</t>
  </si>
  <si>
    <t>Bendungan Town House</t>
  </si>
  <si>
    <t>Jl. Jend. Urip Sumoharjo I No.2, RT.2/RW.6, Bali Mester, Kecamatan Jatinegara, Kota Jakarta Timur, Daerah Khusus Ibukota Jakarta 13310</t>
  </si>
  <si>
    <t>RT.2/RW.6, Bali Mester, Kecamatan Jatinegara, Kota Jakarta Timur</t>
  </si>
  <si>
    <t>https://maps.google.com/?cid=0x0:0x6e3209fcaf58a94f</t>
  </si>
  <si>
    <t>perumahan Jayabakti</t>
  </si>
  <si>
    <t>Rt002 rw11, perum jayabakti permai, blok e 17, Kramat Jati, Kec. Kramat jati, Kota Jakarta Timur, Daerah Khusus Ibukota Jakarta 13510</t>
  </si>
  <si>
    <t>perum jayabakti permai, blok e 17, Kramat Jati, Kec. Kramat jati, Kota Jakarta Timur</t>
  </si>
  <si>
    <t>https://maps.google.com/?cid=0x0:0xfd793cd93715bb54</t>
  </si>
  <si>
    <t>Noor Mughni Residence</t>
  </si>
  <si>
    <t>Jl. H. Mursali No.71, RT.4/RW.1, Balekambang, Kec. Kramat jati, Kota Jakarta Timur, Daerah Khusus Ibukota Jakarta 13530</t>
  </si>
  <si>
    <t>RT.4/RW.1, Balekambang, Kec. Kramat jati, Kota Jakarta Timur</t>
  </si>
  <si>
    <t>https://maps.google.com/?cid=0x0:0x6820da5558cc49e8</t>
  </si>
  <si>
    <t>Komplek Haji Ali I</t>
  </si>
  <si>
    <t>Jl. H. Ali I No.11, RT.11/RW.4, Kp. Tengah, Kec. Kramat jati, Kota Jakarta Timur, Daerah Khusus Ibukota Jakarta 13540</t>
  </si>
  <si>
    <t>RT.11/RW.4, Kp. Tengah, Kec. Kramat jati, Kota Jakarta Timur</t>
  </si>
  <si>
    <t>https://maps.google.com/?cid=0x0:0x4fb3f35c863ebd2f</t>
  </si>
  <si>
    <t>Komplek Budi Harapan - Cipinang Melayu</t>
  </si>
  <si>
    <t>Jl. Budi Harapan No.5, RT.5/RW.10, Cipinang Melayu, Kec. Makasar, Kota Jakarta Timur, Daerah Khusus Ibukota Jakarta 13620</t>
  </si>
  <si>
    <t>RT.5/RW.10, Cipinang Melayu, Kec. Makasar, Kota Jakarta Timur</t>
  </si>
  <si>
    <t>https://maps.google.com/?cid=0x0:0x90d4d096fa5632a5</t>
  </si>
  <si>
    <t>https://www.rumah123.com/properti/jakarta-timur/hos18475463/</t>
  </si>
  <si>
    <t>The Mozz 7 Residence</t>
  </si>
  <si>
    <t>Jl. Gandaria No.49 A, RT.1/RW.2, Pekayon, Kec. Ps. Rebo, Kota Jakarta Timur, Daerah Khusus Ibukota Jakarta 13710</t>
  </si>
  <si>
    <t>RT.1/RW.2, Pekayon, Kec. Ps. Rebo, Kota Jakarta Timur</t>
  </si>
  <si>
    <t>https://maps.google.com/?cid=0x0:0x2ddc9fdec6d4eae0</t>
  </si>
  <si>
    <t>Perumahan Panorama Indah</t>
  </si>
  <si>
    <t>Jl. Raya Tengah, RT.9/RW.12, Gedong, Kec. Ps. Rebo, Kota Jakarta Timur, Daerah Khusus Ibukota Jakarta 13760</t>
  </si>
  <si>
    <t>RT.9/RW.12, Gedong, Kec. Ps. Rebo, Kota Jakarta Timur</t>
  </si>
  <si>
    <t>https://maps.google.com/?cid=0x0:0xbdc4b358f4f11aee</t>
  </si>
  <si>
    <t>https://www.pinhome.id/dijual/rumah-sekunder/unit/dijual-rumah-super-strategis-di-perumahan-panorama-indah-jl-raya-tengah</t>
  </si>
  <si>
    <t>Perum kayu putih indah</t>
  </si>
  <si>
    <t>Jl. Kayu Mas Raya, Pulo Gadung, Kec. Pulo Gadung, Kota Jakarta Timur, Daerah Khusus Ibukota Jakarta 13260</t>
  </si>
  <si>
    <t>https://maps.google.com/?cid=0x0:0x9e4e9aea147cddf8</t>
  </si>
  <si>
    <t>https://www.99.co/id/komplek-perumahan/74997-kayu-putih-indah/units</t>
  </si>
  <si>
    <t>Komplek Gaharu</t>
  </si>
  <si>
    <t>Jl. Tubagus Badaruddin No.1, RT.9/RW.1, Jatinegara Kaum, Kec. Pulo Gadung, Kota Jakarta Timur, Daerah Khusus Ibukota Jakarta 13250</t>
  </si>
  <si>
    <t>RT.9/RW.1, Jatinegara Kaum, Kec. Pulo Gadung, Kota Jakarta Timur</t>
  </si>
  <si>
    <t>https://maps.google.com/?cid=0x0:0xd4083a8fda025b28</t>
  </si>
  <si>
    <t>Grand Halim Residence</t>
  </si>
  <si>
    <t>4, RT.3/RW.1, Lubang Buaya, Kec. Cipayung, Kota Jakarta Timur, Daerah Khusus Ibukota Jakarta 13810</t>
  </si>
  <si>
    <t>RT.3/RW.1, Lubang Buaya, Kec. Cipayung, Kota Jakarta Timur</t>
  </si>
  <si>
    <t>https://maps.google.com/?cid=0x0:0x4e46ea1652e44b36</t>
  </si>
  <si>
    <t>https://cariproperti.com/grand-halim-residence</t>
  </si>
  <si>
    <t>Griya Cipayung</t>
  </si>
  <si>
    <t>Jl. Mesjid Nurul Hidayah III No.2, RT.2/RW.3, Cipayung, Kec. Cipayung, Kota Jakarta Timur, Daerah Khusus Ibukota Jakarta 13840</t>
  </si>
  <si>
    <t>https://maps.google.com/?cid=0x0:0xe7450163c537d5c5</t>
  </si>
  <si>
    <t>https://www.rumah123.com/venue/griya-cipayung-vcm22502/</t>
  </si>
  <si>
    <t>Green Village 3</t>
  </si>
  <si>
    <t>Gg. Mushullah Blok Mushola No.23 3, RT.4/RW.1, Pd. Ranggon, Kec. Cipayung, Kota Jakarta Timur, Daerah Khusus Ibukota Jakarta 13860</t>
  </si>
  <si>
    <t>RT.4/RW.1, Pd. Ranggon, Kec. Cipayung, Kota Jakarta Timur</t>
  </si>
  <si>
    <t>https://maps.google.com/?cid=0x0:0x90fa4e0adca01685</t>
  </si>
  <si>
    <t>Perumahan Kranggan</t>
  </si>
  <si>
    <t>MW56+HQJ, RT.8/RW.6, Pd. Ranggon, Kec. Cipayung, Kota Jakarta Timur, Daerah Khusus Ibukota Jakarta 13870</t>
  </si>
  <si>
    <t>RT.8/RW.6, Pd. Ranggon, Kec. Cipayung, Kota Jakarta Timur</t>
  </si>
  <si>
    <t>https://maps.google.com/?cid=0x0:0x8b595f1daca3aa46</t>
  </si>
  <si>
    <t>Pesona Fajar Ciracas</t>
  </si>
  <si>
    <t>Jl. Pule, RT.13/RW.4, kp.Rambutan, Kec. Ciracas, Kota Jakarta Timur, Daerah Khusus Ibukota Jakarta 13830</t>
  </si>
  <si>
    <t>RT.13/RW.4, kp.Rambutan, Kec. Ciracas, Kota Jakarta Timur</t>
  </si>
  <si>
    <t>https://maps.google.com/?cid=0x0:0x37bb0fe34a9cc082</t>
  </si>
  <si>
    <t>https://www.rumah123.com/venue/pesona-fajar-ciracas-vcm29930/</t>
  </si>
  <si>
    <t>Perumahan TANAH MERDEKA RESIDENCE</t>
  </si>
  <si>
    <t>Belakang bank BRI, Jl. Tanah Merdeka, Rambutan, Kec. Ciracas, Kota Jakarta Timur, Daerah Khusus Ibukota Jakarta 13830</t>
  </si>
  <si>
    <t>Jl. Tanah Merdeka, Rambutan, Kec. Ciracas, Kota Jakarta Timur</t>
  </si>
  <si>
    <t>https://maps.google.com/?cid=0x0:0xac1d881af826e1b</t>
  </si>
  <si>
    <t>https://jendela360.com/properti/jual/RMH3171</t>
  </si>
  <si>
    <t>Gang Swadaya Pondok Bambu</t>
  </si>
  <si>
    <t>QW62+FJQ, RT.3/RW.5, Pd. Bambu, Kec. Duren Sawit, Kota Jakarta Timur, Daerah Khusus Ibukota Jakarta 13430</t>
  </si>
  <si>
    <t>RT.3/RW.5, Pd. Bambu, Kec. Duren Sawit, Kota Jakarta Timur</t>
  </si>
  <si>
    <t>https://maps.google.com/?cid=0x0:0x2ca9d4912e086a3d</t>
  </si>
  <si>
    <t>https://www.pinhome.id/dijual/rumah-sekunder/unit/dijual-rumah-di-pondok-bambu-di-jln-kesehatan-gang-swadaya-27918</t>
  </si>
  <si>
    <t>Perumahan Alba Residence</t>
  </si>
  <si>
    <t>Jl. Al - Bariyah No.9 9, RT.9/RW.9, Kp. Tengah, Kec. Kramat jati, Kota Jakarta Timur, Daerah Khusus Ibukota Jakarta 13540</t>
  </si>
  <si>
    <t>RT.9/RW.9, Kp. Tengah, Kec. Kramat jati, Kota Jakarta Timur</t>
  </si>
  <si>
    <t>https://maps.google.com/?cid=0x0:0x2dd76af91ea60c01</t>
  </si>
  <si>
    <t>Perumahan Irenk Djakarta</t>
  </si>
  <si>
    <t>QVWC+WH6, Jl. Asem Gede Timur, Utan Kayu Sel., Kec. Matraman, Kota Jakarta Timur, Daerah Khusus Ibukota Jakarta 13120</t>
  </si>
  <si>
    <t>Jl. Asem Gede Timur, Utan Kayu Sel., Kec. Matraman, Kota Jakarta Timur</t>
  </si>
  <si>
    <t>https://maps.google.com/?cid=0x0:0x7b3fef9917893a79</t>
  </si>
  <si>
    <t>Pesona Cijantung Asri</t>
  </si>
  <si>
    <t>Pesona Cijantung Asri, Jl. Pandanalas No.130, RT.8/RW.2, Cijantung, Kec. Ps. Rebo, Kota Jakarta Timur, Daerah Khusus Ibukota Jakarta 13770</t>
  </si>
  <si>
    <t>Jl. Pandanalas No.130, RT.8/RW.2, Cijantung, Kec. Ps. Rebo, Kota Jakarta Timur</t>
  </si>
  <si>
    <t>https://maps.google.com/?cid=0x0:0x37dae1e0ee2a0df1</t>
  </si>
  <si>
    <t>https://www.brighton.co.id/cari-properti/view/jl-kavling-pesona-cijantung-asri-kec-pasar-rebo-jakarta-timur</t>
  </si>
  <si>
    <t>Kompleks Town House Asri D'Lapan</t>
  </si>
  <si>
    <t>Komp. Town House, Jl. Kali Sari III Asri D'Lapan No.82, RT.7/RW.9, Baru, Kec. Ps. Rebo, Kota Jakarta Timur, Daerah Khusus Ibukota Jakarta 13780</t>
  </si>
  <si>
    <t>Jl. Kali Sari III Asri D'Lapan No.82, RT.7/RW.9, Baru, Kec. Ps. Rebo, Kota Jakarta Timur</t>
  </si>
  <si>
    <t>https://maps.google.com/?cid=0x0:0x1d662ad6be95fb82</t>
  </si>
  <si>
    <t>https://pashouses.id/rumah/town-house-asri-d-lapan</t>
  </si>
  <si>
    <t>Pengembang Realestat</t>
  </si>
  <si>
    <t>Kenigayo Residence Cipayung - Piliruma Group</t>
  </si>
  <si>
    <t>2, Jl. Kenigayo No.4, RT.2/RW.5, Setu, Kec. Cipayung, Kota Jakarta Timur, Daerah Khusus Ibukota Jakarta 13880</t>
  </si>
  <si>
    <t>Jl. Kenigayo No.4, RT.2/RW.5, Setu, Kec. Cipayung, Kota Jakarta Timur</t>
  </si>
  <si>
    <t>https://maps.google.com/?cid=0x0:0x84a10bf63913493e</t>
  </si>
  <si>
    <t>https://belirumah.co/jual/rumah-baru/kenigayo-residence/tipe/kenigoya/942c11da-3272-449c-a51e-a7dfbb68d723</t>
  </si>
  <si>
    <t>Perum Kopti Setu Cipayung Jakarta timur</t>
  </si>
  <si>
    <t>Jl. Sketsa No.5 B.8, Setu, Kec. Cipayung, Kota Jakarta Timur, Daerah Khusus Ibukota Jakarta 13880</t>
  </si>
  <si>
    <t>Setu, Kec. Cipayung, Kota Jakarta Timur</t>
  </si>
  <si>
    <t>https://maps.google.com/?cid=0x0:0x6d1d8439a04cc47b</t>
  </si>
  <si>
    <t>https://www.99.co/id/properti/rumah-1-lantai-di-perumahan-kopti-setu-cipayung-jakarta-timur-1006972447</t>
  </si>
  <si>
    <t>Perumahan duren sawit baru</t>
  </si>
  <si>
    <t>Jl. Komp. Perumahan Duren Sawit Tim. Blok B2 No.34, RT.9/RW.11, Duren Sawit, Kec. Duren Sawit, Kota Jakarta Timur, Daerah Khusus Ibukota Jakarta 13440</t>
  </si>
  <si>
    <t>RT.9/RW.11, Duren Sawit, Kec. Duren Sawit, Kota Jakarta Timur</t>
  </si>
  <si>
    <t>https://maps.google.com/?cid=0x0:0x9286797ac2634dbd</t>
  </si>
  <si>
    <t>https://rumah.trovit.co.id/listing/rumah-murah-bebas-banjir-di-komplek-duren-sawit-baru.1H1yMl8y181l</t>
  </si>
  <si>
    <t>D’ Phasa Residence</t>
  </si>
  <si>
    <t>Swadaya 9, Jl. A. Moh. D Blok Macan. Dphasa Residence No.1, RT.9/RW.1, Duren Sawit, Kec. Duren Sawit, Kota Jakarta Timur, Daerah Khusus Ibukota Jakarta 13440</t>
  </si>
  <si>
    <t>Jl. A. Moh. D Blok Macan. Dphasa Residence No.1, RT.9/RW.1, Duren Sawit, Kec. Duren Sawit, Kota Jakarta Timur</t>
  </si>
  <si>
    <t>https://maps.google.com/?cid=0x0:0xf8bef8b03e5acc6e</t>
  </si>
  <si>
    <t>https://www.pinhome.id/dijual/rumah-sekunder/unit/dijual-rumah-lelang-bank-di-dphasa-residence-duren-sawit-jakarta-timur</t>
  </si>
  <si>
    <t>Pesona Batu Kramat</t>
  </si>
  <si>
    <t>Jl. Batu Kramat II No.54, RT.10/RW.5, Batu Ampar, Kec. Kramat jati, Kota Jakarta Timur, Daerah Khusus Ibukota Jakarta 13520</t>
  </si>
  <si>
    <t>RT.10/RW.5, Batu Ampar, Kec. Kramat jati, Kota Jakarta Timur</t>
  </si>
  <si>
    <t>https://maps.google.com/?cid=0x0:0x52bea9288a78ccee</t>
  </si>
  <si>
    <t>Perumahan TNI-AU Waringin Permai</t>
  </si>
  <si>
    <t>Jl. Raya Jatiwaringin, RW.7, Cipinang Melayu, Kec. Makasar, Kota Jakarta Timur, Daerah Khusus Ibukota Jakarta 13620</t>
  </si>
  <si>
    <t>RW.7, Cipinang Melayu, Kec. Makasar, Kota Jakarta Timur</t>
  </si>
  <si>
    <t>https://maps.google.com/?cid=0x0:0x999a10904830ebb3</t>
  </si>
  <si>
    <t>Komplek Lapan Indah</t>
  </si>
  <si>
    <t>Jl. Kav, Jl. Raya Lapan Gg. Indah No.9, RT.4/RW.9, Pekayon, Kec. Ps. Rebo, Kota Jakarta Timur, Daerah Khusus Ibukota Jakarta 13710</t>
  </si>
  <si>
    <t>Jl. Raya Lapan Gg. Indah No.9, RT.4/RW.9, Pekayon, Kec. Ps. Rebo, Kota Jakarta Timur</t>
  </si>
  <si>
    <t>https://maps.google.com/?cid=0x0:0xaec8b58a82081df9</t>
  </si>
  <si>
    <t>Komplek polri cipinang atas</t>
  </si>
  <si>
    <t>Jl. Bekasi Timur Raya No.2, RT.2/RW.6, Cipinang, Kec. Pulo Gadung, Kota Jakarta Timur, Daerah Khusus Ibukota Jakarta 13240</t>
  </si>
  <si>
    <t>RT.2/RW.6, Cipinang, Kec. Pulo Gadung, Kota Jakarta Timur</t>
  </si>
  <si>
    <t>https://maps.google.com/?cid=0x0:0xd507390fd66ce0b</t>
  </si>
  <si>
    <t>Perumahan Dukuh Permai Residence</t>
  </si>
  <si>
    <t>MVWH+QFW, Jl. Penggilingan Baru I Dalam, RT.11/RW.4, Dukuh, Kec. Kramat jati, Kota Jakarta Timur, Daerah Khusus Ibukota Jakarta 13550</t>
  </si>
  <si>
    <t>Jl. Penggilingan Baru I Dalam, RT.11/RW.4, Dukuh, Kec. Kramat jati, Kota Jakarta Timur</t>
  </si>
  <si>
    <t>https://maps.google.com/?cid=0x0:0x5eac00562dd9cfcb</t>
  </si>
  <si>
    <t>https://www.rumah123.com/venue/dukuh-permai-residence-vcm27082/</t>
  </si>
  <si>
    <t>MANIK RESIDENCE</t>
  </si>
  <si>
    <t>PW65+FRC, Jl. Masjid Al Umar 2, RT.5/RW.12, Lubang Buaya, Kec. Cipayung, Kota Jakarta Timur, Daerah Khusus Ibukota Jakarta 13810</t>
  </si>
  <si>
    <t>Jl. Masjid Al Umar 2, RT.5/RW.12, Lubang Buaya, Kec. Cipayung, Kota Jakarta Timur</t>
  </si>
  <si>
    <t>https://maps.google.com/?cid=0x0:0xf806ada12a6584d2</t>
  </si>
  <si>
    <t>AZZAMI RESIDENCE</t>
  </si>
  <si>
    <t>Jl. Pangkalan No.24, RT.2/RW.4, Pd. Ranggon, Kec. Cipayung, Kota Jakarta Timur, Daerah Khusus Ibukota Jakarta 13860</t>
  </si>
  <si>
    <t>https://maps.google.com/?cid=0x0:0x4ba5148dbcd6e979</t>
  </si>
  <si>
    <t>https://homesyariah.com/properti/towhouse-pondok-ranggon-cipayung-azzami-residence/</t>
  </si>
  <si>
    <t>Green Lembah Cibubur</t>
  </si>
  <si>
    <t>Jl. Abdulrahman No.14, RT.14/RW.5, Cibubur, Kec. Ciracas, Kota Jakarta Timur, Daerah Khusus Ibukota Jakarta 13720</t>
  </si>
  <si>
    <t>RT.14/RW.5, Cibubur, Kec. Ciracas, Kota Jakarta Timur</t>
  </si>
  <si>
    <t>https://maps.google.com/?cid=0x0:0x3d88673d1f475035</t>
  </si>
  <si>
    <t>Pondok Kelapa Residence</t>
  </si>
  <si>
    <t>2 Pondok Kelapa Residence, Jl. Sarana Jaya No.B 10, RT.10/RW.2, Pd. Kopi, Kec. Duren Sawit, Kota Jakarta Timur, Daerah Khusus Ibukota Jakarta 13460</t>
  </si>
  <si>
    <t>Jl. Sarana Jaya No.B 10, RT.10/RW.2, Pd. Kopi, Kec. Duren Sawit, Kota Jakarta Timur</t>
  </si>
  <si>
    <t>https://maps.google.com/?cid=0x0:0xe7aae0a0da5ec185</t>
  </si>
  <si>
    <t>https://www.99.co/id/komplek-perumahan/732-pondok-kelapa-residence/units</t>
  </si>
  <si>
    <t>Perumahan Kav. PTB DKI</t>
  </si>
  <si>
    <t>Jl. Cengkir IIA No.F3/15, RT.6/RW.11, Pd. Klp., Kec. Duren Sawit, Kota Jakarta Timur, Daerah Khusus Ibukota Jakarta 13450</t>
  </si>
  <si>
    <t>RT.6/RW.11, Pd. Klp., Kec. Duren Sawit, Kota Jakarta Timur</t>
  </si>
  <si>
    <t>https://maps.google.com/?cid=0x0:0x30f02426f58403d8</t>
  </si>
  <si>
    <t>https://www.lamudi.co.id/jual/jakarta/jakarta-timur/di-jual-rumah-daerah-duren-sawit-jakarta-timur-kom-174118593187/</t>
  </si>
  <si>
    <t>Usman Residence</t>
  </si>
  <si>
    <t>Jl. Bulaksari No.54, RT.8/RW.10, Pekayon, Kec. Ps. Rebo, Kota Jakarta Timur, Daerah Khusus Ibukota Jakarta 13710</t>
  </si>
  <si>
    <t>RT.8/RW.10, Pekayon, Kec. Ps. Rebo, Kota Jakarta Timur</t>
  </si>
  <si>
    <t>https://maps.google.com/?cid=0x0:0x86d93de51445d1cc</t>
  </si>
  <si>
    <t>https://www.dekoruma.com/properti/dijual-makasar-jakarta-timur-rumah-spesial-oleh-achmad-pzldS01pWD?srsltid=AfmBOopSqK6-vf_GpaARrEzm8jdFvkfi3-inMKVFVXkxFbs8Z6tBjtLG</t>
  </si>
  <si>
    <t>Perumahan Graha Asri</t>
  </si>
  <si>
    <t>Jl. Assyafi'iyah No.150, RT.2/RW.3, Cilangkap, Kec. Cipayung, Kota Jakarta Timur, Daerah Khusus Ibukota Jakarta 13870</t>
  </si>
  <si>
    <t>RT.2/RW.3, Cilangkap, Kec. Cipayung, Kota Jakarta Timur</t>
  </si>
  <si>
    <t>https://maps.google.com/?cid=0x0:0x9dd5cc18b9b676b0</t>
  </si>
  <si>
    <t>Villa Cibubur Mas 2</t>
  </si>
  <si>
    <t>Jl. Taruna Jaya No.7 7, RT.7/RW.5, Cibubur, Kec. Ciracas, Kota Jakarta Timur, Daerah Khusus Ibukota Jakarta 13720</t>
  </si>
  <si>
    <t>RT.7/RW.5, Cibubur, Kec. Ciracas, Kota Jakarta Timur</t>
  </si>
  <si>
    <t>https://maps.google.com/?cid=0x0:0x321f7374f6d33c52</t>
  </si>
  <si>
    <t>https://pashouses.id/rumah/perumahan-villa-cibubur-mas-2</t>
  </si>
  <si>
    <t>Bhineka residence</t>
  </si>
  <si>
    <t>MVHF+5C8, RT.11/RW.9, Ciracas, Kec. Ciracas, Kota Jakarta Timur, Daerah Khusus Ibukota Jakarta 13740</t>
  </si>
  <si>
    <t>RT.11/RW.9, Ciracas, Kec. Ciracas, Kota Jakarta Timur</t>
  </si>
  <si>
    <t>https://maps.google.com/?cid=0x0:0x8aba159900f480b6</t>
  </si>
  <si>
    <t>https://pashouses.id/rumah/cluster-bhineka-residence</t>
  </si>
  <si>
    <t>Lembah Aren Residence</t>
  </si>
  <si>
    <t>Jl. Lembah Aren VIII No.3B blok K19, RT.1/RW.9, Pd. Klp., Kec. Duren Sawit, Kota Jakarta Timur, Daerah Khusus Ibukota Jakarta 13450</t>
  </si>
  <si>
    <t>RT.1/RW.9, Pd. Klp., Kec. Duren Sawit, Kota Jakarta Timur</t>
  </si>
  <si>
    <t>https://maps.google.com/?cid=0x0:0x652118f143390700</t>
  </si>
  <si>
    <t>https://pashouses.id/rumah/jalan-lembah-aren</t>
  </si>
  <si>
    <t>Perumahan Wisteria Keppel Land Cakung</t>
  </si>
  <si>
    <t>Jl. Tambun Selatan No.9, RT.9/RW.8, Cakung Tim., Kec. Cakung, Kota Jakarta Timur, Daerah Khusus Ibukota Jakarta 13910</t>
  </si>
  <si>
    <t>RT.9/RW.8, Cakung Tim., Kec. Cakung, Kota Jakarta Timur</t>
  </si>
  <si>
    <t>https://maps.google.com/?cid=0x0:0xe0229f8580b7ddfa</t>
  </si>
  <si>
    <t>https://www.dekoruma.com/properti/perumahan-wisteria-jakarta-timur?srsltid=AfmBOooVp_dY70eBwn0TnwWwhd-RbAowzWUL7QArOn4S-z-jnk-CNC_J</t>
  </si>
  <si>
    <t>Perumahan Gedong Prima Ceger</t>
  </si>
  <si>
    <t>Jl. Raya Ceger Blok M No.6, RT.10/RW.2, Ceger, Kec. Cipayung, Kota Jakarta Timur, Daerah Khusus Ibukota Jakarta 13820</t>
  </si>
  <si>
    <t>RT.10/RW.2, Ceger, Kec. Cipayung, Kota Jakarta Timur</t>
  </si>
  <si>
    <t>https://maps.google.com/?cid=0x0:0x6e51fc064afdb8c</t>
  </si>
  <si>
    <t>https://www.iklanrumah.com/list/detail/18163/dijual-rumah-mewah-di-perumahan-gedong-prima-ceger</t>
  </si>
  <si>
    <t>Ceger Residence</t>
  </si>
  <si>
    <t>Jl. SMP 160 No.7, RT.1/RW.3, Ceger, Kec. Cipayung, Kota Jakarta Timur, Daerah Khusus Ibukota Jakarta 13820</t>
  </si>
  <si>
    <t>RT.1/RW.3, Ceger, Kec. Cipayung, Kota Jakarta Timur</t>
  </si>
  <si>
    <t>https://maps.google.com/?cid=0x0:0x5ce566dfd158510a</t>
  </si>
  <si>
    <t>https://rumah.trovit.co.id/listing/lelang-rumah-di-perumahan-ceger-residence-cipayung-jakarta-timur.ea0b153b-8bab-48b5-901f-b4ddf60929ea</t>
  </si>
  <si>
    <t>Perumahan Setu Indah</t>
  </si>
  <si>
    <t>Jl. Terusan Mabes Hankam No.17 7, RT.7/RW.4, Setu, Kec. Cipayung, Kota Jakarta Timur, Daerah Khusus Ibukota Jakarta 13880</t>
  </si>
  <si>
    <t>RT.7/RW.4, Setu, Kec. Cipayung, Kota Jakarta Timur</t>
  </si>
  <si>
    <t>https://maps.google.com/?cid=0x0:0xdeac24ba16f54c</t>
  </si>
  <si>
    <t>https://www.rumah123.com/venue/setu-indah-vcm26364/</t>
  </si>
  <si>
    <t>Villa Cipayung 2</t>
  </si>
  <si>
    <t>Jl. SMA 64, RT.7/RW.3, Cipayung, Kec. Cioayung, Kota Jakarta Timur, Daerah Khusus Ibukota Jakarta 13840</t>
  </si>
  <si>
    <t>RT.7/RW.3, Cipayung, Kec. Cioayung, Kota Jakarta Timur</t>
  </si>
  <si>
    <t>https://maps.google.com/?cid=0x0:0x44e51168c68acb1</t>
  </si>
  <si>
    <t>Ajwa Residence Munjul, Cipayung</t>
  </si>
  <si>
    <t>Ajwa Residence, Makmur No.44, RT.3/RW.4, Munjul, Kec. Cipayung, Kota Jakarta Timur, Daerah Khusus Ibukota Jakarta 13850</t>
  </si>
  <si>
    <t>Makmur No.44, RT.3/RW.4, Munjul, Kec. Cipayung, Kota Jakarta Timur</t>
  </si>
  <si>
    <t>https://maps.google.com/?cid=0x0:0x17c9131d1fd258d</t>
  </si>
  <si>
    <t>https://www.99.co/id/komplek-perumahan/138868-ajwa-residence/units</t>
  </si>
  <si>
    <t>Green Mutiara Munjul</t>
  </si>
  <si>
    <t>JVWV+R89, Jl.Hj.kubing, RT.8/RW.1, Munjul, Kec. Cipayung, Kota Jakarta Timur, Daerah Khusus Ibukota Jakarta 13850</t>
  </si>
  <si>
    <t>Jl.Hj.kubing, RT.8/RW.1, Munjul, Kec. Cipayung, Kota Jakarta Timur</t>
  </si>
  <si>
    <t>https://maps.google.com/?cid=0x0:0xc9c017451267af7d</t>
  </si>
  <si>
    <t>https://in.pinterest.com/pin/umah-dijual-di-green-mutiara-munjul-jakarta-timur-in-2024--40462096652978092/</t>
  </si>
  <si>
    <t>de LUCKY RESIDENCE</t>
  </si>
  <si>
    <t>Jl. Pintu 2 Mabes TNI AL, RT.6/RW.4, Cilangkap, Kec. Cipayung, Kota Jakarta Timur, Daerah Khusus Ibukota Jakarta 13870</t>
  </si>
  <si>
    <t>RT.6/RW.4, Cilangkap, Kec. Cipayung, Kota Jakarta Timur</t>
  </si>
  <si>
    <t>https://maps.google.com/?cid=0x0:0xe83a491be900a5b7</t>
  </si>
  <si>
    <t>https://www.rumah123.com/perumahan-baru/properti/jakarta-timur/de-lucky-residence/nps3362/</t>
  </si>
  <si>
    <t>Green Puri Cipayung</t>
  </si>
  <si>
    <t>Jl. Bantar Jati, RT.3/RW.2, Setu, Kec. Cipayung, Kota Jakarta Timur, Daerah Khusus Ibukota Jakarta 13880</t>
  </si>
  <si>
    <t>RT.3/RW.2, Setu, Kec. Cipayung, Kota Jakarta Timur</t>
  </si>
  <si>
    <t>https://maps.google.com/?cid=0x0:0x40a95b7967770685</t>
  </si>
  <si>
    <t>Komplek hankam cibubur</t>
  </si>
  <si>
    <t>Gg. Duku II no.D120, RT.2/RW.3, Cibubur, Kec. Ciracas, Kota Jakarta Timur, Daerah Khusus Ibukota Jakarta 13720</t>
  </si>
  <si>
    <t>RT.2/RW.3, Cibubur, Kec. Ciracas, Kota Jakarta Timur</t>
  </si>
  <si>
    <t>https://maps.google.com/?cid=0x0:0x1b6fa8cfb821354d</t>
  </si>
  <si>
    <t>Tran Cibubur Village</t>
  </si>
  <si>
    <t>MV2M+CRM, Jl. Raya Klp. Dua Wetan, RT.7/RW.5, Klp. Dua Wetan, Kec. Ciracas, Kota Jakarta Timur, Daerah Khusus Ibukota Jakarta 13730</t>
  </si>
  <si>
    <t>Jl. Raya Klp. Dua Wetan, RT.7/RW.5, Klp. Dua Wetan, Kec. Ciracas, Kota Jakarta Timur</t>
  </si>
  <si>
    <t>https://maps.google.com/?cid=0x0:0x8e2eba9f017c7d89</t>
  </si>
  <si>
    <t>Komplek Bina Marga 1</t>
  </si>
  <si>
    <t>Jl. Bina Marga 1 Blok BB3 No.5, RT.5/RW.1, Pd. Klp., Kec. Duren Sawit, Kota Jakarta Timur, Daerah Khusus Ibukota Jakarta 13450</t>
  </si>
  <si>
    <t>RT.5/RW.1, Pd. Klp., Kec. Duren Sawit, Kota Jakarta Timur</t>
  </si>
  <si>
    <t>https://maps.google.com/?cid=0x0:0xd6b17ce0592a6103</t>
  </si>
  <si>
    <t>Perumahan Taman Buaran Indah 3</t>
  </si>
  <si>
    <t>1, Jl. Buaran Raya No.22 1, RT.1/RW.12, Klender, Kec. Duren Sawit, Kota Jakarta Timur, Daerah Khusus Ibukota Jakarta 13470</t>
  </si>
  <si>
    <t>Jl. Buaran Raya No.22 1, RT.1/RW.12, Klender, Kec. Duren Sawit, Kota Jakarta Timur</t>
  </si>
  <si>
    <t>https://maps.google.com/?cid=0x0:0x3f53c83cd49ae15a</t>
  </si>
  <si>
    <t>https://rumah.trovit.co.id/listing/rumah-taman-buaran-indah-jakarta-timur.0195385b-e380-7117-be95-2aeffed20227</t>
  </si>
  <si>
    <t>D'east residence</t>
  </si>
  <si>
    <t>Jl. Raya Condet No.77 2, RT.2/RW.3, Gedong, Kec. Ps. Rebo, Kota Jakarta Timur, Daerah Khusus Ibukota Jakarta 13760</t>
  </si>
  <si>
    <t>RT.2/RW.3, Gedong, Kec. Ps. Rebo, Kota Jakarta Timur</t>
  </si>
  <si>
    <t>https://maps.google.com/?cid=0x0:0x901752de5b0c43c5</t>
  </si>
  <si>
    <t>https://www.99.co/id/komplek-perumahan/14534-d-east-residence/units</t>
  </si>
  <si>
    <t>Residence 8 Dukuh Kramat Jati</t>
  </si>
  <si>
    <t>Jl. Penggilingan Baru No.11, RT.11/RW.3, Dukuh, Kec. Kramat jati, Kota Jakarta Timur, Daerah Khusus Ibukota Jakarta 13550</t>
  </si>
  <si>
    <t>RT.11/RW.3, Dukuh, Kec. Kramat jati, Kota Jakarta Timur</t>
  </si>
  <si>
    <t>https://maps.google.com/?cid=0x0:0x5af59d66752090e6</t>
  </si>
  <si>
    <t>https://pashouses.id/rumah/residence-8</t>
  </si>
  <si>
    <t>Pesona Tamini Residence</t>
  </si>
  <si>
    <t>Jalan Dukuh V, RT/RW 005/005, Kelurahan Kampung Dukuh,, RT.5/RW.5, Kramat Jati, Kec. Kramat jati, Kota Jakarta Timur, Daerah Khusus Ibukota Jakarta 13550</t>
  </si>
  <si>
    <t>RT/RW 005/005, Kelurahan Kampung Dukuh,, RT.5/RW.5, Kramat Jati, Kec. Kramat jati, Kota Jakarta Timur</t>
  </si>
  <si>
    <t>https://maps.google.com/?cid=0x0:0x216b96263f9bf055</t>
  </si>
  <si>
    <t>Perumahan TNI AU</t>
  </si>
  <si>
    <t>RT.6/RW.12, Halim Perdana Kusumah, Kec. Makasar, Kota Jakarta Timur, Daerah Khusus Ibukota Jakarta 13610</t>
  </si>
  <si>
    <t>Halim Perdana Kusumah, Kec. Makasar, Kota Jakarta Timur</t>
  </si>
  <si>
    <t>https://maps.google.com/?cid=0x0:0x45280dec250fa534</t>
  </si>
  <si>
    <t>Perumahan Kramat 3</t>
  </si>
  <si>
    <t>Jl. Kramat III No.12 5, RT.5/RW.10, Lubang Buaya, Kec. Cipayung, Kota Jakarta Timur, Daerah Khusus Ibukota Jakarta 13810</t>
  </si>
  <si>
    <t>RT.5/RW.10, Lubang Buaya, Kec. Cipayung, Kota Jakarta Timur</t>
  </si>
  <si>
    <t>https://maps.google.com/?cid=0x0:0x7b991728708e6e30</t>
  </si>
  <si>
    <t>https://abapropertindo.com/property/perumahan-jakarta-timur-kramat-3-lubang-buaya/</t>
  </si>
  <si>
    <t>Rubiwa Village Ceger</t>
  </si>
  <si>
    <t>Jl. SMP 160, RT.3/RW.5, Ceger, Kec. Cipayung, Kota Jakarta Timur, Daerah Khusus Ibukota Jakarta 13820</t>
  </si>
  <si>
    <t>https://maps.google.com/?cid=0x0:0xcb4c44a4d44b34d7</t>
  </si>
  <si>
    <t>Bambu Kuning Residence</t>
  </si>
  <si>
    <t>Jl. Budi Murni 3, RT.8/RW.4, Bambu Apus, Kec. Cipayung, Kota Jakarta Timur, Daerah Khusus Ibukota Jakarta 13840</t>
  </si>
  <si>
    <t>RT.8/RW.4, Bambu Apus, Kec. Cipayung, Kota Jakarta Timur</t>
  </si>
  <si>
    <t>https://maps.google.com/?cid=0x0:0x13c5f3ca5f3b8dee</t>
  </si>
  <si>
    <t>Griyaloka Residence</t>
  </si>
  <si>
    <t>Jl. H. Niman. M, RT.1/RW.3, Setu, Kec. Cipayung, Kota Jakarta Timur, Daerah Khusus Ibukota Jakarta 13880</t>
  </si>
  <si>
    <t>https://maps.google.com/?cid=0x0:0xbc6ada14dbc36bf0</t>
  </si>
  <si>
    <t>Griya setu cipayung</t>
  </si>
  <si>
    <t>Jl. Kp. Kramat No.55, RT.3/RW.4, Setu, Kec. Cipayung, Kota Jakarta Timur, Daerah Khusus Ibukota Jakarta 13880</t>
  </si>
  <si>
    <t>RT.3/RW.4, Setu, Kec. Cipayung, Kota Jakarta Timur</t>
  </si>
  <si>
    <t>https://maps.google.com/?cid=0x0:0xd80f8240ebb95fe7</t>
  </si>
  <si>
    <t>Mutiara damai cipayung</t>
  </si>
  <si>
    <t>6, Gg. Damai Blok Damai No.40, RT.6/RW.1, Setu, Kec. Cipayung, Kota Jakarta Timur, Daerah Khusus Ibukota Jakarta 13880</t>
  </si>
  <si>
    <t>Gg. Damai Blok Damai No.40, RT.6/RW.1, Setu, Kec. Cipayung, Kota Jakarta Timur</t>
  </si>
  <si>
    <t>https://maps.google.com/?cid=0x0:0x292fe06c68e25c7c</t>
  </si>
  <si>
    <t>https://www.99.co/id/komplek-perumahan/14306-mutiara-damai-town-house/units</t>
  </si>
  <si>
    <t>Grand Maritza</t>
  </si>
  <si>
    <t>MV6Q+W4V, Jl. Raya Klp. Dua Wetan, RT.1/RW.8, Klp. Dua Wetan, Kec. Ciracas, Kota Jakarta Timur, Daerah Khusus Ibukota Jakarta 13730</t>
  </si>
  <si>
    <t>Jl. Raya Klp. Dua Wetan, RT.1/RW.8, Klp. Dua Wetan, Kec. Ciracas, Kota Jakarta Timur</t>
  </si>
  <si>
    <t>https://maps.google.com/?cid=0x0:0x9473532f24f08367</t>
  </si>
  <si>
    <t>https://www.dekoruma.com/properti/dijual-jakarta-timur-perumahan-grand-maritza-siap-huni-modern-oleh-sarah-Yf5Gb7nbeJ?srsltid=AfmBOopHU7RWjYyBlx4rWsflNm5lc8qdQS9cQcQaVxtBf-s1bkZSrk5R</t>
  </si>
  <si>
    <t>Perumahan DSB 4</t>
  </si>
  <si>
    <t>Jl. Damai No.11 10, RT.10/RW.3, Kp. Tengah, Kec. Kramat jati, Kota Jakarta Timur, Daerah Khusus Ibukota Jakarta 13520</t>
  </si>
  <si>
    <t>RT.10/RW.3, Kp. Tengah, Kec. Kramat jati, Kota Jakarta Timur</t>
  </si>
  <si>
    <t>https://maps.google.com/?cid=0x0:0x423f41cae54ab9cf</t>
  </si>
  <si>
    <t>Al-Bariyah Indah Residence</t>
  </si>
  <si>
    <t>Jl. Al - Bariyah No.60, RT.3/RW.9, Kp. Tengah, Kec. Kramat jati, Kota Jakarta Timur, Daerah Khusus Ibukota Jakarta 13540</t>
  </si>
  <si>
    <t>RT.3/RW.9, Kp. Tengah, Kec. Kramat jati, Kota Jakarta Timur</t>
  </si>
  <si>
    <t>https://maps.google.com/?cid=0x0:0x1700e7b2ad2ab5a2</t>
  </si>
  <si>
    <t>Mutiara Pulo Dukuh</t>
  </si>
  <si>
    <t>Jl. Pulo Dukuh 13550, RT.11/RW.4, Dukuh, Kec. Kramat jati, Kota Jakarta Timur, Daerah Khusus Ibukota Jakarta 13550</t>
  </si>
  <si>
    <t>https://maps.google.com/?cid=0x0:0xd58329de4dc50bdb</t>
  </si>
  <si>
    <t>https://www.rumah123.com/properti/jakarta-timur/hos18836122/</t>
  </si>
  <si>
    <t>Mutiara Dukuh Residence</t>
  </si>
  <si>
    <t>Jl. Penggilingan Baru I Dalam No.14, RT.14/RW.4, Dukuh, Kec. Kramat jati, Kota Jakarta Timur, Daerah Khusus Ibukota Jakarta 13550</t>
  </si>
  <si>
    <t>https://maps.google.com/?cid=0x0:0xd967b6ccee2616e4</t>
  </si>
  <si>
    <t>Perumahan Cililitan</t>
  </si>
  <si>
    <t>Jl. Cililitan Kecil I No.70, RT.8/RW.7, Cililitan, Kec. Kramat jati, Kota Jakarta Timur, Daerah Khusus Ibukota Jakarta 13640</t>
  </si>
  <si>
    <t>RT.8/RW.7, Cililitan, Kec. Kramat jati, Kota Jakarta Timur</t>
  </si>
  <si>
    <t>https://maps.google.com/?cid=0x0:0xe5ae8d26d8cbcd48</t>
  </si>
  <si>
    <t>Ajwa Residence Pekayon - Jakarta Timur</t>
  </si>
  <si>
    <t>Jl. Pendidikan No.76, RT.4/RW.9, Pekayon, Kec. Ps. Rebo, Kota Jakarta Timur, Daerah Khusus Ibukota Jakarta 13710</t>
  </si>
  <si>
    <t>RT.4/RW.9, Pekayon, Kec. Ps. Rebo, Kota Jakarta Timur</t>
  </si>
  <si>
    <t>https://maps.google.com/?cid=0x0:0xf4ab41fae2313606</t>
  </si>
  <si>
    <t>https://pashouses.id/rumah/ajwa-residence</t>
  </si>
  <si>
    <t>Perumahan Griya Dinar</t>
  </si>
  <si>
    <t>Perum Griya Dinar, Blk. B c No.9, Kota Jakarta Timur, Daerah Khusus Ibukota Jakarta 13710</t>
  </si>
  <si>
    <t>Blk. B c No.9, Kota Jakarta Timur</t>
  </si>
  <si>
    <t>https://maps.google.com/?cid=0x0:0x33cf05f7872de8cc</t>
  </si>
  <si>
    <t>Perumahan sari valley</t>
  </si>
  <si>
    <t>MV95+FJR, Jl. Inti Sari III, RT.1/RW.9, Kalisari, Kec. Ps. Rebo, Kota Jakarta Timur, Daerah Khusus Ibukota Jakarta 13790</t>
  </si>
  <si>
    <t>Jl. Inti Sari III, RT.1/RW.9, Kalisari, Kec. Ps. Rebo, Kota Jakarta Timur</t>
  </si>
  <si>
    <t>https://maps.google.com/?cid=0x0:0x42f44d61a9dcc47d</t>
  </si>
  <si>
    <t>Perumahan Griya Kenanga</t>
  </si>
  <si>
    <t>Jl. Kenanga 1 No.18, RT.2/RW.2, Kalisari, Kec. Ps. Rebo, Kota Jakarta Timur, Daerah Khusus Ibukota Jakarta 13790</t>
  </si>
  <si>
    <t>RT.2/RW.2, Kalisari, Kec. Ps. Rebo, Kota Jakarta Timur</t>
  </si>
  <si>
    <t>https://maps.google.com/?cid=0x0:0xe96bee1a6026e749</t>
  </si>
  <si>
    <t>Perumahan Pasadenia Residence</t>
  </si>
  <si>
    <t>Jl. Pulo Mas Jaya No.2, RT.13/RW.16, Kayu Putih, Kec. Pulo Gadung, Kota Jakarta Timur, Daerah Khusus Ibukota Jakarta 13210</t>
  </si>
  <si>
    <t>RT.13/RW.16, Kayu Putih, Kec. Pulo Gadung, Kota Jakarta Timur</t>
  </si>
  <si>
    <t>https://maps.google.com/?cid=0x0:0x2fab1e65d1645e5d</t>
  </si>
  <si>
    <t>Komplek perumahan Sunter Puri Mutiara</t>
  </si>
  <si>
    <t>komplek perumahan sunter, Perumahan sunter PURI MUTIARA, Jl. Griya Utama blok ac no 1, Sunter Agung, Tanjung Priok, North Jakarta City, Jakarta 14350</t>
  </si>
  <si>
    <t>Perumahan sunter PURI MUTIARA, Jl. Griya Utama blok ac no 1, Sunter Agung, Tanjung Priok, North Jakarta City</t>
  </si>
  <si>
    <t>https://maps.google.com/?cid=0x0:0x1a9c6b56c04952d9</t>
  </si>
  <si>
    <t>Gading Residence</t>
  </si>
  <si>
    <t>Jl. Pelangi Nila 1 No.10 Blok A11, RT.5/RW.2, Pegangsaan Dua, Kec. Klp. Gading, Jkt Utara, Daerah Khusus Ibukota Jakarta 14250</t>
  </si>
  <si>
    <t>RT.5/RW.2, Pegangsaan Dua, Kec. Klp. Gading, Jkt Utara</t>
  </si>
  <si>
    <t>https://maps.google.com/?cid=0x0:0xdaff97fa521139c3</t>
  </si>
  <si>
    <t>raywhite.co.id</t>
  </si>
  <si>
    <t>Perumahan Tanah Pasir Mas</t>
  </si>
  <si>
    <t>Mas, Jl. Tanah Pasir No.28 Blok C, RT.3/RW.7, Penjaringan, North Jakarta City, Jakarta 14440</t>
  </si>
  <si>
    <t>Jl. Tanah Pasir No.28 Blok C, RT.3/RW.7, Penjaringan, North Jakarta City</t>
  </si>
  <si>
    <t>https://maps.google.com/?cid=0x0:0xcabf5376fbd45344</t>
  </si>
  <si>
    <t>The Royale Springhill Residences</t>
  </si>
  <si>
    <t>Jl. Royale Springhill, Pademangan Tim., Kec. Pademangan, Jkt Utara, Daerah Khusus Ibukota Jakarta 14410</t>
  </si>
  <si>
    <t>Pademangan Tim., Kec. Pademangan, Jkt Utara</t>
  </si>
  <si>
    <t>https://maps.google.com/?cid=0x0:0xd98dd2f6b59ede2f</t>
  </si>
  <si>
    <t>Villa Kelapa Gading Permai</t>
  </si>
  <si>
    <t>Komplek Villa, Klp. Gading Permai, Jalan Serdam 2, East Kelapa Gading, Kelapa Gading, North Jakarta City, Jakarta 14240</t>
  </si>
  <si>
    <t>Klp. Gading Permai, Jalan Serdam 2, East Kelapa Gading, Kelapa Gading, North Jakarta City</t>
  </si>
  <si>
    <t>https://maps.google.com/?cid=0x0:0xae819747c0012e93</t>
  </si>
  <si>
    <t>Perumahan Kelapa Gading Pratama</t>
  </si>
  <si>
    <t>Jl. Griya Pratama Raya Blok VII No.7, RT.6/RW.1, Pegangsaan Dua, Kec. Klp. Gading, Jkt Utara, Daerah Khusus Ibukota Jakarta 14240</t>
  </si>
  <si>
    <t>RT.6/RW.1, Pegangsaan Dua, Kec. Klp. Gading, Jkt Utara</t>
  </si>
  <si>
    <t>https://maps.google.com/?cid=0x0:0x54ab9be7a92c81e0</t>
  </si>
  <si>
    <t>Sunter Garden</t>
  </si>
  <si>
    <t>Jl. Sunter Agung Utara No.8 Blok D5, RT.5/RW.18, Sunter Agung, Kec. Tj. Priok, Jkt Utara, Daerah Khusus Ibukota Jakarta 14350</t>
  </si>
  <si>
    <t>RT.5/RW.18, Sunter Agung, Kec. Tj. Priok, Jkt Utara</t>
  </si>
  <si>
    <t>https://maps.google.com/?cid=0x0:0xbaf8b4cc91ff518d</t>
  </si>
  <si>
    <t>dekoruma.com</t>
  </si>
  <si>
    <t>Komplek Pelindo 2 Cilincing</t>
  </si>
  <si>
    <t>RW.9, Jalan Kompleks Pelindo II Cilincing, RT.8/RW.9, Cilincing, RT.1/RW.6, Semper Tim., Kec. Cilincing, Jkt Utara, Daerah Khusus Ibukota Jakarta 14120</t>
  </si>
  <si>
    <t>Jalan Kompleks Pelindo II Cilincing, RT.8/RW.9, Cilincing, RT.1/RW.6, Semper Tim., Kec. Cilincing, Jkt Utara</t>
  </si>
  <si>
    <t>https://maps.google.com/?cid=0x0:0x5840ed298c9900cb</t>
  </si>
  <si>
    <t>Kompleks airud baharkam polri</t>
  </si>
  <si>
    <t>Jl. Raya Cilincing No.4, RT.3/RW.5, Semper Tim., Kec. Cilincing, Jkt Utara, Daerah Khusus Ibukota Jakarta 14130</t>
  </si>
  <si>
    <t>RT.3/RW.5, Semper Tim., Kec. Cilincing, Jkt Utara</t>
  </si>
  <si>
    <t>https://maps.google.com/?cid=0x0:0xfc6b0cddb1d6f058</t>
  </si>
  <si>
    <t>KOMPLEK BEACUKAI SUKAPURA</t>
  </si>
  <si>
    <t>Jl. Tarumanegara Q7, kompleks Bea cukai No.29, RT.15/RW.7, Sukapura, Kec. Cilincing, Jkt Utara, Daerah Khusus Ibukota Jakarta 14140</t>
  </si>
  <si>
    <t>kompleks Bea cukai No.29, RT.15/RW.7, Sukapura, Kec. Cilincing, Jkt Utara</t>
  </si>
  <si>
    <t>https://maps.google.com/?cid=0x0:0x2e146ae822a014b2</t>
  </si>
  <si>
    <t>Gading Griya Residence</t>
  </si>
  <si>
    <t>Griya Residence, Jl. Beringin IV Blok A2 No.31B, Gading, RT.12/RW.5, Sukapura, Cilincing, North Jakarta City, Jakarta 14140</t>
  </si>
  <si>
    <t>Jl. Beringin IV Blok A2 No.31B, Gading, RT.12/RW.5, Sukapura, Cilincing, North Jakarta City</t>
  </si>
  <si>
    <t>https://maps.google.com/?cid=0x0:0x6a2ca1df4e01e56f</t>
  </si>
  <si>
    <t>Janur Kuning Residence</t>
  </si>
  <si>
    <t>Jl. Boulevard Raya No.6, RT.11/RW.18, Klp. Gading Tim., Kec. Klp. Gading, Jkt Utara, Daerah Khusus Ibukota Jakarta 14240</t>
  </si>
  <si>
    <t>RT.11/RW.18, Klp. Gading Tim., Kec. Klp. Gading, Jkt Utara</t>
  </si>
  <si>
    <t>https://maps.google.com/?cid=0x0:0x33bfc3f2d19bd1c4</t>
  </si>
  <si>
    <t>Komplek Gading Cipta Residence</t>
  </si>
  <si>
    <t>Jl. Dewi Shinta Bh No.1 2, RT.2/RW.8, Klp. Gading Tim., Kec. Klp. Gading, Jkt Utara, Daerah Khusus Ibukota Jakarta 14240</t>
  </si>
  <si>
    <t>RT.2/RW.8, Klp. Gading Tim., Kec. Klp. Gading, Jkt Utara</t>
  </si>
  <si>
    <t>https://maps.google.com/?cid=0x0:0x999468e7bc68a4e5</t>
  </si>
  <si>
    <t>99.co</t>
  </si>
  <si>
    <t>Komplek TNI AL</t>
  </si>
  <si>
    <t>Jl. Gading Raya No.9 Blok D No.17, RT.5/RW.5, West Kelapa Gading, Kelapa Gading, North Jakarta City, Jakarta 14240</t>
  </si>
  <si>
    <t>RT.5/RW.5, West Kelapa Gading, Kelapa Gading, North Jakarta City</t>
  </si>
  <si>
    <t>https://maps.google.com/?cid=0x0:0x131b7c4aeaf39811</t>
  </si>
  <si>
    <t>The Kew Garden Resindence Kelapa Gading</t>
  </si>
  <si>
    <t>Raya (Pinggir Kali Pas Simpang dekat ALFAMIDI, Jl. Raya Kelapa Nias No.14, RT.14/RW.6, Klp. Gading Bar., Kec. Klp. Gading, Jkt Utara, Daerah Khusus Ibukota Jakarta 14240</t>
  </si>
  <si>
    <t>Jl. Raya Kelapa Nias No.14, RT.14/RW.6, Klp. Gading Bar., Kec. Klp. Gading, Jkt Utara</t>
  </si>
  <si>
    <t>https://maps.google.com/?cid=0x0:0xb9be62f7cbc2985e</t>
  </si>
  <si>
    <t>Komplek Gading Nirwana</t>
  </si>
  <si>
    <t>Jl. Raya Klp. Hybrida Blok PF 21 No.8, RT.10/RW.3, Pegangsaan Dua, Kec. Klp. Gading, Jkt Utara, Daerah Khusus Ibukota Jakarta 14250</t>
  </si>
  <si>
    <t>RT.10/RW.3, Pegangsaan Dua, Kec. Klp. Gading, Jkt Utara</t>
  </si>
  <si>
    <t>https://maps.google.com/?cid=0x0:0x6725830ab22e6de3</t>
  </si>
  <si>
    <t>Komplek Bermis Gading</t>
  </si>
  <si>
    <t>Jl. Perintis Kemerdekaan, RT.8/RW.3, Klp. Gading Tim., Kec. Klp. Gading, Jkt Utara, Daerah Khusus Ibukota Jakarta 14240</t>
  </si>
  <si>
    <t>RT.8/RW.3, Klp. Gading Tim., Kec. Klp. Gading, Jkt Utara</t>
  </si>
  <si>
    <t>https://maps.google.com/?cid=0x0:0xc63170c1d50a16bd</t>
  </si>
  <si>
    <t>Perumahan Gading Arcadia</t>
  </si>
  <si>
    <t>Jl. Gading Arcadia No.22, RT.22/RW.22, Pegangsaan Dua, Kec. Klp. Gading, Jkt Utara, Daerah Khusus Ibukota Jakarta 14250</t>
  </si>
  <si>
    <t>RT.22/RW.22, Pegangsaan Dua, Kec. Klp. Gading, Jkt Utara</t>
  </si>
  <si>
    <t>https://maps.google.com/?cid=0x0:0xb2c37e3c76c49d6d</t>
  </si>
  <si>
    <t>Gading Grande Residence</t>
  </si>
  <si>
    <t>Jl. Klp. Lilin Tim., RT.18/RW.25, Pegangsaan Dua, Kec. Klp. Gading, Jkt Utara, Daerah Khusus Ibukota Jakarta 14250</t>
  </si>
  <si>
    <t>RT.18/RW.25, Pegangsaan Dua, Kec. Klp. Gading, Jkt Utara</t>
  </si>
  <si>
    <t>https://maps.google.com/?cid=0x0:0x6d0c01fe619429f1</t>
  </si>
  <si>
    <t>Taman Pegangsaan Indah</t>
  </si>
  <si>
    <t>Blok, Jl. Pegangsaan Dua No.2 Blok H, RT.2/RW.19, Pegangsaan Dua, Kelapa Gading, North Jakarta City, Jakarta 14250</t>
  </si>
  <si>
    <t>Jl. Pegangsaan Dua No.2 Blok H, RT.2/RW.19, Pegangsaan Dua, Kelapa Gading, North Jakarta City</t>
  </si>
  <si>
    <t>https://maps.google.com/?cid=0x0:0xf58e821fb00b9f4b</t>
  </si>
  <si>
    <t>Villa Permata Gading</t>
  </si>
  <si>
    <t>Jl. Permata Intan No.46, RT.04/RW.06, Tugu Sel., Kec. Koja, Jkt Utara, Daerah Khusus Ibukota Jakarta 14260</t>
  </si>
  <si>
    <t>RT.04/RW.06, Tugu Sel., Kec. Koja, Jkt Utara</t>
  </si>
  <si>
    <t>https://maps.google.com/?cid=0x0:0x2e9db5a4dce8309e</t>
  </si>
  <si>
    <t>Perumahan graha laksita</t>
  </si>
  <si>
    <t>Jl. Semangka No.5D, RT./rw/RW.12/03, Lagoa, Kec. Koja, Jkt Utara, Daerah Khusus Ibukota Jakarta 14270</t>
  </si>
  <si>
    <t>RT./rw/RW.12/03, Lagoa, Kec. Koja, Jkt Utara</t>
  </si>
  <si>
    <t>https://maps.google.com/?cid=0x0:0x761e698ae22a17a5</t>
  </si>
  <si>
    <t>KOMPLEK PELINDO II</t>
  </si>
  <si>
    <t>VWF2+FRX, Jl. Bandar II, RT.6/RW.6, Rawabadak Sel., Kec. Koja, Jkt Utara, Daerah Khusus Ibukota Jakarta 14230</t>
  </si>
  <si>
    <t>Jl. Bandar II, RT.6/RW.6, Rawabadak Sel., Kec. Koja, Jkt Utara</t>
  </si>
  <si>
    <t>https://maps.google.com/?cid=0x0:0xad6c9762a2ef034c</t>
  </si>
  <si>
    <t>Komplek Tugu Permai</t>
  </si>
  <si>
    <t>Jl. Komp. Tugu Permai No.B6/28, Tugu Utara, Kec. Koja, Jkt Utara, Daerah Khusus Ibukota Jakarta 14260</t>
  </si>
  <si>
    <t>Tugu Utara, Kec. Koja, Jkt Utara</t>
  </si>
  <si>
    <t>https://maps.google.com/?cid=0x0:0x1185e837066c2757</t>
  </si>
  <si>
    <t>Blossom Residence</t>
  </si>
  <si>
    <t>RVX3+FMH, Jl. Kota Baru Bandar Kemayoran Jl. Angsana, Pademangan Tim., Kec. Pademangan, Jkt Utara, Daerah Khusus Ibukota Jakarta 14410</t>
  </si>
  <si>
    <t>Jl. Kota Baru Bandar Kemayoran Jl. Angsana, Pademangan Tim., Kec. Pademangan, Jkt Utara</t>
  </si>
  <si>
    <t>https://maps.google.com/?cid=0x0:0x773e12a3f9ccfb6</t>
  </si>
  <si>
    <t>Spring Hill Residences Green Hill</t>
  </si>
  <si>
    <t>VV23+746, Jl. Damar, RW.5, Pademangan Tim., Kec. Pademangan, Jkt Utara, Daerah Khusus Ibukota Jakarta 14410</t>
  </si>
  <si>
    <t>Jl. Damar, RW.5, Pademangan Tim., Kec. Pademangan, Jkt Utara</t>
  </si>
  <si>
    <t>https://maps.google.com/?cid=0x0:0x82080e501057a111</t>
  </si>
  <si>
    <t>Komplek Duta Kemayoran</t>
  </si>
  <si>
    <t>Jl. Pademangan V No.60, RT.14/RW.1, Pademangan Tim., Kec. Pademangan, Jkt Utara, Daerah Khusus Ibukota Jakarta 14420</t>
  </si>
  <si>
    <t>RT.14/RW.1, Pademangan Tim., Kec. Pademangan, Jkt Utara</t>
  </si>
  <si>
    <t>https://maps.google.com/?cid=0x0:0x9a3db34f9db244ed</t>
  </si>
  <si>
    <t>Komplek Hidup Baru 3</t>
  </si>
  <si>
    <t>Jl. Q No.50, RT.12/RW.3, Pademangan Bar., Kec. Pademangan, Jkt Utara, Daerah Khusus Ibukota Jakarta 14420</t>
  </si>
  <si>
    <t>RT.12/RW.3, Pademangan Bar., Kec. Pademangan, Jkt Utara</t>
  </si>
  <si>
    <t>https://maps.google.com/?cid=0x0:0xf95656f73f9b7d95</t>
  </si>
  <si>
    <t>tribunjualbeli.com</t>
  </si>
  <si>
    <t>Komplek Pondok Ampera</t>
  </si>
  <si>
    <t>Jl. Budi Mulia No.10, RT.9/RW.15, Pademangan Bar., Kec. Pademangan, Jkt Utara, Daerah Khusus Ibukota Jakarta 14420</t>
  </si>
  <si>
    <t>RT.9/RW.15, Pademangan Bar., Kec. Pademangan, Jkt Utara</t>
  </si>
  <si>
    <t>https://maps.google.com/?cid=0x0:0xe37900863a72b70e</t>
  </si>
  <si>
    <t>The Jimbaran Residence</t>
  </si>
  <si>
    <t>VVH5+R8P, Ancol, Kec. Pademangan, Jkt Utara, Daerah Khusus Ibukota Jakarta 14430</t>
  </si>
  <si>
    <t>Ancol, Kec. Pademangan, Jkt Utara</t>
  </si>
  <si>
    <t>https://maps.google.com/?cid=0x0:0xb3de36f4341d4f9</t>
  </si>
  <si>
    <t>Perumahan Puri Jimbaran</t>
  </si>
  <si>
    <t>VVG4+R57, Bukit Golf Raya, Ancol, Kec. Pademangan, Jkt Utara, Daerah Khusus Ibukota Jakarta 14430</t>
  </si>
  <si>
    <t>Bukit Golf Raya, Ancol, Kec. Pademangan, Jkt Utara</t>
  </si>
  <si>
    <t>https://maps.google.com/?cid=0x0:0x3e95736e790e127d</t>
  </si>
  <si>
    <t>Komplek Pluit Mas</t>
  </si>
  <si>
    <t>Jl. Jemb. 3 Raya, RT.1/RW.18, Pejagalan, Kec. Penjaringan, Jkt Utara, Daerah Khusus Ibukota Jakarta 14450</t>
  </si>
  <si>
    <t>RT.1/RW.18, Pejagalan, Kec. Penjaringan, Jkt Utara</t>
  </si>
  <si>
    <t>https://maps.google.com/?cid=0x0:0x229a2f055c99374f</t>
  </si>
  <si>
    <t>Mutiara Mediterania Residence</t>
  </si>
  <si>
    <t>Jl. Pluit Samudra Raya No.1A, RT.11/RW.5, Pluit, Penjaringan, North Jakarta City, Jakarta 14450</t>
  </si>
  <si>
    <t>RT.11/RW.5, Pluit, Penjaringan, North Jakarta City</t>
  </si>
  <si>
    <t>https://maps.google.com/?cid=0x0:0xa4fe7a21cdedca63</t>
  </si>
  <si>
    <t>Taman Permata Indah 2</t>
  </si>
  <si>
    <t>Jl. Kp. Gusti No.11 11, RT.11/RW.14, Pejagalan, Kec. Penjaringan, Jkt Utara, Daerah Khusus Ibukota Jakarta 14450</t>
  </si>
  <si>
    <t>RT.11/RW.14, Pejagalan, Kec. Penjaringan, Jkt Utara</t>
  </si>
  <si>
    <t>https://maps.google.com/?cid=0x0:0xc62b17314c7eea42</t>
  </si>
  <si>
    <t>Elang Laut Residence</t>
  </si>
  <si>
    <t>Unnamed Road No.2, RT.2/RW.3, Kamal Muara, Penjaringan, North Jakarta City, Jakarta 14470</t>
  </si>
  <si>
    <t>RT.2/RW.3, Kamal Muara, Penjaringan, North Jakarta City</t>
  </si>
  <si>
    <t>https://maps.google.com/?cid=0x0:0x476c976e43b42b4b</t>
  </si>
  <si>
    <t>Komplek Mulia Dharma</t>
  </si>
  <si>
    <t>Jl. D Tlk. Gong Selatan No.68, RT.16/RW.10, Pejagalan, Kec. Penjaringan, Jkt Utara, Daerah Khusus Ibukota Jakarta 14450</t>
  </si>
  <si>
    <t>RT.16/RW.10, Pejagalan, Kec. Penjaringan, Jkt Utara</t>
  </si>
  <si>
    <t>https://maps.google.com/?cid=0x0:0xa6cf2a36a79cd913</t>
  </si>
  <si>
    <t>Perumahan Taman Grisenda</t>
  </si>
  <si>
    <t>Jl. Perumahan Taman Grisenda No.11B Blok gd 36, RT.15/RW.5, Kapuk Muara, Kec. Penjaringan, Jkt Utara, Daerah Khusus Ibukota Jakarta 14460</t>
  </si>
  <si>
    <t>RT.15/RW.5, Kapuk Muara, Kec. Penjaringan, Jkt Utara</t>
  </si>
  <si>
    <t>https://maps.google.com/?cid=0x0:0xf93cfc53c281f136</t>
  </si>
  <si>
    <t>Layar Permai 1</t>
  </si>
  <si>
    <t>Jl. Layar Permai No.1, RT.7/RW.2, Kapuk Muara, Kec. Penjaringan, Jkt Utara, Daerah Khusus Ibukota Jakarta 14460</t>
  </si>
  <si>
    <t>RT.7/RW.2, Kapuk Muara, Kec. Penjaringan, Jkt Utara</t>
  </si>
  <si>
    <t>https://maps.google.com/?cid=0x0:0xe98fb1e374fcb4db</t>
  </si>
  <si>
    <t>Perumahan kayara</t>
  </si>
  <si>
    <t>VQR3+35J, Kano Permai 4, Kapuk Muara, Kec. Penjaringan, Jkt Utara, Daerah Khusus Ibukota Jakarta 14460</t>
  </si>
  <si>
    <t>Kano Permai 4, Kapuk Muara, Kec. Penjaringan, Jkt Utara</t>
  </si>
  <si>
    <t>https://maps.google.com/?cid=0x0:0xabf9a6723580161b</t>
  </si>
  <si>
    <t>Jl. Perumahan Taman Grisenda No.26 B1, RT.3/RW.3, Kapuk Muara, Kec. Penjaringan, Jkt Utara, Daerah Khusus Ibukota Jakarta 14460</t>
  </si>
  <si>
    <t>RT.3/RW.3, Kapuk Muara, Kec. Penjaringan, Jkt Utara</t>
  </si>
  <si>
    <t>https://maps.google.com/?cid=0x0:0x8c8b834332d74157</t>
  </si>
  <si>
    <t>Ebony Town House</t>
  </si>
  <si>
    <t>Jl. Ebony Golf Raya No.7, RT.7/RW.2, Kamal Muara, Kec. Penjaringan, Jkt Utara, Daerah Khusus Ibukota Jakarta 14470</t>
  </si>
  <si>
    <t>RT.7/RW.2, Kamal Muara, Kec. Penjaringan, Jkt Utara</t>
  </si>
  <si>
    <t>https://maps.google.com/?cid=0x0:0x93bdb7d4740a90e1</t>
  </si>
  <si>
    <t>Taman Sunter Agung 2</t>
  </si>
  <si>
    <t>Jl. Utama 1 No.30-11 4, RT.1/RW.12, Papanggo, Kec. Tj. Priok, Jkt Utara, Daerah Khusus Ibukota Jakarta 14340</t>
  </si>
  <si>
    <t>RT.1/RW.12, Papanggo, Kec. Tj. Priok, Jkt Utara</t>
  </si>
  <si>
    <t>https://maps.google.com/?cid=0x0:0x8c83ed077dabe015</t>
  </si>
  <si>
    <t>LBM RESIDENCE</t>
  </si>
  <si>
    <t>Jl. Warakas VI Blok, Gg. 20 No.92, RT.7/RW.5, Warakas, Kec. Tj. Priok, Jkt Utara, Daerah Khusus Ibukota Jakarta 14370</t>
  </si>
  <si>
    <t>Gg. 20 No.92, RT.7/RW.5, Warakas, Kec. Tj. Priok, Jkt Utara</t>
  </si>
  <si>
    <t>https://maps.google.com/?cid=0x0:0x94fc358f5b958266</t>
  </si>
  <si>
    <t>Kompleks Royal Senter</t>
  </si>
  <si>
    <t>Jl. Sunter Agung Utara D7 q No.16, RT.3/RW.18, Sunter Agung, Kec. Tj. Priok, Jkt Utara, Daerah Khusus Ibukota Jakarta 14350</t>
  </si>
  <si>
    <t>RT.3/RW.18, Sunter Agung, Kec. Tj. Priok, Jkt Utara</t>
  </si>
  <si>
    <t>https://maps.google.com/?cid=0x0:0xabfc4ea093a4b565</t>
  </si>
  <si>
    <t>Jl. Sunter Karya Selatan No.3, RT.12/RW.16, Sunter Agung, Kec. Tj. Priok, Jkt Utara, Daerah Khusus Ibukota Jakarta 14350</t>
  </si>
  <si>
    <t>RT.12/RW.16, Sunter Agung, Kec. Tj. Priok, Jkt Utara</t>
  </si>
  <si>
    <t>https://maps.google.com/?cid=0x0:0x7103bf9b917ec1a4</t>
  </si>
  <si>
    <t>Komplek Sunter Jaya Baru</t>
  </si>
  <si>
    <t>Jl. Sunter Jaya Baru No.3 blok D5, Sunter Jaya, Tanjung Priok, North Jakarta City, Jakarta 14360</t>
  </si>
  <si>
    <t>Sunter Jaya, Tanjung Priok, North Jakarta City</t>
  </si>
  <si>
    <t>https://maps.google.com/?cid=0x0:0x224fcdb17eb6150e</t>
  </si>
  <si>
    <t>Komplek Dinas Kebersihan DKI Jakarta</t>
  </si>
  <si>
    <t>RVWC+HW8, RT.15/RW.7, Sunter Jaya, Kec. Tj. Priok, Jkt Utara, Daerah Khusus Ibukota Jakarta 14360</t>
  </si>
  <si>
    <t>RT.15/RW.7, Sunter Jaya, Kec. Tj. Priok, Jkt Utara</t>
  </si>
  <si>
    <t>https://maps.google.com/?cid=0x0:0xac853fa6af177b3a</t>
  </si>
  <si>
    <t>Perumahan Sunter Pratama 4</t>
  </si>
  <si>
    <t>Jl. Sunter Pratama No.3 3, RT.3/RW.8, Sunter Jaya, Kec. Tj. Priok, Jkt Utara, Daerah Khusus Ibukota Jakarta 14360</t>
  </si>
  <si>
    <t>RT.3/RW.8, Sunter Jaya, Kec. Tj. Priok, Jkt Utara</t>
  </si>
  <si>
    <t>https://maps.google.com/?cid=0x0:0x305f0f56b25d24bf</t>
  </si>
  <si>
    <t>Ekv Residence</t>
  </si>
  <si>
    <t>Gg. XI Jl. Warakas IV No.38 B, RT.2/RW.11, Warakas, Kec. Tj. Priok, Jkt Utara, Daerah Khusus Ibukota Jakarta 14370</t>
  </si>
  <si>
    <t>RT.2/RW.11, Warakas, Kec. Tj. Priok, Jkt Utara</t>
  </si>
  <si>
    <t>https://maps.google.com/?cid=0x0:0x7556f51c308da240</t>
  </si>
  <si>
    <t>Perum Griya Mutiara Warakas</t>
  </si>
  <si>
    <t>Jl. Warakas IV Gg. 3 No.49, RT.6/RW.6, Warakas, Kec. Tj. Priok, Jkt Utara, Daerah Khusus Ibukota Jakarta 14370</t>
  </si>
  <si>
    <t>RT.6/RW.6, Warakas, Kec. Tj. Priok, Jkt Utara</t>
  </si>
  <si>
    <t>https://maps.google.com/?cid=0x0:0xe35196e0866b5767</t>
  </si>
  <si>
    <t>Griya Mutiara Badwie</t>
  </si>
  <si>
    <t>Jl. Cilincing Baru 5 No.18, RT.3/RW.3, Cilincing, Kec. Cilincing, Jkt Utara, Daerah Khusus Ibukota Jakarta 14120</t>
  </si>
  <si>
    <t>RT.3/RW.3, Cilincing, Kec. Cilincing, Jkt Utara</t>
  </si>
  <si>
    <t>https://maps.google.com/?cid=0x0:0xeec3377fbef3ee2e</t>
  </si>
  <si>
    <t>Komplek Deperla</t>
  </si>
  <si>
    <t>VWCG+94X, Jl. Sungai Brantas, RT.13/RW.1, Semper Bar., Kec. Cilincing, Jkt Utara, Daerah Khusus Ibukota Jakarta 14130</t>
  </si>
  <si>
    <t>Jl. Sungai Brantas, RT.13/RW.1, Semper Bar., Kec. Cilincing, Jkt Utara</t>
  </si>
  <si>
    <t>https://maps.google.com/?cid=0x0:0xf66236fbd1d13790</t>
  </si>
  <si>
    <t>Cluster Royal Pines</t>
  </si>
  <si>
    <t>VX52+R38, RT.2/RW.5, Rorotan, Kec. Cilincing, Jkt Utara, Daerah Khusus Ibukota Jakarta 14140</t>
  </si>
  <si>
    <t>RT.2/RW.5, Rorotan, Kec. Cilincing, Jkt Utara</t>
  </si>
  <si>
    <t>https://maps.google.com/?cid=0x0:0x1975ed0cb56f0813</t>
  </si>
  <si>
    <t>Grand Malaka Residence</t>
  </si>
  <si>
    <t>Perumahan Grand Malaka Jl. Komp. Perumahan, Rorotan, Kec. Cilincing, Jkt Utara, Daerah Khusus Ibukota Jakarta 14140</t>
  </si>
  <si>
    <t>Rorotan, Kec. Cilincing, Jkt Utara</t>
  </si>
  <si>
    <t>https://maps.google.com/?cid=0x0:0x802db70db17c8289</t>
  </si>
  <si>
    <t>Villa Gading Indah</t>
  </si>
  <si>
    <t>Jl. Bgr. Boulevard No.3 1, RT.5/RW.14, Klp. Gading Bar., Kec. Klp. Gading, Jkt Utara, Daerah Khusus Ibukota Jakarta 14240</t>
  </si>
  <si>
    <t>RT.5/RW.14, Klp. Gading Bar., Kec. Klp. Gading, Jkt Utara</t>
  </si>
  <si>
    <t>https://maps.google.com/?cid=0x0:0xf996c75537c5e2e6</t>
  </si>
  <si>
    <t>Perumahan Gading Pandawa</t>
  </si>
  <si>
    <t>Blok TG2 no 1, RT.8/RW.1, East Kelapa Gading, Kelapa Gading, North Jakarta City, Jakarta 14240</t>
  </si>
  <si>
    <t>RT.8/RW.1, East Kelapa Gading, Kelapa Gading, North Jakarta City</t>
  </si>
  <si>
    <t>https://maps.google.com/?cid=0x0:0x30dce09f7026861a</t>
  </si>
  <si>
    <t>Komplek gading surya</t>
  </si>
  <si>
    <t>Jl. Gading Surya No.1, RT.1/RW.8, Klp. Gading Tim., Kec. Klp. Gading, Jkt Utara, Daerah Khusus Ibukota Jakarta 14240</t>
  </si>
  <si>
    <t>RT.1/RW.8, Klp. Gading Tim., Kec. Klp. Gading, Jkt Utara</t>
  </si>
  <si>
    <t>https://maps.google.com/?cid=0x0:0xb6d59a5965cc38d6</t>
  </si>
  <si>
    <t>Perumahan gading Kirana</t>
  </si>
  <si>
    <t>Jl. Kirana Barat VIII No.15 Blok F8, RT.11/RW.8, Klp. Gading Bar., Kec. Klp. Gading, Jkt Utara, Daerah Khusus Ibukota Jakarta 14240</t>
  </si>
  <si>
    <t>RT.11/RW.8, Klp. Gading Bar., Kec. Klp. Gading, Jkt Utara</t>
  </si>
  <si>
    <t>https://maps.google.com/?cid=0x0:0x75467dcaf9947df2</t>
  </si>
  <si>
    <t>Smart Cluster Swasembada Barat Tahap 6</t>
  </si>
  <si>
    <t>Jl. Swasembada Barat VII No.22, RT.3/RW.9, Kb. Bawang, Kec. Tj. Priok, Jkt Utara, Daerah Khusus Ibukota Jakarta 14320</t>
  </si>
  <si>
    <t>RT.3/RW.9, Kb. Bawang, Kec. Tj. Priok, Jkt Utara</t>
  </si>
  <si>
    <t>https://maps.google.com/?cid=0x0:0x105638064a6c8877</t>
  </si>
  <si>
    <t>Perumahan Taman Marina Asri</t>
  </si>
  <si>
    <t>9 No.11, RT.9/RW.11, Ancol, Kec. Pademangan, Jkt Utara, Daerah Khusus Ibukota Jakarta 14430</t>
  </si>
  <si>
    <t>RT.9/RW.11, Ancol, Kec. Pademangan, Jkt Utara</t>
  </si>
  <si>
    <t>https://maps.google.com/?cid=0x0:0x504c51127b75eb9e</t>
  </si>
  <si>
    <t>Perumahan Pantai Mutiara</t>
  </si>
  <si>
    <t>Jl. Pantai Mutiara No.10, RT.9/RW.16, Pluit, Kec. Penjaringan, Jkt Utara, Daerah Khusus Ibukota Jakarta 14450</t>
  </si>
  <si>
    <t>RT.9/RW.16, Pluit, Kec. Penjaringan, Jkt Utara</t>
  </si>
  <si>
    <t>https://maps.google.com/?cid=0x0:0xd22eeaf72b394938</t>
  </si>
  <si>
    <t>Pluit Timur Residence</t>
  </si>
  <si>
    <t>Jl. Pluit Timur Raya No.51 7, RT.7/RW.9, Pluit, Kec. Penjaringan, Jkt Utara, Daerah Khusus Ibukota Jakarta 14450</t>
  </si>
  <si>
    <t>RT.7/RW.9, Pluit, Kec. Penjaringan, Jkt Utara</t>
  </si>
  <si>
    <t>https://maps.google.com/?cid=0x0:0xf49a6c00f31f2396</t>
  </si>
  <si>
    <t>Pantai Mutiara</t>
  </si>
  <si>
    <t>Jl. Pantai Mutiara No.4 11, RT.2/RW.16, Pluit, Kec. Penjaringan, Jkt Utara, Daerah Khusus Ibukota Jakarta 14450</t>
  </si>
  <si>
    <t>RT.2/RW.16, Pluit, Kec. Penjaringan, Jkt Utara</t>
  </si>
  <si>
    <t>https://maps.google.com/?cid=0x0:0x34d798e9aa2e21e5</t>
  </si>
  <si>
    <t>Komplek Jembatan 2</t>
  </si>
  <si>
    <t>Jl. Arwana VI No.21, RT.6/RW.6, Pejagalan, Kec. Penjaringan, Jkt Utara, Daerah Khusus Ibukota Jakarta 14450</t>
  </si>
  <si>
    <t>RT.6/RW.6, Pejagalan, Kec. Penjaringan, Jkt Utara</t>
  </si>
  <si>
    <t>https://maps.google.com/?cid=0x0:0x2c3611d8fa02fb6b</t>
  </si>
  <si>
    <t>PERUMAHAN PLUIT KARANG ASRI</t>
  </si>
  <si>
    <t>VQPC+VP3, RT.3/RW.13, Pluit, Kec. Penjaringan, Jkt Utara, Daerah Khusus Ibukota Jakarta 14450</t>
  </si>
  <si>
    <t>RT.3/RW.13, Pluit, Kec. Penjaringan, Jkt Utara</t>
  </si>
  <si>
    <t>https://maps.google.com/?cid=0x0:0x19a86d54ffdabcd7</t>
  </si>
  <si>
    <t>PERUMAHAN TAMAN GOLF PIK</t>
  </si>
  <si>
    <t>Jl. Pantai Indah Utara Sektor Timur No.2, RT.1/RW.7, Kapuk Muara, Kec. Penjaringan, Jkt Utara, Daerah Khusus Ibukota Jakarta 14460</t>
  </si>
  <si>
    <t>RT.1/RW.7, Kapuk Muara, Kec. Penjaringan, Jkt Utara</t>
  </si>
  <si>
    <t>https://maps.google.com/?cid=0x0:0x700a645ad324464e</t>
  </si>
  <si>
    <t>VILLA KAPUK MAS RESIDENCE</t>
  </si>
  <si>
    <t>Jl. Vikamas Tengah 9 No.9 14, RT.14/RW.5, Kapuk Muara, Kec. Penjaringan, Jkt Utara, Daerah Khusus Ibukota Jakarta 14460</t>
  </si>
  <si>
    <t>RT.14/RW.5, Kapuk Muara, Kec. Penjaringan, Jkt Utara</t>
  </si>
  <si>
    <t>https://maps.google.com/?cid=0x0:0x40986ec479c7b671</t>
  </si>
  <si>
    <t>PERUMAHAN BUKIT GOLF MEDITERANIA</t>
  </si>
  <si>
    <t>VPVV+Q27, RT.6/RW.2, Kamal Muara, Kec. Penjaringan, Jkt Utara, Daerah Khusus Ibukota Jakarta 14470</t>
  </si>
  <si>
    <t>RT.6/RW.2, Kamal Muara, Kec. Penjaringan, Jkt Utara</t>
  </si>
  <si>
    <t>https://maps.google.com/?cid=0x0:0xa3631ea452330aaa</t>
  </si>
  <si>
    <t>Gold Coast Cluster</t>
  </si>
  <si>
    <t>VPVR+P2F Cluster Gold Coast, Pantai Indah Kapuk St, Kamal Muara, Penjaringan, North Jakarta City, Jakarta 14470</t>
  </si>
  <si>
    <t>Pantai Indah Kapuk St, Kamal Muara, Penjaringan, North Jakarta City</t>
  </si>
  <si>
    <t>https://maps.google.com/?cid=0x0:0xeb524f832f259352</t>
  </si>
  <si>
    <t>Perumahan baru bahari</t>
  </si>
  <si>
    <t>Jl. Bahari II No.237, RT.6/RW.6, Tj. Priok, Kec. Tj. Priok, Jkt Utara, Daerah Khusus Ibukota Jakarta 14310</t>
  </si>
  <si>
    <t>RT.6/RW.6, Tj. Priok, Kec. Tj. Priok, Jkt Utara</t>
  </si>
  <si>
    <t>https://maps.google.com/?cid=0x0:0xc5efae3afd0a7eb</t>
  </si>
  <si>
    <t>Pesona Ganggeng 2</t>
  </si>
  <si>
    <t>Jl. Ganggeng IX No.45, RT.10/RW.7, Sungai Bambu, Kec. Tj. Priok, Jkt Utara, Daerah Khusus Ibukota Jakarta 14330</t>
  </si>
  <si>
    <t>RT.10/RW.7, Sungai Bambu, Kec. Tj. Priok, Jkt Utara</t>
  </si>
  <si>
    <t>https://maps.google.com/?cid=0x0:0x7d4f60ef9cd79d04</t>
  </si>
  <si>
    <t>Taman Nyiur</t>
  </si>
  <si>
    <t>VV7C+Q5P, Jl. Taman Nyiur, RT.8/RW.15, Sunter Agung, Kec. Tj. Priok, Jkt Utara, Daerah Khusus Ibukota Jakarta 14350</t>
  </si>
  <si>
    <t>Jl. Taman Nyiur, RT.8/RW.15, Sunter Agung, Kec. Tj. Priok, Jkt Utara</t>
  </si>
  <si>
    <t>https://maps.google.com/?cid=0x0:0x2762d9d7c11f7953</t>
  </si>
  <si>
    <t>Perumahan Griya Inti Sentosa</t>
  </si>
  <si>
    <t>Jl. Griya Mutiara Blok.B1, RT.4/RW.20, Sunter Agung, Tanjung Priok, North Jakarta City, Jakarta 14350</t>
  </si>
  <si>
    <t>RT.4/RW.20, Sunter Agung, Tanjung Priok, North Jakarta City</t>
  </si>
  <si>
    <t>https://maps.google.com/?cid=0x0:0xebc11eb4b2f44f27</t>
  </si>
  <si>
    <t>Komplek DKI Sunter Jaya 2</t>
  </si>
  <si>
    <t>10, Jl. Danau Indah XII No.22 13, RT.13/RW.3, Sunter Jaya, Kec. Tj. Priok, Jkt Utara, Daerah Khusus Ibukota Jakarta 14360</t>
  </si>
  <si>
    <t>Jl. Danau Indah XII No.22 13, RT.13/RW.3, Sunter Jaya, Kec. Tj. Priok, Jkt Utara</t>
  </si>
  <si>
    <t>https://maps.google.com/?cid=0x0:0xb8d94e6e1a63e86b</t>
  </si>
  <si>
    <t>Gading Mediterania Residences</t>
  </si>
  <si>
    <t>Jl. Boulevard Bukit Gading Raya No.15, RT.15/RW.3, Klp. Gading Bar., Kec. Klp. Gading, Jkt Utara, Daerah Khusus Ibukota Jakarta 14240</t>
  </si>
  <si>
    <t>RT.15/RW.3, Klp. Gading Bar., Kec. Klp. Gading, Jkt Utara</t>
  </si>
  <si>
    <t>https://maps.google.com/?cid=0x0:0x89b7f5ecb70fd69f</t>
  </si>
  <si>
    <t>Puri Kamal Dadap</t>
  </si>
  <si>
    <t>Jl. Pergudangan Kapuk Kamal Utara No.2 Blok C, Kamal Muara, Penjaringan, North Jakarta City, Jakarta 14470</t>
  </si>
  <si>
    <t>Kamal Muara, Penjaringan, North Jakarta City</t>
  </si>
  <si>
    <t>https://maps.google.com/?cid=0x0:0x35167e77b4175fe0</t>
  </si>
  <si>
    <t>Komplek Kehakiman Sunter Mas</t>
  </si>
  <si>
    <t>Jl. Flamboyan VI No.9 18, RT.7/RW.7, Sunter Jaya, Kec. Tj. Priok, Jkt Utara, Daerah Khusus Ibukota Jakarta 14360</t>
  </si>
  <si>
    <t>RT.7/RW.7, Sunter Jaya, Kec. Tj. Priok, Jkt Utara</t>
  </si>
  <si>
    <t>https://maps.google.com/?cid=0x0:0x53be2c03941909bc</t>
  </si>
  <si>
    <t>Komplek Hudakose</t>
  </si>
  <si>
    <t>VQCX+GXM, Jl. H Abu Bakar, RT.14/RW.7, Penjaringan, Kec. Penjaringan, Jkt Utara, Daerah Khusus Ibukota Jakarta 14440</t>
  </si>
  <si>
    <t>Jl. H Abu Bakar, RT.14/RW.7, Penjaringan, Kec. Penjaringan, Jkt Utara</t>
  </si>
  <si>
    <t>https://maps.google.com/?cid=0x0:0x5fea3a39c3ebfdaf</t>
  </si>
  <si>
    <t>Komplek Sunter Mediterania</t>
  </si>
  <si>
    <t>Sunter Mediterania Raya, Papanggo, Kec. Tj. Priok, Jkt Utara, Daerah Khusus Ibukota Jakarta 14340</t>
  </si>
  <si>
    <t>Papanggo, Kec. Tj. Priok, Jkt Utara</t>
  </si>
  <si>
    <t>https://maps.google.com/?cid=0x0:0xbe20afd0ae5a86e5</t>
  </si>
  <si>
    <t>Komplek PLN Plumpang</t>
  </si>
  <si>
    <t>Jl. Plumpang Semper No.75 6, RT.8/RW.4, Rawabadak Sel., Kec. Koja, Jkt Utara, Daerah Khusus Ibukota Jakarta 14230</t>
  </si>
  <si>
    <t>RT.8/RW.4, Rawabadak Sel., Kec. Koja, Jkt Utara</t>
  </si>
  <si>
    <t>https://maps.google.com/?cid=0x0:0x41f4c0546cc6a021</t>
  </si>
  <si>
    <t>Nirwana Sunter Asri 3</t>
  </si>
  <si>
    <t>Jl. Nirwana 23 No.2, RT.2/RW.12, Papanggo, Kec. Tj. Priok, Jkt Utara, Daerah Khusus Ibukota Jakarta 14340</t>
  </si>
  <si>
    <t>RT.2/RW.12, Papanggo, Kec. Tj. Priok, Jkt Utara</t>
  </si>
  <si>
    <t>https://maps.google.com/?cid=0x0:0x1c85d2283a53346f</t>
  </si>
  <si>
    <t>Janur Asri Kelapa Gading</t>
  </si>
  <si>
    <t>Pelepah Asri I No.7 Blok QJ 8, Klp. Gading Bar., Kec. Klp. Gading, Jkt Utara, Daerah Khusus Ibukota Jakarta 14240</t>
  </si>
  <si>
    <t>Klp. Gading Bar., Kec. Klp. Gading, Jkt Utara</t>
  </si>
  <si>
    <t>https://maps.google.com/?cid=0x0:0x7e279cb0b1e747d9</t>
  </si>
  <si>
    <t>Komplek Perumahan Green Garden Rorotan Cilincing Jakarta Utara</t>
  </si>
  <si>
    <t>Jl. Angelia Raya No.7, RT.7/RW.1, Rorotan, Kec. Cilincing, Jkt Utara, Daerah Khusus Ibukota Jakarta 14140</t>
  </si>
  <si>
    <t>RT.7/RW.1, Rorotan, Kec. Cilincing, Jkt Utara</t>
  </si>
  <si>
    <t>https://maps.google.com/?cid=0x0:0x701334e347744651</t>
  </si>
  <si>
    <t>Midland Smart Town House - Koja</t>
  </si>
  <si>
    <t>Jl. Duren Terusan No.15, RT.15/RW.8, Semper Bar., Kec. Cilincing, Jkt Utara, Daerah Khusus Ibukota Jakarta 14130</t>
  </si>
  <si>
    <t>RT.15/RW.8, Semper Bar., Kec. Cilincing, Jkt Utara</t>
  </si>
  <si>
    <t>https://maps.google.com/?cid=0x0:0xca26f39a87157d6b</t>
  </si>
  <si>
    <t>Perumahan Nusantara, Jakarta Utara</t>
  </si>
  <si>
    <t>Jl. Rorotan IX No.18, RT.1/RW.7, Rorotan, Kec. Cilincing, Jkt Utara, Daerah Khusus Ibukota Jakarta 14140</t>
  </si>
  <si>
    <t>RT.1/RW.7, Rorotan, Kec. Cilincing, Jkt Utara</t>
  </si>
  <si>
    <t>https://maps.google.com/?cid=0x0:0x4cd920f10fe0521e</t>
  </si>
  <si>
    <t>Perumahan Ayana Nusantara</t>
  </si>
  <si>
    <t>Perumahan ayana, Gg. IV, RT.19/RW.7, Rorotan, Kec. Cilincing, Jkt Utara, Daerah Khusus Ibukota Jakarta 14140</t>
  </si>
  <si>
    <t>Gg. IV, RT.19/RW.7, Rorotan, Kec. Cilincing, Jkt Utara</t>
  </si>
  <si>
    <t>https://maps.google.com/?cid=0x0:0x660cfaeec8681c67</t>
  </si>
  <si>
    <t>Grand Orchard</t>
  </si>
  <si>
    <t>Jl. Grand Orchard, RT.9/RW.1, Sukapura, Kec. Cilincing, Jkt Utara, Daerah Khusus Ibukota Jakarta 14140</t>
  </si>
  <si>
    <t>RT.9/RW.1, Sukapura, Kec. Cilincing, Jkt Utara</t>
  </si>
  <si>
    <t>https://maps.google.com/?cid=0x0:0x7b1f992900dfeb8</t>
  </si>
  <si>
    <t>Gading Eight Residence</t>
  </si>
  <si>
    <t>Jl. Gading Kirana Tim. No.7, RT.7/RW.11, Klp. Gading Bar., Kec. Klp. Gading, Jkt Utara, Daerah Khusus Ibukota Jakarta 14240</t>
  </si>
  <si>
    <t>RT.7/RW.11, Klp. Gading Bar., Kec. Klp. Gading, Jkt Utara</t>
  </si>
  <si>
    <t>https://maps.google.com/?cid=0x0:0x9dc99e4c309560e0</t>
  </si>
  <si>
    <t>Perumahan Pondok Gading Utama</t>
  </si>
  <si>
    <t>Jl. Pegangsaan Indah Bar. No.19 Blok H, RT.3/RW.16, Pegangsaan Dua, Kelapa Gading, North Jakarta City, Jakarta 14250</t>
  </si>
  <si>
    <t>RT.3/RW.16, Pegangsaan Dua, Kelapa Gading, North Jakarta City</t>
  </si>
  <si>
    <t>https://maps.google.com/?cid=0x0:0x10ce302db17c1ab9</t>
  </si>
  <si>
    <t>Ardev Residence</t>
  </si>
  <si>
    <t>Jl. Cipeucang III No.23, RT.9/RW.12, Koja, Kec. Koja, Jkt Utara, Daerah Khusus Ibukota Jakarta 14220</t>
  </si>
  <si>
    <t>RT.9/RW.12, Koja, Kec. Koja, Jkt Utara</t>
  </si>
  <si>
    <t>https://maps.google.com/?cid=0x0:0x6b1ea620292c3d7f</t>
  </si>
  <si>
    <t>Golf Residence Kemayoran</t>
  </si>
  <si>
    <t>Jl. Griya Utama No.9, RT.9/RW.11, Pademangan Tim., Kec. Pademangan, Jkt Utara, Daerah Khusus Ibukota Jakarta 14410</t>
  </si>
  <si>
    <t>RT.9/RW.11, Pademangan Tim., Kec. Pademangan, Jkt Utara</t>
  </si>
  <si>
    <t>https://maps.google.com/?cid=0x0:0xc8fe357cdd178760</t>
  </si>
  <si>
    <t>Komplek Golden</t>
  </si>
  <si>
    <t>Jl. R, Jl. Ampera Besar Gg. F, RT.12/RW.8, West Pademangan, Pademangan, North Jakarta City, Jakarta 14420</t>
  </si>
  <si>
    <t>Jl. Ampera Besar Gg. F, RT.12/RW.8, West Pademangan, Pademangan, North Jakarta City</t>
  </si>
  <si>
    <t>https://maps.google.com/?cid=0x0:0xa09f75a2741ed726</t>
  </si>
  <si>
    <t>Taman Marina Ancol</t>
  </si>
  <si>
    <t>Jl. Taman Marina Indah No.23 2, RT.9/RW.11, Ancol, Kec. Pademangan, Jkt Utara, Daerah Khusus Ibukota Jakarta 14430</t>
  </si>
  <si>
    <t>https://maps.google.com/?cid=0x0:0x3c4c9bc104ec636b</t>
  </si>
  <si>
    <t>Komplek Duta Harapan Indah</t>
  </si>
  <si>
    <t>Jl. Duta Harapan Indah Blok TT No.6 8, RT.10/RW.2, Kapuk Muara, Kec. Penjaringan, Jkt Utara, Daerah Khusus Ibukota Jakarta 14460</t>
  </si>
  <si>
    <t>RT.10/RW.2, Kapuk Muara, Kec. Penjaringan, Jkt Utara</t>
  </si>
  <si>
    <t>https://maps.google.com/?cid=0x0:0xfbe953286904e2b1</t>
  </si>
  <si>
    <t>Villa Kapuk Mas</t>
  </si>
  <si>
    <t>Jl. Vikamas Bar. 3 No.4, RT.4/RW.3, Kapuk Muara, Kec. Penjaringan, Jkt Utara, Daerah Khusus Ibukota Jakarta 14460</t>
  </si>
  <si>
    <t>RT.4/RW.3, Kapuk Muara, Kec. Penjaringan, Jkt Utara</t>
  </si>
  <si>
    <t>https://maps.google.com/?cid=0x0:0x1d71300872a1fc07</t>
  </si>
  <si>
    <t>Komplek Taman Tirta Sunter 1</t>
  </si>
  <si>
    <t>Jl. Taman Tirta Sunter 1 No.7, RT.7/RW.14, Sunter Jaya, Kec. Tj. Priok, Jkt Utara, Daerah Khusus Ibukota Jakarta 14250</t>
  </si>
  <si>
    <t>RT.7/RW.14, Sunter Jaya, Kec. Tj. Priok, Jkt Utara</t>
  </si>
  <si>
    <t>https://maps.google.com/?cid=0x0:0xf6f1fcd6244139a7</t>
  </si>
  <si>
    <t>Sadhnani Residence</t>
  </si>
  <si>
    <t>RVRC+M3M, Jl. Sunter Mas Barat 2, RT.2/RW.8, Sunter Jaya, Kec. Tj. Priok, Jkt Utara, Daerah Khusus Ibukota Jakarta 14360</t>
  </si>
  <si>
    <t>Jl. Sunter Mas Barat 2, RT.2/RW.8, Sunter Jaya, Kec. Tj. Priok, Jkt Utara</t>
  </si>
  <si>
    <t>https://maps.google.com/?cid=0x0:0x3b7cf1daedeb3cc3</t>
  </si>
  <si>
    <t>Perum. Malaka Permai</t>
  </si>
  <si>
    <t>Jl. Komp. Perumahan Jl. Malaka Permai, RT.17/RW.6, Rorotan, Kec. Cilincing, Jkt Utara, Daerah Khusus Ibukota Jakarta 14140</t>
  </si>
  <si>
    <t>RT.17/RW.6, Rorotan, Kec. Cilincing, Jkt Utara</t>
  </si>
  <si>
    <t>https://maps.google.com/?cid=0x0:0xa4e08f9988b4f001</t>
  </si>
  <si>
    <t>lamudi.co.id</t>
  </si>
  <si>
    <t>Pesona Rorotan</t>
  </si>
  <si>
    <t>Jl. Rorotan Mas, RT.14/RW.7, Rorotan, Kec. Cilincing, Jkt Utara, Daerah Khusus Ibukota Jakarta 14140</t>
  </si>
  <si>
    <t>RT.14/RW.7, Rorotan, Kec. Cilincing, Jkt Utara</t>
  </si>
  <si>
    <t>https://maps.google.com/?cid=0x0:0x5d1aae0aad5f3efd</t>
  </si>
  <si>
    <t>perumahan Marunda Baru</t>
  </si>
  <si>
    <t>Jl. Marunda Baru 12 No.2 5, RT.5/RW.3, Marunda, Kec. Cilincing, Jkt Utara, Daerah Khusus Ibukota Jakarta 14150</t>
  </si>
  <si>
    <t>RT.5/RW.3, Marunda, Kec. Cilincing, Jkt Utara</t>
  </si>
  <si>
    <t>https://maps.google.com/?cid=0x0:0x4cbfbd4d2f4042fa</t>
  </si>
  <si>
    <t>Perumahan mekarjaya</t>
  </si>
  <si>
    <t>Jl. Muara Baru No.16, RT.6/RW.17, Penjaringan, Kec. Penjaringan, Jkt Utara, Daerah Khusus Ibukota Jakarta 14440</t>
  </si>
  <si>
    <t>RT.6/RW.17, Penjaringan, Kec. Penjaringan, Jkt Utara</t>
  </si>
  <si>
    <t>https://maps.google.com/?cid=0x0:0x7ce6f97d733b8866</t>
  </si>
  <si>
    <t>Bharwani Residence</t>
  </si>
  <si>
    <t>Block A2, Jl. Danau Indah Barat I No.18, Sunter Jaya, Tanjung Priok, North Jakarta City, Jakarta 14360</t>
  </si>
  <si>
    <t>Jl. Danau Indah Barat I No.18, Sunter Jaya, Tanjung Priok, North Jakarta City</t>
  </si>
  <si>
    <t>https://maps.google.com/?cid=0x0:0x3d9cdd4b1a91978b</t>
  </si>
  <si>
    <t>Perumahan Modern Mansion Garden</t>
  </si>
  <si>
    <t>Jl. Pinang Sari, Rorotan, Kec. Cilincing, Jkt Utara, Daerah Khusus Ibukota Jakarta 14140</t>
  </si>
  <si>
    <t>https://maps.google.com/?cid=0x0:0x7585bb3fbe2c86f</t>
  </si>
  <si>
    <t>Penginapan</t>
  </si>
  <si>
    <t>Grace Residence 2</t>
  </si>
  <si>
    <t>Jl. Sunter Indah XIII Blok KF2 No.7, RT.6/RW.10, Sunter Jaya, Tanjung Priok, North Jakarta City, Jakarta 14360</t>
  </si>
  <si>
    <t>RT.6/RW.10, Sunter Jaya, Tanjung Priok, North Jakarta City</t>
  </si>
  <si>
    <t>https://maps.google.com/?cid=0x0:0xdca65e3cfff6cc0d</t>
  </si>
  <si>
    <t>Komplek Perumahaan Green Garden</t>
  </si>
  <si>
    <t>3, RT.3/RW.1, Rorotan, Kec. Cilincing, Jkt Utara, Daerah Khusus Ibukota Jakarta 14140</t>
  </si>
  <si>
    <t>RT.3/RW.1, Rorotan, Kec. Cilincing, Jkt Utara</t>
  </si>
  <si>
    <t>https://maps.google.com/?cid=0x0:0xefd030607b4de1bf</t>
  </si>
  <si>
    <t>Perumahan Maddona Baru</t>
  </si>
  <si>
    <t>samping PT, Jl. Kapuk Muara Raya Dwibuana Kartika jaya No.32 2, RT.2/RW.1, Kapuk Muara, Kec. Penjaringan, Jkt Utara, Daerah Khusus Ibukota Jakarta 14460</t>
  </si>
  <si>
    <t>Jl. Kapuk Muara Raya Dwibuana Kartika jaya No.32 2, RT.2/RW.1, Kapuk Muara, Kec. Penjaringan, Jkt Utara</t>
  </si>
  <si>
    <t>https://maps.google.com/?cid=0x0:0xdb001a7ea21431f1</t>
  </si>
  <si>
    <t>KOMPLEK TUGU PERMAI</t>
  </si>
  <si>
    <t>Jl. H. Murtado No.66, RT.13/RW.2, Tugu Utara, Kec. Koja, Jkt Utara, Daerah Khusus Ibukota Jakarta 14260</t>
  </si>
  <si>
    <t>RT.13/RW.2, Tugu Utara, Kec. Koja, Jkt Utara</t>
  </si>
  <si>
    <t>https://maps.google.com/?cid=0x0:0xc103df1c46628eef</t>
  </si>
  <si>
    <t>Perumahan Puri Intan</t>
  </si>
  <si>
    <t>Jl. Griya Pratama VII No.019, RT.3/RW.7, Pegangsaan Dua, Kec. Klp. Gading, Jkt Utara, Daerah Khusus Ibukota Jakarta 14250</t>
  </si>
  <si>
    <t>RT.3/RW.7, Pegangsaan Dua, Kec. Klp. Gading, Jkt Utara</t>
  </si>
  <si>
    <t>https://maps.google.com/?cid=0x0:0xbd863a241b5fe5df</t>
  </si>
  <si>
    <t>Kompleks Perumahan Mayang Permai - Pinisi Indah</t>
  </si>
  <si>
    <t>Jl. Mandara Permai VI No.3, RT.3/RW.7, Kapuk Muara, Kec. Penjaringan, Jkt Utara, Daerah Khusus Ibukota Jakarta 14460</t>
  </si>
  <si>
    <t>RT.3/RW.7, Kapuk Muara, Kec. Penjaringan, Jkt Utara</t>
  </si>
  <si>
    <t>https://maps.google.com/?cid=0x0:0xbf344dbb9316114d</t>
  </si>
  <si>
    <t>Pinisi permai</t>
  </si>
  <si>
    <t>Jl. Pinisi Permai 5 No.3216, RT.6/RW.7, Kapuk Muara, Kec. Penjaringan, Jkt Utara, Daerah Khusus Ibukota Jakarta 14460</t>
  </si>
  <si>
    <t>RT.6/RW.7, Kapuk Muara, Kec. Penjaringan, Jkt Utara</t>
  </si>
  <si>
    <t>https://maps.google.com/?cid=0x0:0x81bc9854865ee641</t>
  </si>
  <si>
    <t>perumahan puri kamal</t>
  </si>
  <si>
    <t>WP36+XXC, Jl. Perumahan Puri Kamal, Kamal Muara, Kec. Penjaringan, Jkt Utara, Daerah Khusus Ibukota Jakarta 14470</t>
  </si>
  <si>
    <t>Jl. Perumahan Puri Kamal, Kamal Muara, Kec. Penjaringan, Jkt Utara</t>
  </si>
  <si>
    <t>https://maps.google.com/?cid=0x0:0x43e1fbfcc212cb79</t>
  </si>
  <si>
    <t>Ludjipau Residence</t>
  </si>
  <si>
    <t>Jl. Gembira II No.9E, RT.7/RW.07, Sungai Bambu, Kec. Tj. Priok, Jkt Utara, Daerah Khusus Ibukota Jakarta 14330</t>
  </si>
  <si>
    <t>RT.7/RW.07, Sungai Bambu, Kec. Tj. Priok, Jkt Utara</t>
  </si>
  <si>
    <t>https://maps.google.com/?cid=0x0:0x3803d22d6354d3de</t>
  </si>
  <si>
    <t>Taman Sunter Agung 3</t>
  </si>
  <si>
    <t>Jl. Bisma Tim. 2 No.12, RT.12/RW.9, Papanggo, Kec. Tj. Priok, Jkt Utara, Daerah Khusus Ibukota Jakarta 14340</t>
  </si>
  <si>
    <t>RT.12/RW.9, Papanggo, Kec. Tj. Priok, Jkt Utara</t>
  </si>
  <si>
    <t>https://maps.google.com/?cid=0x0:0xc8b5a4626a84435a</t>
  </si>
  <si>
    <t>Permata Residence</t>
  </si>
  <si>
    <t>Jl. Rorotan IX Gg. I No.10 1, RT.3/RW.7, Rorotan, Kec. Cilincing, Jkt Utara, Daerah Khusus Ibukota Jakarta 14140</t>
  </si>
  <si>
    <t>RT.3/RW.7, Rorotan, Kec. Cilincing, Jkt Utara</t>
  </si>
  <si>
    <t>https://maps.google.com/?cid=0x0:0xfc1de3ca4d473606</t>
  </si>
  <si>
    <t>Komplek DAMAI RESIDENCE, Jl. Damai No.30-B 9, RT.9/RW.2, Ciganjur, Kec. Jagakarsa, Kota Jakarta Selatan, Daerah Khusus Ibukota Jakarta 12630</t>
  </si>
  <si>
    <t>Jl. Damai No.30-B 9, RT.9/RW.2, Ciganjur, Kec. Jagakarsa, Kota Jakarta Selatan</t>
  </si>
  <si>
    <t>https://maps.google.com/?cid=0x0:0x76a01ad925912bc1</t>
  </si>
  <si>
    <t>1, Jl. Batas Dua No.RT.01 1, RT.1/RW.3, Jagakarsa, Kec. Jagakarsa, Kota Jakarta Selatan, Daerah Khusus Ibukota Jakarta 12620</t>
  </si>
  <si>
    <t>Jl. Batas Dua No.RT.01 1, RT.1/RW.3, Jagakarsa, Kec. Jagakarsa, Kota Jakarta Selatan</t>
  </si>
  <si>
    <t>https://maps.google.com/?cid=0x0:0x61401873dcca77b3</t>
  </si>
  <si>
    <t>huni.id</t>
  </si>
  <si>
    <t>No., Jl. H. Ramli No.6, RT.2/RW.3, Menteng Dalam, Kec. Tebet, Kota Jakarta Selatan, Daerah Khusus Ibukota Jakarta 12870</t>
  </si>
  <si>
    <t>Jl. H. Ramli No.6, RT.2/RW.3, Menteng Dalam, Kec. Tebet, Kota Jakarta Selatan</t>
  </si>
  <si>
    <t>https://maps.google.com/?cid=0x0:0xa7bcb18ecf3b63b0</t>
  </si>
  <si>
    <t>Oasis Eight Residence</t>
  </si>
  <si>
    <t>No., Jl. Nimun Raya No.34, RT.8/RW.10, Kby. Lama Sel., Kec. Kby. Lama, Kota Jakarta Selatan, Daerah Khusus Ibukota Jakarta 12240</t>
  </si>
  <si>
    <t>Jl. Nimun Raya No.34, RT.8/RW.10, Kby. Lama Sel., Kec. Kby. Lama, Kota Jakarta Selatan</t>
  </si>
  <si>
    <t>https://maps.google.com/?cid=0x0:0xbb9493aabba88a75</t>
  </si>
  <si>
    <t>Ratu Residence Setiabudi</t>
  </si>
  <si>
    <t>Jl. Setia Budi Timur 1 No.2 2, RT.2/RW.1, Kuningan, Setia Budi, Kecamatan Setiabudi, Kota Jakarta Selatan, Daerah Khusus Ibukota Jakarta 12910</t>
  </si>
  <si>
    <t>RT.2/RW.1, Kuningan, Setia Budi, Kecamatan Setiabudi, Kota Jakarta Selatan</t>
  </si>
  <si>
    <t>https://maps.google.com/?cid=0x0:0x74b9d64f4d41e266</t>
  </si>
  <si>
    <t>Perumahan Taman Gandaria</t>
  </si>
  <si>
    <t>Perumahan Jl. Taman Gandaria No.26 Blk. B, North Kebayoran Lama, Kebayoran Lama, South Jakarta City, Jakarta 12240</t>
  </si>
  <si>
    <t>North Kebayoran Lama, Kebayoran Lama, South Jakarta City</t>
  </si>
  <si>
    <t>https://maps.google.com/?cid=0x0:0x718533191328a242</t>
  </si>
  <si>
    <t>Establishment</t>
  </si>
  <si>
    <t>Astoria Residence</t>
  </si>
  <si>
    <t>Jl. Pangeran Antasari No.6, RT.10/RW.1, Cilandak Bar., Kec. Cilandak, Kota Jakarta Selatan, Daerah Khusus Ibukota Jakarta 12430</t>
  </si>
  <si>
    <t>RT.10/RW.1, Cilandak Bar., Kec. Cilandak, Kota Jakarta Selatan</t>
  </si>
  <si>
    <t>https://maps.google.com/?cid=0x0:0xefc65afd132ee48c</t>
  </si>
  <si>
    <t>Hakasan Residence</t>
  </si>
  <si>
    <t>Jl. Cilandak 1 No.24, RT.2/RW.1, Cilandak Bar., Kec. Cilandak, Kota Jakarta Selatan, Daerah Khusus Ibukota Jakarta 12430</t>
  </si>
  <si>
    <t>RT.2/RW.1, Cilandak Bar., Kec. Cilandak, Kota Jakarta Selatan</t>
  </si>
  <si>
    <t>https://maps.google.com/?cid=0x0:0xb1f67eccd4d4474b</t>
  </si>
  <si>
    <t>The Pakubuwono Residence</t>
  </si>
  <si>
    <t>Jl. Pakubuwono VI No.68, RT.3/RW.1, Gunung, Kec. Kby. Baru, Kota Jakarta Selatan, Daerah Khusus Ibukota Jakarta 12120</t>
  </si>
  <si>
    <t>RT.3/RW.1, Gunung, Kec. Kby. Baru, Kota Jakarta Selatan</t>
  </si>
  <si>
    <t>https://maps.google.com/?cid=0x0:0x9502f47eb8381d75</t>
  </si>
  <si>
    <t>Apartemen Tamansari Semanggi</t>
  </si>
  <si>
    <t>QRF9+FMC, Jl. Komp. Polri No.134 8, RT.8/RW.2, Karet Semanggi, Kecamatan Setiabudi, Kota Jakarta Selatan, Daerah Khusus Ibukota Jakarta 12930</t>
  </si>
  <si>
    <t>Jl. Komp. Polri No.134 8, RT.8/RW.2, Karet Semanggi, Kecamatan Setiabudi, Kota Jakarta Selatan</t>
  </si>
  <si>
    <t>https://maps.google.com/?cid=0x0:0x2f85bf1dd3341995</t>
  </si>
  <si>
    <t>Apartemen Taman Rasuna</t>
  </si>
  <si>
    <t>Apartemen taman rasuna, RT.16/RW.1, Menteng Atas, Kecamatan Setiabudi, Kota Jakarta Selatan, Daerah Khusus Ibukota Jakarta 12960</t>
  </si>
  <si>
    <t>RT.16/RW.1, Menteng Atas, Kecamatan Setiabudi, Kota Jakarta Selatan</t>
  </si>
  <si>
    <t>https://maps.google.com/?cid=0x0:0x2e8ddc0ba471ecb1</t>
  </si>
  <si>
    <t>Permata Hijau Residence</t>
  </si>
  <si>
    <t>Jl. Kalimaya No.48 5, RT.6/RW.9, Grogol Utara, Kec. Kby. Lama, Kota Jakarta Selatan, Daerah Khusus Ibukota Jakarta 12210</t>
  </si>
  <si>
    <t>RT.6/RW.9, Grogol Utara, Kec. Kby. Lama, Kota Jakarta Selatan</t>
  </si>
  <si>
    <t>https://maps.google.com/?cid=0x0:0x6eaf17ea930dff10</t>
  </si>
  <si>
    <t>Apartemen Permata Hijau</t>
  </si>
  <si>
    <t>Jl. Permata Hijau No.8 Blok B, RT.008/RW.2, Grogol Utara, Kec. Kby. Lama, Kota Jakarta Selatan, Daerah Khusus Ibukota Jakarta 12210</t>
  </si>
  <si>
    <t>RT.008/RW.2, Grogol Utara, Kec. Kby. Lama, Kota Jakarta Selatan</t>
  </si>
  <si>
    <t>https://maps.google.com/?cid=0x0:0x6f5e73c022ed3b66</t>
  </si>
  <si>
    <t>Guest house</t>
  </si>
  <si>
    <t>Senayan Residence</t>
  </si>
  <si>
    <t>Jl. Patal Senayan 1 No.5, RT.1/RW.7, Grogol Utara, Kec. Kby. Lama, Kota Jakarta Selatan, Daerah Khusus Ibukota Jakarta 12210</t>
  </si>
  <si>
    <t>RT.1/RW.7, Grogol Utara, Kec. Kby. Lama, Kota Jakarta Selatan</t>
  </si>
  <si>
    <t>https://maps.google.com/?cid=0x0:0x25fd3e1448e378dd</t>
  </si>
  <si>
    <t>Hotel bintang 3</t>
  </si>
  <si>
    <t>Utopia Residence</t>
  </si>
  <si>
    <t>Jalan Cilandak Tengah No.28, RT.2/RW.1, Cilandak Barat, Cilandak, RT.9/RW.13, Cilandak Bar., Kec. Cilandak, Kota Jakarta Selatan, Daerah Khusus Ibukota Jakarta 12430</t>
  </si>
  <si>
    <t>RT.2/RW.1, Cilandak Barat, Cilandak, RT.9/RW.13, Cilandak Bar., Kec. Cilandak, Kota Jakarta Selatan</t>
  </si>
  <si>
    <t>https://maps.google.com/?cid=0x0:0x3343c8034928d5d0</t>
  </si>
  <si>
    <t>Housing</t>
  </si>
  <si>
    <t>Komplek pusri petukangan utara</t>
  </si>
  <si>
    <t>Komp. Pusri, Jl. Kostrad pusri Raya, RT.6/RW.6, Petukangan Utara, Kec. Pesanggrahan, Kota Jakarta Selatan, Daerah Khusus Ibukota Jakarta 12260</t>
  </si>
  <si>
    <t>Jl. Kostrad pusri Raya, RT.6/RW.6, Petukangan Utara, Kec. Pesanggrahan, Kota Jakarta Selatan</t>
  </si>
  <si>
    <t>https://maps.google.com/?cid=0x0:0xdf3b95db7d7b17f0</t>
  </si>
  <si>
    <t>Kafe</t>
  </si>
  <si>
    <t>Grand Manggala Residence</t>
  </si>
  <si>
    <t>Jl. Perikanan II No.67, RT.6/RW.8, Srengseng Sawah, Kec. Jagakarsa, Kota Jakarta Selatan, Daerah Khusus Ibukota Jakarta 12640</t>
  </si>
  <si>
    <t>RT.6/RW.8, Srengseng Sawah, Kec. Jagakarsa, Kota Jakarta Selatan</t>
  </si>
  <si>
    <t>https://maps.google.com/?cid=0x0:0x308ce0044d4d09c9</t>
  </si>
  <si>
    <t>Komplek Kebayoran Center</t>
  </si>
  <si>
    <t>Jl. Kebayoran Baru No.12, RT.8/RW.1, Kby. Lama Utara, Kec. Kby. Lama, Kota Jakarta Selatan, Daerah Khusus Ibukota Jakarta 12220</t>
  </si>
  <si>
    <t>RT.8/RW.1, Kby. Lama Utara, Kec. Kby. Lama, Kota Jakarta Selatan</t>
  </si>
  <si>
    <t>https://maps.google.com/?cid=0x0:0x2d191101fe00f5d1</t>
  </si>
  <si>
    <t>Anggur Barat Residence</t>
  </si>
  <si>
    <t>PRG2+8WJ, RT.12/RW.3, Cipete Sel., Kec. Cilandak, Kota Jakarta Selatan, Daerah Khusus Ibukota Jakarta 12410</t>
  </si>
  <si>
    <t>RT.12/RW.3, Cipete Sel., Kec. Cilandak, Kota Jakarta Selatan</t>
  </si>
  <si>
    <t>https://maps.google.com/?cid=0x0:0xc6793a199b66becd</t>
  </si>
  <si>
    <t>Jagakarsa Residence</t>
  </si>
  <si>
    <t>Jl. Kebagusan Raya No.24, Jagakarsa, Kec. Jagakarsa, Kota Jakarta Selatan, Daerah Khusus Ibukota Jakarta 12620</t>
  </si>
  <si>
    <t>Jagakarsa, Kec. Jagakarsa, Kota Jakarta Selatan</t>
  </si>
  <si>
    <t>https://maps.google.com/?cid=0x0:0xd3f4496a3004a20d</t>
  </si>
  <si>
    <t>Grand Jagakarsa</t>
  </si>
  <si>
    <t>MR9G+C6X, Jl. Grand Jagakarsa, RT.9/RW.7, Jagakarsa, Kec. Jagakarsa, Kota Jakarta Selatan, Daerah Khusus Ibukota Jakarta 12620</t>
  </si>
  <si>
    <t>Jl. Grand Jagakarsa, RT.9/RW.7, Jagakarsa, Kec. Jagakarsa, Kota Jakarta Selatan</t>
  </si>
  <si>
    <t>https://maps.google.com/?cid=0x0:0x21f2cf3125612dd9</t>
  </si>
  <si>
    <t>Permata Hijau Mansion</t>
  </si>
  <si>
    <t>Jl. Limo No.10, Grogol Sel., Kec. Kby. Lama, Kota Jakarta Selatan, Daerah Khusus Ibukota Jakarta 12210</t>
  </si>
  <si>
    <t>Grogol Sel., Kec. Kby. Lama, Kota Jakarta Selatan</t>
  </si>
  <si>
    <t>https://maps.google.com/?cid=0x0:0xa17ef068bef453cc</t>
  </si>
  <si>
    <t>permatahijaumansion.co.id</t>
  </si>
  <si>
    <t>Komplek Bappenas</t>
  </si>
  <si>
    <t>Jl. Mampang Prapatan VIII Blok R8, RT.1/RW.1, Tegal ParangKec, Kec. Mampang Prpt., Kota Jakarta Selatan, Daerah Khusus Ibukota Jakarta 12790</t>
  </si>
  <si>
    <t>RT.1/RW.1, Tegal ParangKec, Kec. Mampang Prpt., Kota Jakarta Selatan</t>
  </si>
  <si>
    <t>https://maps.google.com/?cid=0x0:0xbdc9c6422016093e</t>
  </si>
  <si>
    <t>Pancoran Metropolitan 14 Residence</t>
  </si>
  <si>
    <t>Jl. Pancoran Barat I No.14, RT.3/RW.6, Pancoran, Kec. Pancoran, Kota Jakarta Selatan, Daerah Khusus Ibukota Jakarta 12780</t>
  </si>
  <si>
    <t>RT.3/RW.6, Pancoran, Kec. Pancoran, Kota Jakarta Selatan</t>
  </si>
  <si>
    <t>https://maps.google.com/?cid=0x0:0x1a7d485408314040</t>
  </si>
  <si>
    <t>Terrazzo Residence</t>
  </si>
  <si>
    <t>Jl. Kebagusan IV Dalam No.59, RT.6/RW.4, Kebagusan, Ps. Minggu, Kota Jakarta Selatan, Daerah Khusus Ibukota Jakarta 12520</t>
  </si>
  <si>
    <t>RT.6/RW.4, Kebagusan, Ps. Minggu, Kota Jakarta Selatan</t>
  </si>
  <si>
    <t>https://maps.google.com/?cid=0x0:0xb5fdc38a43d993e9</t>
  </si>
  <si>
    <t>Pondok Hijau</t>
  </si>
  <si>
    <t>Jl. Jati Murni Dalam No.24, RT.5/RW.2, Jati Padang, Ps. Minggu, Kota Jakarta Selatan, Daerah Khusus Ibukota Jakarta 12540</t>
  </si>
  <si>
    <t>RT.5/RW.2, Jati Padang, Ps. Minggu, Kota Jakarta Selatan</t>
  </si>
  <si>
    <t>https://maps.google.com/?cid=0x0:0xf4dc8e65a9a825be</t>
  </si>
  <si>
    <t>Matas Residence</t>
  </si>
  <si>
    <t>MRR7+2R6, RT.14/RW.8, Ragunan, Ps. Minggu, Kota Jakarta Selatan, Daerah Khusus Ibukota Jakarta 12550</t>
  </si>
  <si>
    <t>RT.14/RW.8, Ragunan, Ps. Minggu, Kota Jakarta Selatan</t>
  </si>
  <si>
    <t>https://maps.google.com/?cid=0x0:0xd4fede2ea27d2e4d</t>
  </si>
  <si>
    <t>Perumahan STHANA Residence</t>
  </si>
  <si>
    <t>Jl. Jeruk Purut No.27, RT.4/RW.3, Cilandak Tim., Ps. Minggu, Kota Jakarta Selatan, Daerah Khusus Ibukota Jakarta 12560</t>
  </si>
  <si>
    <t>RT.4/RW.3, Cilandak Tim., Ps. Minggu, Kota Jakarta Selatan</t>
  </si>
  <si>
    <t>https://maps.google.com/?cid=0x0:0xb504c8b9362f0166</t>
  </si>
  <si>
    <t>Perumahan Nuansa Pesanggrahan</t>
  </si>
  <si>
    <t>Perumahan Nuansa Pesanggrahan No.C5, South Petukangan, Pesanggrahan, South Jakarta City, Jakarta 12270</t>
  </si>
  <si>
    <t>South Petukangan, Pesanggrahan, South Jakarta City</t>
  </si>
  <si>
    <t>https://maps.google.com/?cid=0x0:0x78dcc5a18c21955a</t>
  </si>
  <si>
    <t>Ozone Residence</t>
  </si>
  <si>
    <t>PQP6+45G, Jl. YRS III, RT.10/RW.6, Bintaro, Kec. Pesanggrahan, Kota Jakarta Selatan, Daerah Khusus Ibukota Jakarta 12330</t>
  </si>
  <si>
    <t>Jl. YRS III, RT.10/RW.6, Bintaro, Kec. Pesanggrahan, Kota Jakarta Selatan</t>
  </si>
  <si>
    <t>https://maps.google.com/?cid=0x0:0x84a2ca1f13844bb2</t>
  </si>
  <si>
    <t>The Day Residence</t>
  </si>
  <si>
    <t>Jl. Karet Sawah 1 No.100, RT.10/RW.3, Kuningan, Karet Semanggi, Kecamatan Setiabudi, Kota Jakarta Selatan, Daerah Khusus Ibukota Jakarta 12930</t>
  </si>
  <si>
    <t>RT.10/RW.3, Kuningan, Karet Semanggi, Kecamatan Setiabudi, Kota Jakarta Selatan</t>
  </si>
  <si>
    <t>https://maps.google.com/?cid=0x0:0x49f10b2a49c835bc</t>
  </si>
  <si>
    <t>Kuningan Village Studio</t>
  </si>
  <si>
    <t>1, Karet, Jl. Karbela Timur No.42-46, RT.1/RW.5, Karet Kuningan, Kota Jakarta Selatan, Daerah Khusus Ibukota Jakarta 12920</t>
  </si>
  <si>
    <t>Karet, Jl. Karbela Timur No.42-46, RT.1/RW.5, Karet Kuningan, Kota Jakarta Selatan</t>
  </si>
  <si>
    <t>https://maps.google.com/?cid=0x0:0xaa3f67c6d9374c9a</t>
  </si>
  <si>
    <t>BALIVIUEW kintamani</t>
  </si>
  <si>
    <t>cluster kintamani, Jl. Denpasar Raya No.9 blok D2, Kuningan, Karet Kuningan, Setiabudi, South Jakarta City, Jakarta 12940</t>
  </si>
  <si>
    <t>Jl. Denpasar Raya No.9 blok D2, Kuningan, Karet Kuningan, Setiabudi, South Jakarta City</t>
  </si>
  <si>
    <t>https://maps.google.com/?cid=0x0:0xdc54d684eded85a8</t>
  </si>
  <si>
    <t>LeGreen Suite Office Kuningan</t>
  </si>
  <si>
    <t>Jl. Setia Budi Tengah No.89, RT.1/RW.1, Kuningan, Setia Budi, Kecamatan Setiabudi, Kota Jakarta Selatan, Daerah Khusus Ibukota Jakarta 12910</t>
  </si>
  <si>
    <t>RT.1/RW.1, Kuningan, Setia Budi, Kecamatan Setiabudi, Kota Jakarta Selatan</t>
  </si>
  <si>
    <t>https://maps.google.com/?cid=0x0:0x69b6e0f078740ee9</t>
  </si>
  <si>
    <t>Swiss-Belresidences Rasuna Epicentrum</t>
  </si>
  <si>
    <t>Rasuna Epicentrum, Komplek Jl. Epicentrum Boulevard Tim., Karet, Kecamatan Setiabudi, Kota Jakarta Selatan, Daerah Khusus Ibukota Jakarta 12940</t>
  </si>
  <si>
    <t>Komplek Jl. Epicentrum Boulevard Tim., Karet, Kecamatan Setiabudi, Kota Jakarta Selatan</t>
  </si>
  <si>
    <t>https://maps.google.com/?cid=0x0:0xa9e73e8379f66730</t>
  </si>
  <si>
    <t>Grand Tebet Suites (GTS)</t>
  </si>
  <si>
    <t>Jl. Rambutan No.38B, RT.3/RW.7, Manggarai Sel., Kec. Tebet, Kota Jakarta Selatan, Daerah Khusus Ibukota Jakarta 12860</t>
  </si>
  <si>
    <t>RT.3/RW.7, Manggarai Sel., Kec. Tebet, Kota Jakarta Selatan</t>
  </si>
  <si>
    <t>https://maps.google.com/?cid=0x0:0x15713262bce41f12</t>
  </si>
  <si>
    <t>Komplek Bina Marga No.1</t>
  </si>
  <si>
    <t>Komplek Bina Marga No.1/001, RT.10, Jl. Tanah Kusir, RT.12/RW.1, South Kebayoran Lama, Kebayoran Lama, South Jakarta City, Jakarta 12240</t>
  </si>
  <si>
    <t>RT.10, Jl. Tanah Kusir, RT.12/RW.1, South Kebayoran Lama, Kebayoran Lama, South Jakarta City</t>
  </si>
  <si>
    <t>https://maps.google.com/?cid=0x0:0xed5e0818831c9922</t>
  </si>
  <si>
    <t>KOMPLEK AKADEMI TNI (AKABRI) MENTENG PULO</t>
  </si>
  <si>
    <t>RT.11/RW.8, Menteng Atas, Kecamatan Setiabudi, Kota Jakarta Selatan, Daerah Khusus Ibukota Jakarta 12960</t>
  </si>
  <si>
    <t>Menteng Atas, Kecamatan Setiabudi, Kota Jakarta Selatan</t>
  </si>
  <si>
    <t>https://maps.google.com/?cid=0x0:0xbbaa3be11fbfb99a</t>
  </si>
  <si>
    <t>Casa Royal Town House</t>
  </si>
  <si>
    <t>Komp. Casa Royal Town House, Jl. Asem II, RT.13/RW.2, Cipete Sel., Kec. Cilandak, Kota Jakarta Selatan, Daerah Khusus Ibukota Jakarta 12410</t>
  </si>
  <si>
    <t>Jl. Asem II, RT.13/RW.2, Cipete Sel., Kec. Cilandak, Kota Jakarta Selatan</t>
  </si>
  <si>
    <t>https://maps.google.com/?cid=0x0:0xf8c97831e5ddeda7</t>
  </si>
  <si>
    <t>Komplek BRI Cipete Raya</t>
  </si>
  <si>
    <t>Jl. BRI No.19 7, RT.7/RW.1, Cipete Sel., Kec. Cilandak, Kota Jakarta Selatan, Daerah Khusus Ibukota Jakarta 12410</t>
  </si>
  <si>
    <t>RT.7/RW.1, Cipete Sel., Kec. Cilandak, Kota Jakarta Selatan</t>
  </si>
  <si>
    <t>https://maps.google.com/?cid=0x0:0xb175e0da5736be42</t>
  </si>
  <si>
    <t>Puri Mutiara VII</t>
  </si>
  <si>
    <t>Jl. Puri Mutiara VII No.18E 4, RT.4/RW.6, Cipete Sel., Kec. Cilandak, Kota Jakarta Selatan, Daerah Khusus Ibukota Jakarta 12410</t>
  </si>
  <si>
    <t>RT.4/RW.6, Cipete Sel., Kec. Cilandak, Kota Jakarta Selatan</t>
  </si>
  <si>
    <t>https://maps.google.com/?cid=0x0:0x1d60f0f431d6dae9</t>
  </si>
  <si>
    <t>Puri Palimanan</t>
  </si>
  <si>
    <t>Jl. Gaharu I No.37, RT.8/RW.4, Cipete Sel., Kec. Cilandak, Kota Jakarta Selatan, Daerah Khusus Ibukota Jakarta 12410</t>
  </si>
  <si>
    <t>RT.8/RW.4, Cipete Sel., Kec. Cilandak, Kota Jakarta Selatan</t>
  </si>
  <si>
    <t>https://maps.google.com/?cid=0x0:0x532b33b01e03127d</t>
  </si>
  <si>
    <t>Komplek Marinir Cilandak</t>
  </si>
  <si>
    <t>Jl. Memed Raya No.9 9, RT.9/RW.5, Cilandak Tim., Ps. Minggu, Kota Jakarta Selatan, Daerah Khusus Ibukota Jakarta 12560</t>
  </si>
  <si>
    <t>RT.9/RW.5, Cilandak Tim., Ps. Minggu, Kota Jakarta Selatan</t>
  </si>
  <si>
    <t>https://maps.google.com/?cid=0x0:0x4bd0e1bbd644bee1</t>
  </si>
  <si>
    <t>Mako Residence</t>
  </si>
  <si>
    <t>Jl. Taman Gandaria No.26, RT.8/RW.3, Gandaria Sel., Kec. Cilandak, Kota Jakarta Selatan, Daerah Khusus Ibukota Jakarta 12420</t>
  </si>
  <si>
    <t>RT.8/RW.3, Gandaria Sel., Kec. Cilandak, Kota Jakarta Selatan</t>
  </si>
  <si>
    <t>https://maps.google.com/?cid=0x0:0xfbecfa4f3b96eab7</t>
  </si>
  <si>
    <t>Perumahan Lemigas Pondok Labu</t>
  </si>
  <si>
    <t>Jl. Taman Wijaya Kusuma II Ujung No.6 8, RT.8/RW.4, Pd. Labu, Kec. Cilandak, Kota Jakarta Selatan, Daerah Khusus Ibukota Jakarta 12450</t>
  </si>
  <si>
    <t>RT.8/RW.4, Pd. Labu, Kec. Cilandak, Kota Jakarta Selatan</t>
  </si>
  <si>
    <t>https://maps.google.com/?cid=0x0:0xa64afd3a2e6289b3</t>
  </si>
  <si>
    <t>Green Intan Residence</t>
  </si>
  <si>
    <t>Jalan Intan RSPP, RT. 11/02, Cilandak Barat, Cilandak, RT.11/RW.2, Cilandak Barat, RT.11/RW.2, Cilandak Bar., Kec. Cilandak, Kota Jakarta Selatan, Daerah Khusus Ibukota Jakarta 12430</t>
  </si>
  <si>
    <t>RT. 11/02, Cilandak Barat, Cilandak, RT.11/RW.2, Cilandak Barat, RT.11/RW.2, Cilandak Bar., Kec. Cilandak, Kota Jakarta Selatan</t>
  </si>
  <si>
    <t>https://maps.google.com/?cid=0x0:0xc064ee74022e19a3</t>
  </si>
  <si>
    <t>Cilandak Dua Residence</t>
  </si>
  <si>
    <t>Jl. BDN II No.52 15, RT.15/RW.13, Cilandak Bar., Kec. Cilandak, Kota Jakarta Selatan, Daerah Khusus Ibukota Jakarta 12430</t>
  </si>
  <si>
    <t>RT.15/RW.13, Cilandak Bar., Kec. Cilandak, Kota Jakarta Selatan</t>
  </si>
  <si>
    <t>https://maps.google.com/?cid=0x0:0x1fd4a2d058dd8f5c</t>
  </si>
  <si>
    <t>Double Seven Residence</t>
  </si>
  <si>
    <t>Jl. Lebak Bulus II No.77 3, RT.3/RW.13, Cilandak Bar., Kec. Cilandak, Kota Jakarta Selatan, Daerah Khusus Ibukota Jakarta 12430</t>
  </si>
  <si>
    <t>RT.3/RW.13, Cilandak Bar., Kec. Cilandak, Kota Jakarta Selatan</t>
  </si>
  <si>
    <t>https://maps.google.com/?cid=0x0:0xc36ebd06a5760f2e</t>
  </si>
  <si>
    <t>D’puri Cilandak Townhouse</t>
  </si>
  <si>
    <t>Jl. Cilandak Dalam I No.15 16, RT.6/RW.13, West Cilandak, Cilandak, South Jakarta City, Jakarta 12430</t>
  </si>
  <si>
    <t>RT.6/RW.13, West Cilandak, Cilandak, South Jakarta City</t>
  </si>
  <si>
    <t>https://maps.google.com/?cid=0x0:0xb212fbdd0fca2886</t>
  </si>
  <si>
    <t>Terogong Residence</t>
  </si>
  <si>
    <t>Jl.Terogong III No.10, Cilandak Bar., Kec. Cilandak, Kota Jakarta Selatan, Daerah Khusus Ibukota Jakarta 12430</t>
  </si>
  <si>
    <t>Cilandak Bar., Kec. Cilandak, Kota Jakarta Selatan</t>
  </si>
  <si>
    <t>https://maps.google.com/?cid=0x0:0xfac806ede55b747d</t>
  </si>
  <si>
    <t>Bona Vista Residence</t>
  </si>
  <si>
    <t>Jl. Bona Vista Raya, RT.06/RW.8, Lb. Bulus, Kec. Cilandak, Kota Jakarta Selatan, Daerah Khusus Ibukota Jakarta 12440</t>
  </si>
  <si>
    <t>RT.06/RW.8, Lb. Bulus, Kec. Cilandak, Kota Jakarta Selatan</t>
  </si>
  <si>
    <t>https://maps.google.com/?cid=0x0:0x2725522e541868f7</t>
  </si>
  <si>
    <t>Komp. Perumahan Kejaksaan Agung</t>
  </si>
  <si>
    <t>Jl. Adhyaksa VII No.3, RT.3/RW.5, Lb. Bulus, Kec. Cilandak, Kota Jakarta Selatan, Daerah Khusus Ibukota Jakarta 12440</t>
  </si>
  <si>
    <t>RT.3/RW.5, Lb. Bulus, Kec. Cilandak, Kota Jakarta Selatan</t>
  </si>
  <si>
    <t>https://maps.google.com/?cid=0x0:0xf45b16ab1669fc5d</t>
  </si>
  <si>
    <t>Perumahan Bumi Karang Indah</t>
  </si>
  <si>
    <t>Jl. Karang Asri Raya Blok C8, Lebak Bulus, Cilandak, South Jakarta City, Jakarta 12440</t>
  </si>
  <si>
    <t>Lebak Bulus, Cilandak, South Jakarta City</t>
  </si>
  <si>
    <t>https://maps.google.com/?cid=0x0:0x784243d5218a05ba</t>
  </si>
  <si>
    <t>MIRAL 5 Residence</t>
  </si>
  <si>
    <t>Jl. Kamboja No.3 12, RT.7/RW.8, Lb. Bulus, Kec. Cilandak, Kota Jakarta Selatan, Daerah Khusus Ibukota Jakarta 12440</t>
  </si>
  <si>
    <t>RT.7/RW.8, Lb. Bulus, Kec. Cilandak, Kota Jakarta Selatan</t>
  </si>
  <si>
    <t>https://maps.google.com/?cid=0x0:0x1713fcb914bae64d</t>
  </si>
  <si>
    <t>ARDEN RESIDENCE</t>
  </si>
  <si>
    <t>MRV4+8X2, Jl. Bango III, RT.9/RW.3, Pd. Labu, Kec. Cilandak, Kota Jakarta Selatan, Daerah Khusus Ibukota Jakarta 12450</t>
  </si>
  <si>
    <t>Jl. Bango III, RT.9/RW.3, Pd. Labu, Kec. Cilandak, Kota Jakarta Selatan</t>
  </si>
  <si>
    <t>https://maps.google.com/?cid=0x0:0xfb200a15e3f94503</t>
  </si>
  <si>
    <t>Griya Adhi Praja</t>
  </si>
  <si>
    <t>Griya Adhi Praja No.5 7, RT.15/RW.5, Pd. Labu, Kec. Cilandak, Kota Jakarta Selatan, Daerah Khusus Ibukota Jakarta 12450</t>
  </si>
  <si>
    <t>RT.15/RW.5, Pd. Labu, Kec. Cilandak, Kota Jakarta Selatan</t>
  </si>
  <si>
    <t>https://maps.google.com/?cid=0x0:0x29c7063f88ae4897</t>
  </si>
  <si>
    <t>Jagakarsa Garden Residence</t>
  </si>
  <si>
    <t>Jl. Jagakarsa 1 No.43 A, RT.3/RW.2, Jagakarsa, Kec. Jagakarsa, Kota Jakarta Selatan, Daerah Khusus Ibukota Jakarta 12620</t>
  </si>
  <si>
    <t>RT.3/RW.2, Jagakarsa, Kec. Jagakarsa, Kota Jakarta Selatan</t>
  </si>
  <si>
    <t>https://maps.google.com/?cid=0x0:0xa8f886af3933c9f0</t>
  </si>
  <si>
    <t>Puri Pratama Townhouse Jagakarsa</t>
  </si>
  <si>
    <t>MRC7+HC4, Jl. Sadar Raya, RT.10/RW.2, Jagakarsa, Kec. Jagakarsa, Kota Jakarta Selatan, Daerah Khusus Ibukota Jakarta 12630</t>
  </si>
  <si>
    <t>Jl. Sadar Raya, RT.10/RW.2, Jagakarsa, Kec. Jagakarsa, Kota Jakarta Selatan</t>
  </si>
  <si>
    <t>https://maps.google.com/?cid=0x0:0xf0d9a42d60126067</t>
  </si>
  <si>
    <t>Edenhaus Garden Home Resort Simatupang</t>
  </si>
  <si>
    <t>7, Jl. Dermaga 1 No.199, RT.7/RW.1, Tj. Bar., Kec. Jagakarsa, Kota Jakarta Selatan, Daerah Khusus Ibukota Jakarta 12530</t>
  </si>
  <si>
    <t>Jl. Dermaga 1 No.199, RT.7/RW.1, Tj. Bar., Kec. Jagakarsa, Kota Jakarta Selatan</t>
  </si>
  <si>
    <t>https://maps.google.com/?cid=0x0:0xcc28f8ef49abccdf</t>
  </si>
  <si>
    <t>Komplek Bank Bumi Daya</t>
  </si>
  <si>
    <t>Jl. H. Montong No.1 1, RT.5/RW.3, Ciganjur, Kec. Jagakarsa, Kota Jakarta Selatan, Daerah Khusus Ibukota Jakarta 12630</t>
  </si>
  <si>
    <t>RT.5/RW.3, Ciganjur, Kec. Jagakarsa, Kota Jakarta Selatan</t>
  </si>
  <si>
    <t>https://maps.google.com/?cid=0x0:0xf84bff7ecefdc4b9</t>
  </si>
  <si>
    <t>Perumahan Rancho Indah</t>
  </si>
  <si>
    <t>Jl. Tanjung 9 non8, West Tanjung, Jagakarsa, South Jakarta City, Jakarta 12530</t>
  </si>
  <si>
    <t>West Tanjung, Jagakarsa, South Jakarta City</t>
  </si>
  <si>
    <t>https://maps.google.com/?cid=0x0:0x1fe8ecd1c9eb1c3d</t>
  </si>
  <si>
    <t>KOMPLEK GINTUNG 83</t>
  </si>
  <si>
    <t>Jl. Gintung No.83, RT.10/RW.2, Tj. Bar., Kec. Jagakarsa, Kota Jakarta Selatan, Daerah Khusus Ibukota Jakarta 12530</t>
  </si>
  <si>
    <t>RT.10/RW.2, Tj. Bar., Kec. Jagakarsa, Kota Jakarta Selatan</t>
  </si>
  <si>
    <t>https://maps.google.com/?cid=0x0:0x312ec1bc0ea0726c</t>
  </si>
  <si>
    <t>Sujimah Residence</t>
  </si>
  <si>
    <t>Gg. Muara I No.55, RT.2/RW.3, Tj. Bar., Kec. Jagakarsa, Kota Jakarta Selatan, Daerah Khusus Ibukota Jakarta 12530</t>
  </si>
  <si>
    <t>RT.2/RW.3, Tj. Bar., Kec. Jagakarsa, Kota Jakarta Selatan</t>
  </si>
  <si>
    <t>https://maps.google.com/?cid=0x0:0x8c12f065eb0d9a22</t>
  </si>
  <si>
    <t>Nirwana Town House</t>
  </si>
  <si>
    <t>Jl. Sadar Raya No.21b, RT.2/RW.2, Jagakarsa, Kec. Jagakarsa, Kota Jakarta Selatan, Daerah Khusus Ibukota Jakarta 12620</t>
  </si>
  <si>
    <t>RT.2/RW.2, Jagakarsa, Kec. Jagakarsa, Kota Jakarta Selatan</t>
  </si>
  <si>
    <t>https://maps.google.com/?cid=0x0:0x50554dbe379e2d07</t>
  </si>
  <si>
    <t>Villa Nusa Indah</t>
  </si>
  <si>
    <t>Villa, Jl. Nusa Indah Jl. Nusa Indah I No.4 4, RT.4/RW.2, Jagakarsa, Kec. Jagakarsa, Kota Jakarta Selatan, Daerah Khusus Ibukota Jakarta 12620</t>
  </si>
  <si>
    <t>Jl. Nusa Indah Jl. Nusa Indah I No.4 4, RT.4/RW.2, Jagakarsa, Kec. Jagakarsa, Kota Jakarta Selatan</t>
  </si>
  <si>
    <t>https://maps.google.com/?cid=0x0:0x4dba5abcb6942b67</t>
  </si>
  <si>
    <t>The Manggis Residence 47 Jagakarsa</t>
  </si>
  <si>
    <t>Jl. Manggis No.47, RT.1/RW.4, Jagakarsa, Kec. Jagakarsa, Kota Jakarta Selatan, Daerah Khusus Ibukota Jakarta 12620</t>
  </si>
  <si>
    <t>RT.1/RW.4, Jagakarsa, Kec. Jagakarsa, Kota Jakarta Selatan</t>
  </si>
  <si>
    <t>https://maps.google.com/?cid=0x0:0xa5a7a1b6754355a0</t>
  </si>
  <si>
    <t>Belimbing Village</t>
  </si>
  <si>
    <t>14, Jl. Belimbing No.24, RT.14/RW.1, Jagakarsa, Kec. Jagakarsa, Kota Jakarta Selatan, Daerah Khusus Ibukota Jakarta 12620</t>
  </si>
  <si>
    <t>Jl. Belimbing No.24, RT.14/RW.1, Jagakarsa, Kec. Jagakarsa, Kota Jakarta Selatan</t>
  </si>
  <si>
    <t>https://maps.google.com/?cid=0x0:0x33be303326ff3468</t>
  </si>
  <si>
    <t>Grand Permata Jagakarsa</t>
  </si>
  <si>
    <t>Jl. Musyawarah, RT.7/RW.4, Jagakarsa, Kec. Jagakarsa, Kota Jakarta Selatan, Daerah Khusus Ibukota Jakarta 12620</t>
  </si>
  <si>
    <t>RT.7/RW.4, Jagakarsa, Kec. Jagakarsa, Kota Jakarta Selatan</t>
  </si>
  <si>
    <t>https://maps.google.com/?cid=0x0:0xfe52621e1544cf5f</t>
  </si>
  <si>
    <t>Kelapa Hijau Residence</t>
  </si>
  <si>
    <t>MRCG+XR8, RT.10/RW.3, no.40, RT.10/RW.3, Jagakarsa, Kec. Jagakarsa, Kota Jakarta Selatan, Daerah Khusus Ibukota Jakarta 12620</t>
  </si>
  <si>
    <t>RT.10/RW.3, no.40, RT.10/RW.3, Jagakarsa, Kec. Jagakarsa, Kota Jakarta Selatan</t>
  </si>
  <si>
    <t>https://maps.google.com/?cid=0x0:0x9e971ae324fe390e</t>
  </si>
  <si>
    <t>Seika Residence (Sadar)</t>
  </si>
  <si>
    <t>Jl. Sadar Raya No.18A, RT.8/RW.2, Jagakarsa, Kec. Jagakarsa, Kota Jakarta Selatan, Daerah Khusus Ibukota Jakarta 12620</t>
  </si>
  <si>
    <t>RT.8/RW.2, Jagakarsa, Kec. Jagakarsa, Kota Jakarta Selatan</t>
  </si>
  <si>
    <t>https://maps.google.com/?cid=0x0:0x859a2bc382175e7a</t>
  </si>
  <si>
    <t>Permata Alkesa Residence</t>
  </si>
  <si>
    <t>Permata Alkesa Residence No.13, RT.6/RW.1, Jagakarsa, Kec. Jagakarsa, Kota Jakarta Selatan, Daerah Khusus Ibukota Jakarta 12620</t>
  </si>
  <si>
    <t>RT.6/RW.1, Jagakarsa, Kec. Jagakarsa, Kota Jakarta Selatan</t>
  </si>
  <si>
    <t>https://maps.google.com/?cid=0x0:0x7954717ade90d347</t>
  </si>
  <si>
    <t>Matoa Residence</t>
  </si>
  <si>
    <t>Jl. Timbul No.57, RT.8/RW.4, Cipedak, Kec. Jagakarsa, Kota Jakarta Selatan, Daerah Khusus Ibukota Jakarta 12630</t>
  </si>
  <si>
    <t>RT.8/RW.4, Cipedak, Kec. Jagakarsa, Kota Jakarta Selatan</t>
  </si>
  <si>
    <t>https://maps.google.com/?cid=0x0:0x6961628d04f0de42</t>
  </si>
  <si>
    <t>D Nala Residence</t>
  </si>
  <si>
    <t>MR46+PVW, Jl. Sadar Raya, RT.1/RW.5, Ciganjur, Kec. Jagakarsa, Kota Jakarta Selatan, Daerah Khusus Ibukota Jakarta 12630</t>
  </si>
  <si>
    <t>Jl. Sadar Raya, RT.1/RW.5, Ciganjur, Kec. Jagakarsa, Kota Jakarta Selatan</t>
  </si>
  <si>
    <t>https://maps.google.com/?cid=0x0:0xb69963340570f294</t>
  </si>
  <si>
    <t>KHAFI VIEW RESIDENCE @JAGAKARSA</t>
  </si>
  <si>
    <t>Jl. Kelinci No.22 7, RT.7/RW.6, Ciganjur, Kec. Jagakarsa, Kota Jakarta Selatan, Daerah Khusus Ibukota Jakarta 12630</t>
  </si>
  <si>
    <t>RT.7/RW.6, Ciganjur, Kec. Jagakarsa, Kota Jakarta Selatan</t>
  </si>
  <si>
    <t>https://maps.google.com/?cid=0x0:0xe5b04f64d183119a</t>
  </si>
  <si>
    <t>Sawo Residence</t>
  </si>
  <si>
    <t>MR32+32Q, 3, RT.3/RW.1, Cipedak, Kec. Jagakarsa, Kota Jakarta Selatan, Daerah Khusus Ibukota Jakarta 12630</t>
  </si>
  <si>
    <t>3, RT.3/RW.1, Cipedak, Kec. Jagakarsa, Kota Jakarta Selatan</t>
  </si>
  <si>
    <t>https://maps.google.com/?cid=0x0:0x1a009d141037b188</t>
  </si>
  <si>
    <t>Laguna Jagakarsa Residence</t>
  </si>
  <si>
    <t>Jl. Kemenyan No.8, RT.8/RW.3, Ciganjur, Kec. Jagakarsa, Kota Jakarta Selatan, Daerah Khusus Ibukota Jakarta 12630</t>
  </si>
  <si>
    <t>RT.8/RW.3, Ciganjur, Kec. Jagakarsa, Kota Jakarta Selatan</t>
  </si>
  <si>
    <t>https://maps.google.com/?cid=0x0:0xd01c7852ea735b05</t>
  </si>
  <si>
    <t>Adigriya Kahfi Residence</t>
  </si>
  <si>
    <t>Jl. Keranji 3 No.3, RT.3/RW.6, Ciganjur, Kec. Jagakarsa, Kota Jakarta Selatan, Daerah Khusus Ibukota Jakarta 12630</t>
  </si>
  <si>
    <t>RT.3/RW.6, Ciganjur, Kec. Jagakarsa, Kota Jakarta Selatan</t>
  </si>
  <si>
    <t>https://maps.google.com/?cid=0x0:0x323222e3d83c8c4c</t>
  </si>
  <si>
    <t>Srengseng Permai</t>
  </si>
  <si>
    <t>Jl. Srengseng Sawah, RT.12/RW.7, Srengseng Sawah, Kec. Jagakarsa, Kota Jakarta Selatan, Daerah Khusus Ibukota Jakarta 12640</t>
  </si>
  <si>
    <t>RT.12/RW.7, Srengseng Sawah, Kec. Jagakarsa, Kota Jakarta Selatan</t>
  </si>
  <si>
    <t>https://maps.google.com/?cid=0x0:0x49bccdc60103ac4a</t>
  </si>
  <si>
    <t>Jannati Garden</t>
  </si>
  <si>
    <t>Jl. Sadar Raya No.66, RT.3/RW.2, Ciganjur, Kec. Jagakarsa, Kota Jakarta Selatan, Daerah Khusus Ibukota Jakarta 12630</t>
  </si>
  <si>
    <t>RT.3/RW.2, Ciganjur, Kec. Jagakarsa, Kota Jakarta Selatan</t>
  </si>
  <si>
    <t>https://maps.google.com/?cid=0x0:0x87b18b75f6ff3145</t>
  </si>
  <si>
    <t>Pesona Alam Jagakarsa sektor 3</t>
  </si>
  <si>
    <t>4, Jl. Perikanan 1 No.64, RT.4/RW.8, Srengseng Sawah, Kec. Jagakarsa, Kota Jakarta Selatan, Daerah Khusus Ibukota Jakarta 12640</t>
  </si>
  <si>
    <t>Jl. Perikanan 1 No.64, RT.4/RW.8, Srengseng Sawah, Kec. Jagakarsa, Kota Jakarta Selatan</t>
  </si>
  <si>
    <t>https://maps.google.com/?cid=0x0:0xac33abf8e8518ae8</t>
  </si>
  <si>
    <t>Panghegar Village</t>
  </si>
  <si>
    <t>Jl. Cipedak Raya Jalan Talip Tridi No.29-30 AB, RT.4/RW.9, Srengseng Sawah, Kec. Jagakarsa, Kota Jakarta Selatan, Daerah Khusus Ibukota Jakarta 12640</t>
  </si>
  <si>
    <t>RT.4/RW.9, Srengseng Sawah, Kec. Jagakarsa, Kota Jakarta Selatan</t>
  </si>
  <si>
    <t>https://maps.google.com/?cid=0x0:0xff88e6efea1ca58f</t>
  </si>
  <si>
    <t>New Kebayoran Residence</t>
  </si>
  <si>
    <t>8, Jl. Kebayoran Baru No.85, RT.8/RW.1, Kby. Lama Utara, Kec. Kby. Lama, Kota Jakarta Selatan, Daerah Khusus Ibukota Jakarta 12220</t>
  </si>
  <si>
    <t>Jl. Kebayoran Baru No.85, RT.8/RW.1, Kby. Lama Utara, Kec. Kby. Lama, Kota Jakarta Selatan</t>
  </si>
  <si>
    <t>https://maps.google.com/?cid=0x0:0x7b3b4fb9dd71cfaf</t>
  </si>
  <si>
    <t>Komplek Setneg Cidodol Baru</t>
  </si>
  <si>
    <t>1, Jl. Perumahan Sekneg No.A, RT.1/RW.6, Grogol Sel., Kec. Kby. Lama, Kota Jakarta Selatan, Daerah Khusus Ibukota Jakarta 12220</t>
  </si>
  <si>
    <t>Jl. Perumahan Sekneg No.A, RT.1/RW.6, Grogol Sel., Kec. Kby. Lama, Kota Jakarta Selatan</t>
  </si>
  <si>
    <t>https://maps.google.com/?cid=0x0:0x7c617d664bdd3fa</t>
  </si>
  <si>
    <t>Komplek Sanjaya Townhouse</t>
  </si>
  <si>
    <t>Jl. Senjaya No.6 5, RT.5/RW.2, Selong, Kec. Kby. Baru, Kota Jakarta Selatan, Daerah Khusus Ibukota Jakarta 12110</t>
  </si>
  <si>
    <t>RT.5/RW.2, Selong, Kec. Kby. Baru, Kota Jakarta Selatan</t>
  </si>
  <si>
    <t>https://maps.google.com/?cid=0x0:0x376b5f0ae09f88c4</t>
  </si>
  <si>
    <t>Gandaria Residence 1park</t>
  </si>
  <si>
    <t>Jl. Hidup Baru No.24, RT.9/RW.6, 7, Gandaria Utara, Kec. Kby. Baru, Kota Jakarta Selatan, Daerah Khusus Ibukota Jakarta 12140</t>
  </si>
  <si>
    <t>RT.9/RW.6, 7, Gandaria Utara, Kec. Kby. Baru, Kota Jakarta Selatan</t>
  </si>
  <si>
    <t>https://maps.google.com/?cid=0x0:0x30293a177c623fe1</t>
  </si>
  <si>
    <t>Mutiara @Brawijaya Residence</t>
  </si>
  <si>
    <t>No.6-7-8. Kby. Baru, Jl. Taman Brawijaya III, RT.4/RW.3, Cipete Utara, Kec. Kby. Baru, Kota Jakarta Selatan, Daerah Khusus Ibukota Jakarta 12150</t>
  </si>
  <si>
    <t>Jl. Taman Brawijaya III, RT.4/RW.3, Cipete Utara, Kec. Kby. Baru, Kota Jakarta Selatan</t>
  </si>
  <si>
    <t>https://maps.google.com/?cid=0x0:0x80462fdb4132d185</t>
  </si>
  <si>
    <t>Komplek Perumahan Departemen Luar Negeri Cidodol</t>
  </si>
  <si>
    <t>Jl. Komp. Deplu No.8, RT.8/RW.13, Grogol Sel., Kec. Kby. Lama, Kota Jakarta Selatan, Daerah Khusus Ibukota Jakarta 12220</t>
  </si>
  <si>
    <t>RT.8/RW.13, Grogol Sel., Kec. Kby. Lama, Kota Jakarta Selatan</t>
  </si>
  <si>
    <t>https://maps.google.com/?cid=0x0:0x4a125379a6761527</t>
  </si>
  <si>
    <t>Komplek Lemigas</t>
  </si>
  <si>
    <t>Jl. Permata Hijau, Grogol Utara, Kec. Kby. Lama, Kota Jakarta Selatan, Daerah Khusus Ibukota Jakarta 12210</t>
  </si>
  <si>
    <t>Grogol Utara, Kec. Kby. Lama, Kota Jakarta Selatan</t>
  </si>
  <si>
    <t>https://maps.google.com/?cid=0x0:0xddea6d9463376d08</t>
  </si>
  <si>
    <t>Perumahan jogotirto permai</t>
  </si>
  <si>
    <t>jl bimo No.173A, RT.7/RW.12, Grogol Utara, Kec. Kby. Lama, Kota Jakarta Selatan, Daerah Khusus Ibukota Jakarta 12210</t>
  </si>
  <si>
    <t>RT.7/RW.12, Grogol Utara, Kec. Kby. Lama, Kota Jakarta Selatan</t>
  </si>
  <si>
    <t>https://maps.google.com/?cid=0x0:0xda5c9e400d946d58</t>
  </si>
  <si>
    <t>Senayan residence town house</t>
  </si>
  <si>
    <t>town house B10, Senayan Residence, Grogol Utara, Kec. Kby. Lama, Kota Jakarta Selatan, Daerah Khusus Ibukota Jakarta 12210</t>
  </si>
  <si>
    <t>Senayan Residence, Grogol Utara, Kec. Kby. Lama, Kota Jakarta Selatan</t>
  </si>
  <si>
    <t>https://maps.google.com/?cid=0x0:0xeb0d992f76eef2ce</t>
  </si>
  <si>
    <t>Permata Hijau II</t>
  </si>
  <si>
    <t>Jl. Permata Hijau 2, Jl. Cidodol Raya, RT.5/RW.13, Grogol Sel., Kec. Kby. Lama, Kota Jakarta Selatan, Daerah Khusus Ibukota Jakarta 12220</t>
  </si>
  <si>
    <t>Jl. Cidodol Raya, RT.5/RW.13, Grogol Sel., Kec. Kby. Lama, Kota Jakarta Selatan</t>
  </si>
  <si>
    <t>https://maps.google.com/?cid=0x0:0x92c90df6d43064f3</t>
  </si>
  <si>
    <t>Kompleks Perumahan Advent</t>
  </si>
  <si>
    <t>Jl. Komp. Hankam Cidodol No.62B, RT.5/RW.11, Grogol Sel., Kec. Kby. Lama, Kota Jakarta Selatan, Daerah Khusus Ibukota Jakarta 12220</t>
  </si>
  <si>
    <t>RT.5/RW.11, Grogol Sel., Kec. Kby. Lama, Kota Jakarta Selatan</t>
  </si>
  <si>
    <t>https://maps.google.com/?cid=0x0:0x214fdebf3bb498f2</t>
  </si>
  <si>
    <t>Permata Hijau 2</t>
  </si>
  <si>
    <t>Jl. Permata Hijau II blok A4, Grogol Sel., Kec. Kby. Lama, Kota Jakarta Selatan, Daerah Khusus Ibukota Jakarta 12220</t>
  </si>
  <si>
    <t>https://maps.google.com/?cid=0x0:0xa4f80ac5d6fab659</t>
  </si>
  <si>
    <t>Simprug Garden VI</t>
  </si>
  <si>
    <t>QQ9P+HJ5, RT.2/RW.2, Grogol Sel., Kec. Kby. Lama, Kota Jakarta Selatan, Daerah Khusus Ibukota Jakarta 12220</t>
  </si>
  <si>
    <t>RT.2/RW.2, Grogol Sel., Kec. Kby. Lama, Kota Jakarta Selatan</t>
  </si>
  <si>
    <t>https://maps.google.com/?cid=0x0:0x63bcf792a172bf00</t>
  </si>
  <si>
    <t>Komplek Griya Kebayoran</t>
  </si>
  <si>
    <t>Jl. Kangkung, RT.15/RW.11, Grogol Sel., Kec. Kby. Lama, Kota Jakarta Selatan, Daerah Khusus Ibukota Jakarta 12220</t>
  </si>
  <si>
    <t>RT.15/RW.11, Grogol Sel., Kec. Kby. Lama, Kota Jakarta Selatan</t>
  </si>
  <si>
    <t>https://maps.google.com/?cid=0x0:0xb94cac4db6d248c5</t>
  </si>
  <si>
    <t>Komplek Cipulir Permai</t>
  </si>
  <si>
    <t>Jl. Masjid Cidodol No.7, RT.12/RW.12, Grogol Sel., Kec. Kby. Lama, Kota Jakarta Selatan, Daerah Khusus Ibukota Jakarta 12220</t>
  </si>
  <si>
    <t>RT.12/RW.12, Grogol Sel., Kec. Kby. Lama, Kota Jakarta Selatan</t>
  </si>
  <si>
    <t>https://maps.google.com/?cid=0x0:0x77a289dfc30179e7</t>
  </si>
  <si>
    <t>Villa Pondok Indah</t>
  </si>
  <si>
    <t>Jl. Tanah Kusir 2 No.1, RT.1/RW.9, Kby. Lama Sel., Kec. Kby. Lama, Kota Jakarta Selatan, Daerah Khusus Ibukota Jakarta 12240</t>
  </si>
  <si>
    <t>RT.1/RW.9, Kby. Lama Sel., Kec. Kby. Lama, Kota Jakarta Selatan</t>
  </si>
  <si>
    <t>https://maps.google.com/?cid=0x0:0x80276e2685d28b68</t>
  </si>
  <si>
    <t>Perigi Residence Tanah Kusir</t>
  </si>
  <si>
    <t>Jl. Musa, RT.9/RW.10, Kby. Lama Sel., Kec. Kby. Lama, Kota Jakarta Selatan, Daerah Khusus Ibukota Jakarta 12240</t>
  </si>
  <si>
    <t>RT.9/RW.10, Kby. Lama Sel., Kec. Kby. Lama, Kota Jakarta Selatan</t>
  </si>
  <si>
    <t>https://maps.google.com/?cid=0x0:0x348de638a44cd27f</t>
  </si>
  <si>
    <t>Kompleks Perumahan Bukit Golf Pondok Indah</t>
  </si>
  <si>
    <t>Bukit Golf No.1, RT.1/RW.16, Pd. Pinang, Kec. Kby. Lama, Kota Jakarta Selatan, Daerah Khusus Ibukota Jakarta 12310</t>
  </si>
  <si>
    <t>RT.1/RW.16, Pd. Pinang, Kec. Kby. Lama, Kota Jakarta Selatan</t>
  </si>
  <si>
    <t>https://maps.google.com/?cid=0x0:0xf8fe1aab5e5e19e9</t>
  </si>
  <si>
    <t>Komplek Lemdiklat Polri</t>
  </si>
  <si>
    <t>RT.007/RW.09. No. 14 . Kel. Pondok Pinang, Kec. Kebayoran Lama, Kota Jakarta Selatan, Daerah Khusu Ibukota Jakarta, Pd. Pinang, Kec. Kby. Lama, Kota Jakarta Selatan, Daerah Khusus Ibukota Jakarta 12310</t>
  </si>
  <si>
    <t>Kec. Kebayoran Lama, Kota Jakarta Selatan, Daerah Khusu Ibukota Jakarta, Pd. Pinang, Kec. Kby. Lama, Kota Jakarta Selatan</t>
  </si>
  <si>
    <t>https://maps.google.com/?cid=0x0:0xfc606f28cb23f899</t>
  </si>
  <si>
    <t>Griya Mandiri Mampang</t>
  </si>
  <si>
    <t>QR5H+VC9, Jl. Kapten Tendean No.1, RT.1/RW.2, Mampang Prpt., Kec. Mampang Prpt., Kota Jakarta Selatan, Daerah Khusus Ibukota Jakarta 12790</t>
  </si>
  <si>
    <t>Jl. Kapten Tendean No.1, RT.1/RW.2, Mampang Prpt., Kec. Mampang Prpt., Kota Jakarta Selatan</t>
  </si>
  <si>
    <t>https://maps.google.com/?cid=0x0:0x9aa78eaa7f28927e</t>
  </si>
  <si>
    <t>Pondok Karya</t>
  </si>
  <si>
    <t>Jl. Bangka III No.38, RT.14/RW.2, Pela Mampang, Kec. Mampang Prpt., Kota Jakarta Selatan, Daerah Khusus Ibukota Jakarta 12720</t>
  </si>
  <si>
    <t>RT.14/RW.2, Pela Mampang, Kec. Mampang Prpt., Kota Jakarta Selatan</t>
  </si>
  <si>
    <t>https://maps.google.com/?cid=0x0:0xcbb49ea89cf09f5</t>
  </si>
  <si>
    <t>Blaze Residence</t>
  </si>
  <si>
    <t>Jl. Bank V No.10B 4, RT.12/RW.7, Pela Mampang, Kec. Mampang Prpt., Kota Jakarta Selatan, Daerah Khusus Ibukota Jakarta 12720</t>
  </si>
  <si>
    <t>RT.12/RW.7, Pela Mampang, Kec. Mampang Prpt., Kota Jakarta Selatan</t>
  </si>
  <si>
    <t>https://maps.google.com/?cid=0x0:0x73c6bad4ea0d6829</t>
  </si>
  <si>
    <t>Perumahan Kemang Jaya</t>
  </si>
  <si>
    <t>Jl. Perumahan Kemang Jaya Blok B14, RT.7/RW.2, Bangka, Mampang Prapatan, South Jakarta City, Jakarta 12730</t>
  </si>
  <si>
    <t>RT.7/RW.2, Bangka, Mampang Prapatan, South Jakarta City</t>
  </si>
  <si>
    <t>https://maps.google.com/?cid=0x0:0x9e1cb6cc66893331</t>
  </si>
  <si>
    <t>Kemang Residence 26</t>
  </si>
  <si>
    <t>PRPC+Q73, Jl. Kemang V, RT.9/RW.1, Bangka, Kec. Mampang Prpt., Kota Jakarta Selatan, Daerah Khusus Ibukota Jakarta 12730</t>
  </si>
  <si>
    <t>Jl. Kemang V, RT.9/RW.1, Bangka, Kec. Mampang Prpt., Kota Jakarta Selatan</t>
  </si>
  <si>
    <t>https://maps.google.com/?cid=0x0:0x4284e5db5e9904c0</t>
  </si>
  <si>
    <t>Perumahan Mampang Asri</t>
  </si>
  <si>
    <t>No.27, Jl. Mampang Prpt. Raya No.16, RT.1/RW.1, Duren Tiga, Mampang Prapatan, South Jakarta City, Jakarta 12790</t>
  </si>
  <si>
    <t>Jl. Mampang Prpt. Raya No.16, RT.1/RW.1, Duren Tiga, Mampang Prapatan, South Jakarta City</t>
  </si>
  <si>
    <t>https://maps.google.com/?cid=0x0:0xabc07e7a16fa0bc4</t>
  </si>
  <si>
    <t>Mampang Residence</t>
  </si>
  <si>
    <t>V, Jl. Tegal Parang Selatan I No.6, RT.6/RW.4, Tegal Parang, Mampang Prapatan, South Jakarta City, Jakarta 12790</t>
  </si>
  <si>
    <t>Jl. Tegal Parang Selatan I No.6, RT.6/RW.4, Tegal Parang, Mampang Prapatan, South Jakarta City</t>
  </si>
  <si>
    <t>https://maps.google.com/?cid=0x0:0x4191c2a8605aaaa4</t>
  </si>
  <si>
    <t>Gatot Subroto Residence</t>
  </si>
  <si>
    <t>Jl. Tegal Parang Utara V No.31 4, RT.4/RW.4, Mampang Prpt., Kec. Mampang Prpt., Kota Jakarta Selatan, Daerah Khusus Ibukota Jakarta 12790</t>
  </si>
  <si>
    <t>RT.4/RW.4, Mampang Prpt., Kec. Mampang Prpt., Kota Jakarta Selatan</t>
  </si>
  <si>
    <t>https://maps.google.com/?cid=0x0:0xd605eb43aedfb2f8</t>
  </si>
  <si>
    <t>Kompleks Pejaten Indah 1</t>
  </si>
  <si>
    <t>7, Jl. Pejaten Indah No.1, RT.13/RW.9, Kalibata, Kec. Pancoran, Kota Jakarta Selatan, Daerah Khusus Ibukota Jakarta 12510</t>
  </si>
  <si>
    <t>Jl. Pejaten Indah No.1, RT.13/RW.9, Kalibata, Kec. Pancoran, Kota Jakarta Selatan</t>
  </si>
  <si>
    <t>https://maps.google.com/?cid=0x0:0xcfa6a847cdeca4f</t>
  </si>
  <si>
    <t>Kompleks Perhubungan Udara</t>
  </si>
  <si>
    <t>PRPM+MFJ, RT.14/RW.4, Kalibata, Kec. Pancoran, Kota Jakarta Selatan, Daerah Khusus Ibukota Jakarta 12740</t>
  </si>
  <si>
    <t>RT.14/RW.4, Kalibata, Kec. Pancoran, Kota Jakarta Selatan</t>
  </si>
  <si>
    <t>https://maps.google.com/?cid=0x0:0xef04fa228b5363f3</t>
  </si>
  <si>
    <t>ANDALUSIA Residence</t>
  </si>
  <si>
    <t>Jl. Kalibata Tengah No.5, RT.5/RW.7, Kalibata, Kec. Pancoran, Kota Jakarta Selatan, Daerah Khusus Ibukota Jakarta 12740</t>
  </si>
  <si>
    <t>RT.5/RW.7, Kalibata, Kec. Pancoran, Kota Jakarta Selatan</t>
  </si>
  <si>
    <t>https://maps.google.com/?cid=0x0:0xe837155cb01fbf8f</t>
  </si>
  <si>
    <t>Perumahan Kalibata Indah</t>
  </si>
  <si>
    <t>Jl. Lobi-lobi No.17 Blok Q, RT.1/RW.6, Kalibata, Kec. Pancoran, Kota Jakarta Selatan, Daerah Khusus Ibukota Jakarta 12750</t>
  </si>
  <si>
    <t>RT.1/RW.6, Kalibata, Kec. Pancoran, Kota Jakarta Selatan</t>
  </si>
  <si>
    <t>https://maps.google.com/?cid=0x0:0xe484eacf26fc0154</t>
  </si>
  <si>
    <t>Duren Tiga Residence</t>
  </si>
  <si>
    <t>Jl. Duren Tiga Selatan No.33 E, RT.13/RW.2, Duren Tiga, Kec. Pancoran, Kota Jakarta Selatan, Daerah Khusus Ibukota Jakarta 12760</t>
  </si>
  <si>
    <t>RT.13/RW.2, Duren Tiga, Kec. Pancoran, Kota Jakarta Selatan</t>
  </si>
  <si>
    <t>https://maps.google.com/?cid=0x0:0xd219e2f32eeabec1</t>
  </si>
  <si>
    <t>Kompleks Pertambangan Duren Tiga</t>
  </si>
  <si>
    <t>Jl. Saguling No.7, RT.7/RW.2, Duren Tiga, Kec. Pancoran, Kota Jakarta Selatan, Daerah Khusus Ibukota Jakarta 12760</t>
  </si>
  <si>
    <t>RT.7/RW.2, Duren Tiga, Kec. Pancoran, Kota Jakarta Selatan</t>
  </si>
  <si>
    <t>https://maps.google.com/?cid=0x0:0x4017060aea1215e5</t>
  </si>
  <si>
    <t>Seminyak Residence Jakarta</t>
  </si>
  <si>
    <t>Jl. Minyak Raya No.10, Duren Tiga, Kec. Pancoran, Kota Jakarta Selatan, Daerah Khusus Ibukota Jakarta 12760</t>
  </si>
  <si>
    <t>Duren Tiga, Kec. Pancoran, Kota Jakarta Selatan</t>
  </si>
  <si>
    <t>https://maps.google.com/?cid=0x0:0xf6a50cac12aab671</t>
  </si>
  <si>
    <t>Casa de Mampang Residence</t>
  </si>
  <si>
    <t>Jl. Mampang Prapatan XVIII No.16, RT.8/RW.5, Duren Tiga, Kec. Pancoran, Kota Jakarta Selatan, Daerah Khusus Ibukota Jakarta 12760</t>
  </si>
  <si>
    <t>RT.8/RW.5, Duren Tiga, Kec. Pancoran, Kota Jakarta Selatan</t>
  </si>
  <si>
    <t>https://maps.google.com/?cid=0x0:0xe3ec59e417a218c</t>
  </si>
  <si>
    <t>Komplek Pesona Exclusive</t>
  </si>
  <si>
    <t>Jl. Mampang Prpt. Raya No.Kav. 2, RT.3/RW.1, Duren Tiga, Kec. Pancoran, Kota Jakarta Selatan, Daerah Khusus Ibukota Jakarta 12760</t>
  </si>
  <si>
    <t>RT.3/RW.1, Duren Tiga, Kec. Pancoran, Kota Jakarta Selatan</t>
  </si>
  <si>
    <t>https://maps.google.com/?cid=0x0:0x36695c6f600f8317</t>
  </si>
  <si>
    <t>Komp. TNI AU Triloka</t>
  </si>
  <si>
    <t>QR3Q+5V6, Jl. Triloka VI, RT.3/RW.4, Pancoran, Kec. Pancoran, Kota Jakarta Selatan, Daerah Khusus Ibukota Jakarta 12780</t>
  </si>
  <si>
    <t>Jl. Triloka VI, RT.3/RW.4, Pancoran, Kec. Pancoran, Kota Jakarta Selatan</t>
  </si>
  <si>
    <t>https://maps.google.com/?cid=0x0:0x2c98b6db154ba09b</t>
  </si>
  <si>
    <t>Komplek Ligamas Indah</t>
  </si>
  <si>
    <t>Jl. Pancoran Timur I No.18 8, RT.8/RW.9, Pancoran, Kec. Pancoran, Kota Jakarta Selatan, Daerah Khusus Ibukota Jakarta 12780</t>
  </si>
  <si>
    <t>RT.8/RW.9, Pancoran, Kec. Pancoran, Kota Jakarta Selatan</t>
  </si>
  <si>
    <t>https://maps.google.com/?cid=0x0:0xec662d51140191a3</t>
  </si>
  <si>
    <t>Komplek Batu Permata</t>
  </si>
  <si>
    <t>Jl. Batu I No.11, RT.14/RW.1, Pejaten Timur, Ps. Minggu, Kota Jakarta Selatan, Daerah Khusus Ibukota Jakarta 12510</t>
  </si>
  <si>
    <t>RT.14/RW.1, Pejaten Timur, Ps. Minggu, Kota Jakarta Selatan</t>
  </si>
  <si>
    <t>https://maps.google.com/?cid=0x0:0xc4ff38db11cd9680</t>
  </si>
  <si>
    <t>Komplek Kemuning Utama residence</t>
  </si>
  <si>
    <t>Jl. Kemuning I B No.4, RT.7/RW.6, Pejaten Timur, Ps. Minggu, Kota Jakarta Selatan, Daerah Khusus Ibukota Jakarta 12510</t>
  </si>
  <si>
    <t>RT.7/RW.6, Pejaten Timur, Ps. Minggu, Kota Jakarta Selatan</t>
  </si>
  <si>
    <t>https://maps.google.com/?cid=0x0:0xcfdf6b3d255bdfee</t>
  </si>
  <si>
    <t>Komplek Bank Indonesia Pasar Minggu</t>
  </si>
  <si>
    <t>Jl. Aup Bar., RT.3/RW.6, Ps. Minggu, Kota Jakarta Selatan, Daerah Khusus Ibukota Jakarta 12520</t>
  </si>
  <si>
    <t>RT.3/RW.6, Ps. Minggu, Kota Jakarta Selatan</t>
  </si>
  <si>
    <t>https://maps.google.com/?cid=0x0:0x639c37f390b6ea6a</t>
  </si>
  <si>
    <t>Komplek buncit indah Banjarmasin</t>
  </si>
  <si>
    <t>Jl. Mimosa X No.1 Blok H, RT.6/RW.4, Pejaten Bar., Ps. Minggu, Kota Jakarta Selatan, Daerah Khusus Ibukota Jakarta 12510</t>
  </si>
  <si>
    <t>RT.6/RW.4, Pejaten Bar., Ps. Minggu, Kota Jakarta Selatan</t>
  </si>
  <si>
    <t>https://maps.google.com/?cid=0x0:0xc1a54b16a482fedd</t>
  </si>
  <si>
    <t>Komplek Siaga Utama</t>
  </si>
  <si>
    <t>Jl. Komp. Siaga Utama Jl. Siaga Raya No.18, RT.7/RW.4, Pejaten Bar., Ps. Minggu, Kota Jakarta Selatan, Daerah Khusus Ibukota Jakarta 12510</t>
  </si>
  <si>
    <t>RT.7/RW.4, Pejaten Bar., Ps. Minggu, Kota Jakarta Selatan</t>
  </si>
  <si>
    <t>https://maps.google.com/?cid=0x0:0x2f62b6df20bd040e</t>
  </si>
  <si>
    <t>Komplek Polri Pejaten</t>
  </si>
  <si>
    <t>Jl. Komp. Polwan No.16, RT.16/RW.1, Pejaten Bar., Ps. Minggu, Kota Jakarta Selatan, Daerah Khusus Ibukota Jakarta 12510</t>
  </si>
  <si>
    <t>RT.16/RW.1, Pejaten Bar., Ps. Minggu, Kota Jakarta Selatan</t>
  </si>
  <si>
    <t>https://maps.google.com/?cid=0x0:0xd7ae9bdce2435ead</t>
  </si>
  <si>
    <t>Komplek Samudera Indonesia Pasar Minggu</t>
  </si>
  <si>
    <t>Jl. Tawes No.10, RT.4/RW.6, Ps. Minggu, Kota Jakarta Selatan, Daerah Khusus Ibukota Jakarta 12520</t>
  </si>
  <si>
    <t>RT.4/RW.6, Ps. Minggu, Kota Jakarta Selatan</t>
  </si>
  <si>
    <t>https://maps.google.com/?cid=0x0:0x5115af13aacd7782</t>
  </si>
  <si>
    <t>Panorama Residence</t>
  </si>
  <si>
    <t>Jl. Gunuk Raya No.7, RT.7/RW.3, Pejaten Timur, Ps. Minggu, Kota Jakarta Selatan, Daerah Khusus Ibukota Jakarta 12510</t>
  </si>
  <si>
    <t>RT.7/RW.3, Pejaten Timur, Ps. Minggu, Kota Jakarta Selatan</t>
  </si>
  <si>
    <t>https://maps.google.com/?cid=0x0:0xf06d5f222adbe9a5</t>
  </si>
  <si>
    <t>Komplek Pejaten Elok</t>
  </si>
  <si>
    <t>Jalan Amil Komplek, Jl. Pejaten Elok No.F 4, RT.3/RW.7, Pejaten Bar., Ps. Minggu, Kota Jakarta Selatan, Daerah Khusus Ibukota Jakarta 12510</t>
  </si>
  <si>
    <t>Jl. Pejaten Elok No.F 4, RT.3/RW.7, Pejaten Bar., Ps. Minggu, Kota Jakarta Selatan</t>
  </si>
  <si>
    <t>https://maps.google.com/?cid=0x0:0xdc2de952895413ad</t>
  </si>
  <si>
    <t>Townhouse Mutiara Pejaten kemuning</t>
  </si>
  <si>
    <t>Jl. Warga, Pejaten Bar., Ps. Minggu, Kota Jakarta Selatan, Daerah Khusus Ibukota Jakarta 12510</t>
  </si>
  <si>
    <t>Pejaten Bar., Ps. Minggu, Kota Jakarta Selatan</t>
  </si>
  <si>
    <t>https://maps.google.com/?cid=0x0:0x572504fece40f702</t>
  </si>
  <si>
    <t>Komplek Batan Pasar Minggu</t>
  </si>
  <si>
    <t>Jl. Komp. Batan Jl. Raya Rw. Bambu No.6, RT.6/RW.7, Ps. Minggu, Kota Jakarta Selatan, Daerah Khusus Ibukota Jakarta 12520</t>
  </si>
  <si>
    <t>RT.6/RW.7, Ps. Minggu, Kota Jakarta Selatan</t>
  </si>
  <si>
    <t>https://maps.google.com/?cid=0x0:0x34d5e8c570cd65f3</t>
  </si>
  <si>
    <t>Mutiara Kebagusan Residence</t>
  </si>
  <si>
    <t>Dalam, Jl. Kebagusan IV No.56, RT.11/RW.4, Kebagusan, Pasar Minggu, South Jakarta City, Jakarta 12520</t>
  </si>
  <si>
    <t>Jl. Kebagusan IV No.56, RT.11/RW.4, Kebagusan, Pasar Minggu, South Jakarta City</t>
  </si>
  <si>
    <t>https://maps.google.com/?cid=0x0:0xbca1ef5237c8d16d</t>
  </si>
  <si>
    <t>Perumahan Rawa Bambu 1</t>
  </si>
  <si>
    <t>Perumahan, Jl. A No.6, RT.13/RW.5, Pasar Minggu, South Jakarta City, Jakarta 12520</t>
  </si>
  <si>
    <t>Jl. A No.6, RT.13/RW.5, Pasar Minggu, South Jakarta City</t>
  </si>
  <si>
    <t>https://maps.google.com/?cid=0x0:0x6ffca0256b805ebf</t>
  </si>
  <si>
    <t>Komplek Citra Bagus</t>
  </si>
  <si>
    <t>Jl. Gurame Raya No.2 2, RT.2/RW.8, Jati Padang, Ps. Minggu, Kota Jakarta Selatan, Daerah Khusus Ibukota Jakarta 12520</t>
  </si>
  <si>
    <t>RT.2/RW.8, Jati Padang, Ps. Minggu, Kota Jakarta Selatan</t>
  </si>
  <si>
    <t>https://maps.google.com/?cid=0x0:0xa63dcfe9ad5213e9</t>
  </si>
  <si>
    <t>Villa Kebagusan Asri</t>
  </si>
  <si>
    <t>Jl. Kebagusan II No.23 9, RT.9/RW.6, Kebagusan, Ps. Minggu, Kota Jakarta Selatan, Daerah Khusus Ibukota Jakarta 12520</t>
  </si>
  <si>
    <t>RT.9/RW.6, Kebagusan, Ps. Minggu, Kota Jakarta Selatan</t>
  </si>
  <si>
    <t>https://maps.google.com/?cid=0x0:0xef37307e6aee82a7</t>
  </si>
  <si>
    <t>KEBAGUSAN 4 RESIDENCE</t>
  </si>
  <si>
    <t>Jl. Kebagusan IV No.64, RT.10/RW.4, Kebagusan, Ps. Minggu, Kota Jakarta Selatan, Daerah Khusus Ibukota Jakarta 12520</t>
  </si>
  <si>
    <t>RT.10/RW.4, Kebagusan, Ps. Minggu, Kota Jakarta Selatan</t>
  </si>
  <si>
    <t>https://maps.google.com/?cid=0x0:0x72666df2ffcdb27c</t>
  </si>
  <si>
    <t>Mulia Kebagusan Residence</t>
  </si>
  <si>
    <t>Jl. Kebagusan III No.58P 9, RT.9/RW.5, Kebagusan, Pasar Minggu, South Jakarta City, Jakarta 12520</t>
  </si>
  <si>
    <t>RT.9/RW.5, Kebagusan, Pasar Minggu, South Jakarta City</t>
  </si>
  <si>
    <t>https://maps.google.com/?cid=0x0:0xe08d45ea5f9ff2b4</t>
  </si>
  <si>
    <t>Tawes Residence</t>
  </si>
  <si>
    <t>Jl. Tawes Dalam No.2 Kav.1-11, RT.2/RW.9, Jati Padang, Pasar Minggu, South Jakarta City, Jakarta 12520</t>
  </si>
  <si>
    <t>RT.2/RW.9, Jati Padang, Pasar Minggu, South Jakarta City</t>
  </si>
  <si>
    <t>https://maps.google.com/?cid=0x0:0x69c84b759545324f</t>
  </si>
  <si>
    <t>Kemang Hills Residence</t>
  </si>
  <si>
    <t>Jl. Ampera I No.2, RT.2/RW.9, Ragunan, Ps. Minggu, Kota Jakarta Selatan, Daerah Khusus Ibukota Jakarta 12540</t>
  </si>
  <si>
    <t>RT.2/RW.9, Ragunan, Ps. Minggu, Kota Jakarta Selatan</t>
  </si>
  <si>
    <t>https://maps.google.com/?cid=0x0:0x3421b7825c34cae5</t>
  </si>
  <si>
    <t>Kompleks Kejaksaan Agung F/25 Pasar Minggu Jakarta Selatan</t>
  </si>
  <si>
    <t>Blok I No.4, Jl. Komp. Kejaksaan Agung, Ps. Minggu, Kota Jakarta Selatan, Daerah Khusus Ibukota Jakarta 12520</t>
  </si>
  <si>
    <t>Jl. Komp. Kejaksaan Agung, Ps. Minggu, Kota Jakarta Selatan</t>
  </si>
  <si>
    <t>https://maps.google.com/?cid=0x0:0x725518dce1331832</t>
  </si>
  <si>
    <t>Atmaya Residence Pejaten</t>
  </si>
  <si>
    <t>Jl. Pejaten Barat Raya No.11, RT.1/RW.10, Pejaten Bar., Ps. Minggu, Kota Jakarta Selatan, Daerah Khusus Ibukota Jakarta 12540</t>
  </si>
  <si>
    <t>RT.1/RW.10, Pejaten Bar., Ps. Minggu, Kota Jakarta Selatan</t>
  </si>
  <si>
    <t>https://maps.google.com/?cid=0x0:0x3883622ba111d273</t>
  </si>
  <si>
    <t>Komplek Veteran No. 2</t>
  </si>
  <si>
    <t>Jl. Ampera II No.2 4, RT.4/RW.9, Ragunan, Ps. Minggu, Kota Jakarta Selatan, Daerah Khusus Ibukota Jakarta 12540</t>
  </si>
  <si>
    <t>RT.4/RW.9, Ragunan, Ps. Minggu, Kota Jakarta Selatan</t>
  </si>
  <si>
    <t>https://maps.google.com/?cid=0x0:0x3066e82f8c2b0111</t>
  </si>
  <si>
    <t>Komplek Bumi Pesanggrahan Mas</t>
  </si>
  <si>
    <t>Jl. Pondok II No.3, RT.7/RW.8, Petukangan Sel., Kec. Pesanggrahan, Kota Jakarta Selatan, Daerah Khusus Ibukota Jakarta 12270</t>
  </si>
  <si>
    <t>RT.7/RW.8, Petukangan Sel., Kec. Pesanggrahan, Kota Jakarta Selatan</t>
  </si>
  <si>
    <t>https://maps.google.com/?cid=0x0:0xc1ba688b2c58cf1c</t>
  </si>
  <si>
    <t>Nuansa Swadarma Residence</t>
  </si>
  <si>
    <t>Jalan Kampung Baru V, RT.7/RW.2, Ulujami, Pesanggrahan, RT.7/RW.2, Ulujami, Kec. Pesanggrahan, Kota Jakarta Selatan, Daerah Khusus Ibukota Jakarta 12250</t>
  </si>
  <si>
    <t>RT.7/RW.2, Ulujami, Pesanggrahan, RT.7/RW.2, Ulujami, Kec. Pesanggrahan, Kota Jakarta Selatan</t>
  </si>
  <si>
    <t>https://maps.google.com/?cid=0x0:0x7cbec4ca3e4b0f52</t>
  </si>
  <si>
    <t>Green Permata Residences</t>
  </si>
  <si>
    <t>Jl. Swadarma Raya, RT.8/RW.2, Ulujami, Kec. Pesanggrahan, Kota Jakarta Selatan, Daerah Khusus Ibukota Jakarta 12250</t>
  </si>
  <si>
    <t>RT.8/RW.2, Ulujami, Kec. Pesanggrahan, Kota Jakarta Selatan</t>
  </si>
  <si>
    <t>https://maps.google.com/?cid=0x0:0x84d92ab450dd1785</t>
  </si>
  <si>
    <t>Komplek DPR RI Ulujami</t>
  </si>
  <si>
    <t>Jl. Kp. Baru No.7 7, RT.6/RW.2, Ulujami, Kec. Pesanggrahan, Kota Jakarta Selatan, Daerah Khusus Ibukota Jakarta 12250</t>
  </si>
  <si>
    <t>RT.6/RW.2, Ulujami, Kec. Pesanggrahan, Kota Jakarta Selatan</t>
  </si>
  <si>
    <t>https://maps.google.com/?cid=0x0:0x14fbd8aae1179c16</t>
  </si>
  <si>
    <t>Komplek Green Park</t>
  </si>
  <si>
    <t>Jl. Olive No.A11, Ulujami, Kec. Pesanggrahan, Kota Jakarta Selatan, Daerah Khusus Ibukota Jakarta 12250</t>
  </si>
  <si>
    <t>Ulujami, Kec. Pesanggrahan, Kota Jakarta Selatan</t>
  </si>
  <si>
    <t>https://maps.google.com/?cid=0x0:0xb994be67b5045cd0</t>
  </si>
  <si>
    <t>Green Permata Residence</t>
  </si>
  <si>
    <t>QQC6+6MX, Jl. Green Permata Boulevard, RT.1/RW.2, Ulujami, Kec. Pesanggrahan, Kota Jakarta Selatan, Daerah Khusus Ibukota Jakarta 12250</t>
  </si>
  <si>
    <t>Jl. Green Permata Boulevard, RT.1/RW.2, Ulujami, Kec. Pesanggrahan, Kota Jakarta Selatan</t>
  </si>
  <si>
    <t>https://maps.google.com/?cid=0x0:0xd5229ff53fded4a0</t>
  </si>
  <si>
    <t>QQF6+Q88, Jl. Swadarma Raya, RT.7/RW.2, Ulujami, Kec. Pesanggrahan, Kota Jakarta Selatan, Daerah Khusus Ibukota Jakarta 12250</t>
  </si>
  <si>
    <t>Jl. Swadarma Raya, RT.7/RW.2, Ulujami, Kec. Pesanggrahan, Kota Jakarta Selatan</t>
  </si>
  <si>
    <t>https://maps.google.com/?cid=0x0:0x392b5e989cc75b7a</t>
  </si>
  <si>
    <t>Petra Residence</t>
  </si>
  <si>
    <t>Jl. H. Harun No.4 5, RT.5/RW.11, Petukangan Utara, Kec. Pesanggrahan, Kota Jakarta Selatan, Daerah Khusus Ibukota Jakarta 12260</t>
  </si>
  <si>
    <t>RT.5/RW.11, Petukangan Utara, Kec. Pesanggrahan, Kota Jakarta Selatan</t>
  </si>
  <si>
    <t>https://maps.google.com/?cid=0x0:0xae9fb872025cb20</t>
  </si>
  <si>
    <t>Perumahan Taman Alfa Indah</t>
  </si>
  <si>
    <t>QQJ3+GPM, Jl. Taman Alfa Indah, RT.10/RW.7, Petukangan Utara, Kec. Pesanggrahan, Kota Jakarta Selatan, Daerah Khusus Ibukota Jakarta 12260</t>
  </si>
  <si>
    <t>Jl. Taman Alfa Indah, RT.10/RW.7, Petukangan Utara, Kec. Pesanggrahan, Kota Jakarta Selatan</t>
  </si>
  <si>
    <t>https://maps.google.com/?cid=0x0:0x623f2879df0578a0</t>
  </si>
  <si>
    <t>Komp. Pusri Petukangan Utara</t>
  </si>
  <si>
    <t>Jl. Perumahan Pusri No.6 Blok C14, RT.6/RW.6, Petukangan Utara, Kec. Pesanggrahan, Kota Jakarta Selatan, Daerah Khusus Ibukota Jakarta 12260</t>
  </si>
  <si>
    <t>RT.6/RW.6, Petukangan Utara, Kec. Pesanggrahan, Kota Jakarta Selatan</t>
  </si>
  <si>
    <t>https://maps.google.com/?cid=0x0:0x7ad34db86bf2e9ec</t>
  </si>
  <si>
    <t>Perdana Residence</t>
  </si>
  <si>
    <t>Jl. Perdana No.8 7 5, RT.7/RW.5, South Petukangan, Pesanggrahan, South Jakarta City, Jakarta 12270</t>
  </si>
  <si>
    <t>RT.7/RW.5, South Petukangan, Pesanggrahan, South Jakarta City</t>
  </si>
  <si>
    <t>https://maps.google.com/?cid=0x0:0x7434810604e7199d</t>
  </si>
  <si>
    <t>Bumi Bintaro Permai ( BBP )</t>
  </si>
  <si>
    <t>Bumi Bintaro Permai No.38, RT.10/RW.8, Pesanggrahan, Kec. Pesanggrahan, Kota Jakarta Selatan, Daerah Khusus Ibukota Jakarta 12310</t>
  </si>
  <si>
    <t>RT.10/RW.8, Pesanggrahan, Kec. Pesanggrahan, Kota Jakarta Selatan</t>
  </si>
  <si>
    <t>https://maps.google.com/?cid=0x0:0x3b7dd12d292b1c73</t>
  </si>
  <si>
    <t>Perumahan Media Asri</t>
  </si>
  <si>
    <t>Perum Media Asri, Jl. Penerangan VI No.9, RT.9/RW.7, Pesanggrahan, Pondok Aren, South Jakarta City, Jakarta 12320</t>
  </si>
  <si>
    <t>Jl. Penerangan VI No.9, RT.9/RW.7, Pesanggrahan, Pondok Aren, South Jakarta City</t>
  </si>
  <si>
    <t>https://maps.google.com/?cid=0x0:0x60234e03449c7b86</t>
  </si>
  <si>
    <t>Perumahan Karyawan Penerangan</t>
  </si>
  <si>
    <t>PQX4+WH6, Jl. Penerangan Raya, RT.5/RW.7, Pesanggrahan, Kec. Pesanggrahan, Kota Jakarta Selatan, Daerah Khusus Ibukota Jakarta 12320</t>
  </si>
  <si>
    <t>Jl. Penerangan Raya, RT.5/RW.7, Pesanggrahan, Kec. Pesanggrahan, Kota Jakarta Selatan</t>
  </si>
  <si>
    <t>https://maps.google.com/?cid=0x0:0xca657dc84d8e777c</t>
  </si>
  <si>
    <t>Acacia Residence</t>
  </si>
  <si>
    <t>Acacia Residence, Jl. Bintaro Alamanda 2 No.15 Blok HE, RT.9/RW.2, Pesanggrahan, Kec. Pesanggrahan, Kota Jakarta Selatan, Daerah Khusus Ibukota Jakarta 12320</t>
  </si>
  <si>
    <t>Jl. Bintaro Alamanda 2 No.15 Blok HE, RT.9/RW.2, Pesanggrahan, Kec. Pesanggrahan, Kota Jakarta Selatan</t>
  </si>
  <si>
    <t>https://maps.google.com/?cid=0x0:0x9fe67bad0a9c429</t>
  </si>
  <si>
    <t>Harapan Asri</t>
  </si>
  <si>
    <t>PQG7+GP5, Harapan Asri Bintato Pesanggrahan Kota, RT.1/RW.3, Bintaro, Kec. Pesanggrahan, Kota Jakarta Selatan, Daerah Khusus Ibukota Jakarta 12330</t>
  </si>
  <si>
    <t>Harapan Asri Bintato Pesanggrahan Kota, RT.1/RW.3, Bintaro, Kec. Pesanggrahan, Kota Jakarta Selatan</t>
  </si>
  <si>
    <t>https://maps.google.com/?cid=0x0:0xb8569c10d50e563b</t>
  </si>
  <si>
    <t>Ozone Residence, 16, Jl. YRS III No.RT.15, RT.10/RW.6, Bintaro, Kec. Pesanggrahan, Kota Jakarta Selatan, Daerah Khusus Ibukota Jakarta 12330</t>
  </si>
  <si>
    <t>16, Jl. YRS III No.RT.15, RT.10/RW.6, Bintaro, Kec. Pesanggrahan, Kota Jakarta Selatan</t>
  </si>
  <si>
    <t>https://maps.google.com/?cid=0x0:0x4897b359272232e5</t>
  </si>
  <si>
    <t>Komplek Depsos Bintaro</t>
  </si>
  <si>
    <t>Jl. Depsos No.5, RT.III/RW.2, Bintaro, Kec. Pesanggrahan, Kota Jakarta Selatan, Daerah Khusus Ibukota Jakarta 12330</t>
  </si>
  <si>
    <t>RT.III/RW.2, Bintaro, Kec. Pesanggrahan, Kota Jakarta Selatan</t>
  </si>
  <si>
    <t>https://maps.google.com/?cid=0x0:0x9c4a0cba21248caa</t>
  </si>
  <si>
    <t>Belmont Residence</t>
  </si>
  <si>
    <t>Jl. H. Alih No.6, RT.2/RW.7, Bintaro, Kec. Pesanggrahan, Kota Jakarta Selatan, Daerah Khusus Ibukota Jakarta 12330</t>
  </si>
  <si>
    <t>RT.2/RW.7, Bintaro, Kec. Pesanggrahan, Kota Jakarta Selatan</t>
  </si>
  <si>
    <t>https://maps.google.com/?cid=0x0:0x694e412725129635</t>
  </si>
  <si>
    <t>Komplek IKPN</t>
  </si>
  <si>
    <t>Blk. H No.5, RT.5/RW.4, Bintaro, Kec. Pesanggrahan, Kota Jakarta Selatan, Daerah Khusus Ibukota Jakarta 12330</t>
  </si>
  <si>
    <t>RT.5/RW.4, Bintaro, Kec. Pesanggrahan, Kota Jakarta Selatan</t>
  </si>
  <si>
    <t>https://maps.google.com/?cid=0x0:0xef242dc80611f76d</t>
  </si>
  <si>
    <t>Pinang Residences</t>
  </si>
  <si>
    <t>1, Jl. Deplu Raya No.16, RT.6/RW.3, Bintaro, Kec. Pesanggrahan, Kota Jakarta Selatan, Daerah Khusus Ibukota Jakarta 12330</t>
  </si>
  <si>
    <t>Jl. Deplu Raya No.16, RT.6/RW.3, Bintaro, Kec. Pesanggrahan, Kota Jakarta Selatan</t>
  </si>
  <si>
    <t>https://maps.google.com/?cid=0x0:0x6fe25525de77c230</t>
  </si>
  <si>
    <t>Taman Bukit Permai Residence</t>
  </si>
  <si>
    <t>Jl. Pendidikan 1 No.7, RT.10/RW.6, Bintaro, Kec. Pesanggrahan, Kota Jakarta Selatan, Daerah Khusus Ibukota Jakarta 12330</t>
  </si>
  <si>
    <t>RT.10/RW.6, Bintaro, Kec. Pesanggrahan, Kota Jakarta Selatan</t>
  </si>
  <si>
    <t>https://maps.google.com/?cid=0x0:0x85b1ff46edd4593d</t>
  </si>
  <si>
    <t>Taman Patra II-13</t>
  </si>
  <si>
    <t>Jl. Taman Patra II No.13 5, RT.5/RW.4, Kuningan Tim., Kecamatan Setiabudi, Kota Jakarta Selatan, Daerah Khusus Ibukota Jakarta 12950</t>
  </si>
  <si>
    <t>RT.5/RW.4, Kuningan Tim., Kecamatan Setiabudi, Kota Jakarta Selatan</t>
  </si>
  <si>
    <t>https://maps.google.com/?cid=0x0:0x2ffdafcfb98be682</t>
  </si>
  <si>
    <t>Komplek BI pancoran</t>
  </si>
  <si>
    <t>Jl. Tabanas No.a38, RT.3/RW.8, Menteng Dalam, Kec. Pancoran, Kota Jakarta Selatan, Daerah Khusus Ibukota Jakarta 12870</t>
  </si>
  <si>
    <t>RT.3/RW.8, Menteng Dalam, Kec. Pancoran, Kota Jakarta Selatan</t>
  </si>
  <si>
    <t>https://maps.google.com/?cid=0x0:0xaf8de13451eecdcb</t>
  </si>
  <si>
    <t>Winville Residence</t>
  </si>
  <si>
    <t>Jl. Lb. Bulus Raya 1 No.50 M, RT.5/RW.1, Lb. Bulus, Kec. Cilandak, Kota Jakarta Selatan, Daerah Khusus Ibukota Jakarta 12440</t>
  </si>
  <si>
    <t>RT.5/RW.1, Lb. Bulus, Kec. Cilandak, Kota Jakarta Selatan</t>
  </si>
  <si>
    <t>https://maps.google.com/?cid=0x0:0xad76022f5d936dba</t>
  </si>
  <si>
    <t>Bamboo Premium Residence</t>
  </si>
  <si>
    <t>Jl. Taman Sari I No.65, RT.7/RW.3, Lb. Bulus, Kec. Cilandak, Kota Jakarta Selatan, Daerah Khusus Ibukota Jakarta 12440</t>
  </si>
  <si>
    <t>RT.7/RW.3, Lb. Bulus, Kec. Cilandak, Kota Jakarta Selatan</t>
  </si>
  <si>
    <t>https://maps.google.com/?cid=0x0:0x70b125cddd00adcd</t>
  </si>
  <si>
    <t>Perumahan Cirendeu Permai</t>
  </si>
  <si>
    <t>PQ59+68X, Jl. Cirendeu Permai Raya, RT.4/RW.2, Lb. Bulus, Kec. Cilandak, Kota Jakarta Selatan, Daerah Khusus Ibukota Jakarta 12440</t>
  </si>
  <si>
    <t>Jl. Cirendeu Permai Raya, RT.4/RW.2, Lb. Bulus, Kec. Cilandak, Kota Jakarta Selatan</t>
  </si>
  <si>
    <t>https://maps.google.com/?cid=0x0:0xac2fc451b4c7d6df</t>
  </si>
  <si>
    <t>Villa Delima</t>
  </si>
  <si>
    <t>MQRH+3Q7, Jl. Delima Utara No.2 14, RT.14/RW.8, Lb. Bulus, Kec. Cilandak, Kota Jakarta Selatan, Daerah Khusus Ibukota Jakarta 12440</t>
  </si>
  <si>
    <t>Jl. Delima Utara No.2 14, RT.14/RW.8, Lb. Bulus, Kec. Cilandak, Kota Jakarta Selatan</t>
  </si>
  <si>
    <t>https://maps.google.com/?cid=0x0:0xcc8cd293e3a72403</t>
  </si>
  <si>
    <t>Jl. Bumi Asih IV No.09 Blok A5, RT.13/RW.3, Lb. Bulus, Kec. Cilandak, Kota Jakarta Selatan, Daerah Khusus Ibukota Jakarta 12440</t>
  </si>
  <si>
    <t>RT.13/RW.3, Lb. Bulus, Kec. Cilandak, Kota Jakarta Selatan</t>
  </si>
  <si>
    <t>https://maps.google.com/?cid=0x0:0x5fbbf7799ac267d1</t>
  </si>
  <si>
    <t>Jasmine Residence</t>
  </si>
  <si>
    <t>Jl. Pondok Labu II No.7 3, RT.3/RW.3, Pd. Labu, Kec. Cilandak, Kota Jakarta Selatan, Daerah Khusus Ibukota Jakarta 12450</t>
  </si>
  <si>
    <t>RT.3/RW.3, Pd. Labu, Kec. Cilandak, Kota Jakarta Selatan</t>
  </si>
  <si>
    <t>https://maps.google.com/?cid=0x0:0x613a53234e67ab8b</t>
  </si>
  <si>
    <t>KOMPLEK PT. TIMAH CILANDAK</t>
  </si>
  <si>
    <t>Jalan Kompleks Timah No.60 2, RT.9/RW.4, Cilandak Bar., Kec. Cilandak, Kota Jakarta Selatan, Daerah Khusus Ibukota Jakarta 12430</t>
  </si>
  <si>
    <t>RT.9/RW.4, Cilandak Bar., Kec. Cilandak, Kota Jakarta Selatan</t>
  </si>
  <si>
    <t>https://maps.google.com/?cid=0x0:0x8cb45fcfa28e94be</t>
  </si>
  <si>
    <t>TAMAYA RESIDENCES</t>
  </si>
  <si>
    <t>No.D4-5, Jl. Taman Wijaya Kusuma, Cilandak Bar., Kec. Cilandak, Kota Jakarta Selatan, Daerah Khusus Ibukota Jakarta 12450</t>
  </si>
  <si>
    <t>Jl. Taman Wijaya Kusuma, Cilandak Bar., Kec. Cilandak, Kota Jakarta Selatan</t>
  </si>
  <si>
    <t>https://maps.google.com/?cid=0x0:0x78c7ada7e2c9f2ed</t>
  </si>
  <si>
    <t>Arkania Residence</t>
  </si>
  <si>
    <t>7, Jl. Nangka Raya No.25, RT.7/RW.5, Tj. Bar., Kec. Jagakarsa, Kota Jakarta Selatan, Daerah Khusus Ibukota Jakarta 12530</t>
  </si>
  <si>
    <t>Jl. Nangka Raya No.25, RT.7/RW.5, Tj. Bar., Kec. Jagakarsa, Kota Jakarta Selatan</t>
  </si>
  <si>
    <t>https://maps.google.com/?cid=0x0:0xcd2706320fa6427f</t>
  </si>
  <si>
    <t>Perumahan Puri Mutiara</t>
  </si>
  <si>
    <t>Jl. Gintung, RT.9/RW.2, Tj. Bar., Kec. Jagakarsa, Kota Jakarta Selatan, Daerah Khusus Ibukota Jakarta 12530</t>
  </si>
  <si>
    <t>RT.9/RW.2, Tj. Bar., Kec. Jagakarsa, Kota Jakarta Selatan</t>
  </si>
  <si>
    <t>https://maps.google.com/?cid=0x0:0x3261da2a8f90cbda</t>
  </si>
  <si>
    <t>Griya Mitra Rancho</t>
  </si>
  <si>
    <t>Jl. Rancho Indah No.8, RT.8/RW.2, Tj. Bar., Kec. Jagakarsa, Kota Jakarta Selatan, Daerah Khusus Ibukota Jakarta 12530</t>
  </si>
  <si>
    <t>RT.8/RW.2, Tj. Bar., Kec. Jagakarsa, Kota Jakarta Selatan</t>
  </si>
  <si>
    <t>https://maps.google.com/?cid=0x0:0xc9683d0edf1b3085</t>
  </si>
  <si>
    <t>Jannati Village</t>
  </si>
  <si>
    <t>Jl. Poltangan Raya No.3, RT.3/RW.5, Tj. Bar., Kec. Jagakarsa, Kota Jakarta Selatan, Daerah Khusus Ibukota Jakarta 12530</t>
  </si>
  <si>
    <t>RT.3/RW.5, Tj. Bar., Kec. Jagakarsa, Kota Jakarta Selatan</t>
  </si>
  <si>
    <t>https://maps.google.com/?cid=0x0:0x3937dc336ebf2f74</t>
  </si>
  <si>
    <t>Taman Botanik</t>
  </si>
  <si>
    <t>Jl. Moh. Kahfi 1 No.21, RT.2/RW.6, Jagakarsa, Kec. Jagakarsa, Kota Jakarta Selatan, Daerah Khusus Ibukota Jakarta 12620</t>
  </si>
  <si>
    <t>RT.2/RW.6, Jagakarsa, Kec. Jagakarsa, Kota Jakarta Selatan</t>
  </si>
  <si>
    <t>https://maps.google.com/?cid=0x0:0xe740a0c9ced531dc</t>
  </si>
  <si>
    <t>Sakinah Residence</t>
  </si>
  <si>
    <t>MRFC+446, Jl. Jagakarsa 1, RT.5/RW.2, Jagakarsa, Kec. Jagakarsa, Kota Jakarta Selatan, Daerah Khusus Ibukota Jakarta 12620</t>
  </si>
  <si>
    <t>Jl. Jagakarsa 1, RT.5/RW.2, Jagakarsa, Kec. Jagakarsa, Kota Jakarta Selatan</t>
  </si>
  <si>
    <t>https://maps.google.com/?cid=0x0:0xfe735c4b40608546</t>
  </si>
  <si>
    <t>Green Kebagusan</t>
  </si>
  <si>
    <t>Jl. Klp. Hijau No.Raya, RT.11/RW.3, Jagakarsa, Kec. Jagakarsa, Kota Jakarta Selatan, Daerah Khusus Ibukota Jakarta 12620</t>
  </si>
  <si>
    <t>RT.11/RW.3, Jagakarsa, Kec. Jagakarsa, Kota Jakarta Selatan</t>
  </si>
  <si>
    <t>https://maps.google.com/?cid=0x0:0x16388bfba11b678c</t>
  </si>
  <si>
    <t>Perumahan Roda Residence</t>
  </si>
  <si>
    <t>Jl. Kecapi V No.1 13, RT.13/RW.5, Jagakarsa, Kec. Jagakarsa, Kota Jakarta Selatan, Daerah Khusus Ibukota Jakarta 12620</t>
  </si>
  <si>
    <t>RT.13/RW.5, Jagakarsa, Kec. Jagakarsa, Kota Jakarta Selatan</t>
  </si>
  <si>
    <t>https://maps.google.com/?cid=0x0:0x8704aa535211f89c</t>
  </si>
  <si>
    <t>Griya Ihsani IV</t>
  </si>
  <si>
    <t>Jl. Raya Jagakarsa No.59 9 7 9, RT.9/RW.7, Jagakarsa, Kec. Jagakarsa, Kota Jakarta Selatan, Daerah Khusus Ibukota Jakarta 12620</t>
  </si>
  <si>
    <t>RT.9/RW.7, Jagakarsa, Kec. Jagakarsa, Kota Jakarta Selatan</t>
  </si>
  <si>
    <t>https://maps.google.com/?cid=0x0:0x8516956c8bbbe237</t>
  </si>
  <si>
    <t>Mutiara Residence Jagakarsa</t>
  </si>
  <si>
    <t>Jl. Panjang No.24 6, RT.6/RW.4, Cipedak, Kec. Jagakarsa, Kota Jakarta Selatan, Daerah Khusus Ibukota Jakarta 12630</t>
  </si>
  <si>
    <t>RT.6/RW.4, Cipedak, Kec. Jagakarsa, Kota Jakarta Selatan</t>
  </si>
  <si>
    <t>https://maps.google.com/?cid=0x0:0x5bfa9ec2e9e8bb9</t>
  </si>
  <si>
    <t>Taman Melati Residence</t>
  </si>
  <si>
    <t>Blok Haji Muhamad No., Jl. Joe Klp. Tiga Blok Haji Muhamad No.13, RT.2/RW.3, Lenteng Agung, Kec. Jagakarsa, Kota Jakarta Selatan, Daerah Khusus Ibukota Jakarta 12630</t>
  </si>
  <si>
    <t>Jl. Joe Klp. Tiga Blok Haji Muhamad No.13, RT.2/RW.3, Lenteng Agung, Kec. Jagakarsa, Kota Jakarta Selatan</t>
  </si>
  <si>
    <t>https://maps.google.com/?cid=0x0:0xdcd3df5c93ed0555</t>
  </si>
  <si>
    <t>Num One Residence Jagakarsa</t>
  </si>
  <si>
    <t>Jl. Cipedak I No.7, RT.9/RW.9, Srengseng Sawah, Kec. Jagakarsa, Kota Jakarta Selatan, Daerah Khusus Ibukota Jakarta 12630</t>
  </si>
  <si>
    <t>RT.9/RW.9, Srengseng Sawah, Kec. Jagakarsa, Kota Jakarta Selatan</t>
  </si>
  <si>
    <t>https://maps.google.com/?cid=0x0:0x9996a593a4445ee</t>
  </si>
  <si>
    <t>balivillashub.com</t>
  </si>
  <si>
    <t>Casarena Residence</t>
  </si>
  <si>
    <t>Jl. Moch. Kahfi II No.3 1, RT.4/RW.4, Ciganjur, Kec. Jagakarsa, Kota Jakarta Selatan, Daerah Khusus Ibukota Jakarta 12630</t>
  </si>
  <si>
    <t>RT.4/RW.4, Ciganjur, Kec. Jagakarsa, Kota Jakarta Selatan</t>
  </si>
  <si>
    <t>https://maps.google.com/?cid=0x0:0x2f86c9fbefee99f9</t>
  </si>
  <si>
    <t>Vinewood Residence 2</t>
  </si>
  <si>
    <t>Jl. Moch. Kahfi II, seberang Jl. Radio, RT.1/RW.8, Srengseng Sawah, Jagakarsa, South Jakarta City, Jakarta 12640</t>
  </si>
  <si>
    <t>seberang Jl. Radio, RT.1/RW.8, Srengseng Sawah, Jagakarsa, South Jakarta City</t>
  </si>
  <si>
    <t>https://maps.google.com/?cid=0x0:0x9323d3b02c85687a</t>
  </si>
  <si>
    <t>Sirsak Town House</t>
  </si>
  <si>
    <t>Jl. Sirsak No.raya No, 4 Kav A1s/d B9, RT.10/RW.1, Jagakarsa, Kec. Jagakarsa, Kota Jakarta Selatan, Daerah Khusus Ibukota Jakarta 12640</t>
  </si>
  <si>
    <t>4 Kav A1s/d B9, RT.10/RW.1, Jagakarsa, Kec. Jagakarsa, Kota Jakarta Selatan</t>
  </si>
  <si>
    <t>https://maps.google.com/?cid=0x0:0x38c8302ee28cb6a1</t>
  </si>
  <si>
    <t>Ganis Residence</t>
  </si>
  <si>
    <t>Jl. Cemara No.17 9, RT.9/RW.4, Selong, Kec. Kby. Baru, Kota Jakarta Selatan, Daerah Khusus Ibukota Jakarta 12110</t>
  </si>
  <si>
    <t>RT.9/RW.4, Selong, Kec. Kby. Baru, Kota Jakarta Selatan</t>
  </si>
  <si>
    <t>https://maps.google.com/?cid=0x0:0x61e7dce43702d2f9</t>
  </si>
  <si>
    <t>Komplek Pertamina No 11</t>
  </si>
  <si>
    <t>Jl. Sinabung II No.11, RT.5/RW.5, Gunung, Kec. Kby. Baru, Kota Jakarta Selatan, Daerah Khusus Ibukota Jakarta 12120</t>
  </si>
  <si>
    <t>RT.5/RW.5, Gunung, Kec. Kby. Baru, Kota Jakarta Selatan</t>
  </si>
  <si>
    <t>https://maps.google.com/?cid=0x0:0xbd2172a989280306</t>
  </si>
  <si>
    <t>Perumahan Cakrabuana Residence 2</t>
  </si>
  <si>
    <t>perumahan Cakrabuana 2, Jl. Rambai Block BB6, Kramat Pela, Kec. Kby. Baru, Kota Jakarta Selatan, Daerah Khusus Ibukota Jakarta 12130</t>
  </si>
  <si>
    <t>Jl. Rambai Block BB6, Kramat Pela, Kec. Kby. Baru, Kota Jakarta Selatan</t>
  </si>
  <si>
    <t>https://maps.google.com/?cid=0x0:0x443d588ae9f56b20</t>
  </si>
  <si>
    <t>Perumahan jatibening bari 2 pondok gede bekasi</t>
  </si>
  <si>
    <t>Jl limau atas 8/03, RT.5</t>
  </si>
  <si>
    <t>Kota Jakarta Selatan, Daerah Khusus Ibukota Jakarta</t>
  </si>
  <si>
    <t>https://maps.google.com/?cid=0x0:0x1507c82262bd611c</t>
  </si>
  <si>
    <t>LBP Residence</t>
  </si>
  <si>
    <t>Jl. H. Jian No.83a, RT.8/RW.7, Cipete Utara, Kec. Kby. Baru, Kota Jakarta Selatan, Daerah Khusus Ibukota Jakarta 12150</t>
  </si>
  <si>
    <t>RT.8/RW.7, Cipete Utara, Kec. Kby. Baru, Kota Jakarta Selatan</t>
  </si>
  <si>
    <t>https://maps.google.com/?cid=0x0:0xa8a6c06d934b71f7</t>
  </si>
  <si>
    <t>Perumahan Senayan Residence</t>
  </si>
  <si>
    <t>Grogol Utara, Kec. Kby. Lama, Kota Jakarta Selatan, Daerah Khusus Ibukota Jakarta</t>
  </si>
  <si>
    <t>https://maps.google.com/?cid=0x0:0x3bc832233ea38601</t>
  </si>
  <si>
    <t>interpro.id</t>
  </si>
  <si>
    <t>Cipulir Permai</t>
  </si>
  <si>
    <t>Jl. Cipulir Permai No.13 Blok Q, RT.6/RW.12, Grogol Sel., Kec. Kby. Lama, Kota Jakarta Selatan, Daerah Khusus Ibukota Jakarta 12220</t>
  </si>
  <si>
    <t>RT.6/RW.12, Grogol Sel., Kec. Kby. Lama, Kota Jakarta Selatan</t>
  </si>
  <si>
    <t>https://maps.google.com/?cid=0x0:0x855610d9f1ba8b03</t>
  </si>
  <si>
    <t>Budi Asih Cluster</t>
  </si>
  <si>
    <t>QQ8C+5WF, RT.1/RW.8, Cipulir, Kec. Kby. Lama, Kota Jakarta Selatan, Daerah Khusus Ibukota Jakarta 12230</t>
  </si>
  <si>
    <t>RT.1/RW.8, Cipulir, Kec. Kby. Lama, Kota Jakarta Selatan</t>
  </si>
  <si>
    <t>https://maps.google.com/?cid=0x0:0x529bf20ebe62ef27</t>
  </si>
  <si>
    <t>Pondok Pinang Residence</t>
  </si>
  <si>
    <t>Jl. H. Midar No.18, RT.11/RW.11, Pd. Pinang, Kec. Kby. Lama, Kota Jakarta Selatan, Daerah Khusus Ibukota Jakarta 12310</t>
  </si>
  <si>
    <t>RT.11/RW.11, Pd. Pinang, Kec. Kby. Lama, Kota Jakarta Selatan</t>
  </si>
  <si>
    <t>https://maps.google.com/?cid=0x0:0xe75943211119973b</t>
  </si>
  <si>
    <t>Pondok Karya IX</t>
  </si>
  <si>
    <t>Kompleks Polri, Jl. Pondok Karya IX No.10 Blok I</t>
  </si>
  <si>
    <t>https://maps.google.com/?cid=0x0:0xba53e430d7260c0d</t>
  </si>
  <si>
    <t>Melina Alaydroes Residence</t>
  </si>
  <si>
    <t>Jl. Bangka VIII A No.24 1, RT.1/RW.12, Pela Mampang, Kec. Mampang Prpt., Kota Jakarta Selatan, Daerah Khusus Ibukota Jakarta 12720</t>
  </si>
  <si>
    <t>RT.1/RW.12, Pela Mampang, Kec. Mampang Prpt., Kota Jakarta Selatan</t>
  </si>
  <si>
    <t>https://maps.google.com/?cid=0x0:0xce4696bf4d656bc6</t>
  </si>
  <si>
    <t>Savana Residence</t>
  </si>
  <si>
    <t>Jl. Kalibata Sel. IA No.14 1, RT.1/RW.4, Kalibata, Kec. Pancoran, Kota Jakarta Selatan, Daerah Khusus Ibukota Jakarta 12740</t>
  </si>
  <si>
    <t>RT.1/RW.4, Kalibata, Kec. Pancoran, Kota Jakarta Selatan</t>
  </si>
  <si>
    <t>https://maps.google.com/?cid=0x0:0x94e4a1d32dc32409</t>
  </si>
  <si>
    <t>Komp. Polri</t>
  </si>
  <si>
    <t>PRMQ+59X Komplek Polri, Jl. Siaga Raya, RT.16/RW.1, Pejaten Bar., Ps. Minggu, Kota Jakarta Selatan, Daerah Khusus Ibukota Jakarta 12510</t>
  </si>
  <si>
    <t>Jl. Siaga Raya, RT.16/RW.1, Pejaten Bar., Ps. Minggu, Kota Jakarta Selatan</t>
  </si>
  <si>
    <t>https://maps.google.com/?cid=0x0:0xa7039a005c134de9</t>
  </si>
  <si>
    <t>Perumahan Petrokimia Gresik</t>
  </si>
  <si>
    <t>Jl. Daya Jasa No.3, RT.3/RW.3, Pejaten Bar., Ps. Minggu, Kota Jakarta Selatan, Daerah Khusus Ibukota Jakarta 12510</t>
  </si>
  <si>
    <t>RT.3/RW.3, Pejaten Bar., Ps. Minggu, Kota Jakarta Selatan</t>
  </si>
  <si>
    <t>https://maps.google.com/?cid=0x0:0xce616e7520d6bebb</t>
  </si>
  <si>
    <t>Siaga residence</t>
  </si>
  <si>
    <t>Jl. Siaga Residence No.kav C3 4, RT./RW/RW.5, West Pejaten, Pasar Minggu, South Jakarta City, Jakarta 12510</t>
  </si>
  <si>
    <t>RT./RW/RW.5, West Pejaten, Pasar Minggu, South Jakarta City</t>
  </si>
  <si>
    <t>https://maps.google.com/?cid=0x0:0xb239baa519e0146e</t>
  </si>
  <si>
    <t>The Enclave Residence</t>
  </si>
  <si>
    <t>Jl. Joe Klp. Tiga No.9, RT.7/RW.4, Kebagusan, Ps. Minggu, Kota Jakarta Selatan, Daerah Khusus Ibukota Jakarta 12520</t>
  </si>
  <si>
    <t>RT.7/RW.4, Kebagusan, Ps. Minggu, Kota Jakarta Selatan</t>
  </si>
  <si>
    <t>https://maps.google.com/?cid=0x0:0x82bab68caf21fa50</t>
  </si>
  <si>
    <t>Perumahan Gabus Raya kavling 5</t>
  </si>
  <si>
    <t>Perumahan, Jl. Gabus Raya No.36 kavling 5, RT.8/RW.7, Ps. Minggu, Kota Jakarta Selatan, Daerah Khusus Ibukota Jakarta 12520</t>
  </si>
  <si>
    <t>Jl. Gabus Raya No.36 kavling 5, RT.8/RW.7, Ps. Minggu, Kota Jakarta Selatan</t>
  </si>
  <si>
    <t>https://maps.google.com/?cid=0x0:0x1b42504d40e26569</t>
  </si>
  <si>
    <t>Rosewood Residence</t>
  </si>
  <si>
    <t>Jl. H.Khair No.8 2, RT.2/RW.4, Ragunan, Ps. Minggu, Kota Jakarta Selatan, Daerah Khusus Ibukota Jakarta 12550</t>
  </si>
  <si>
    <t>RT.2/RW.4, Ragunan, Ps. Minggu, Kota Jakarta Selatan</t>
  </si>
  <si>
    <t>https://maps.google.com/?cid=0x0:0x9db5d48074d8f988</t>
  </si>
  <si>
    <t>Kaberaz Residence 3</t>
  </si>
  <si>
    <t>Jl. H. Niih No.24, RT.6/RW.7, Ragunan, Ps. Minggu, Kota Jakarta Selatan, Daerah Khusus Ibukota Jakarta 12550</t>
  </si>
  <si>
    <t>RT.6/RW.7, Ragunan, Ps. Minggu, Kota Jakarta Selatan</t>
  </si>
  <si>
    <t>https://maps.google.com/?cid=0x0:0x6902b762da5ce07d</t>
  </si>
  <si>
    <t>PERUMAHAN BNI 6 SWADARMA</t>
  </si>
  <si>
    <t>QQ86+V55, RT.1/RW.8, Ulujami, Kec. Pesanggrahan, Kota Jakarta Selatan, Daerah Khusus Ibukota Jakarta 12250</t>
  </si>
  <si>
    <t>RT.1/RW.8, Ulujami, Kec. Pesanggrahan, Kota Jakarta Selatan</t>
  </si>
  <si>
    <t>https://maps.google.com/?cid=0x0:0x8699bde3e9b2500a</t>
  </si>
  <si>
    <t>Perumahan Green Permata Walnut</t>
  </si>
  <si>
    <t>QQ96+WGC, Perumahan Green Permata, Ulujami, Kec. Pesanggrahan, Kota Jakarta Selatan, Daerah Khusus Ibukota Jakarta 12250</t>
  </si>
  <si>
    <t>Perumahan Green Permata, Ulujami, Kec. Pesanggrahan, Kota Jakarta Selatan</t>
  </si>
  <si>
    <t>https://maps.google.com/?cid=0x0:0x5ccc29c4685a032f</t>
  </si>
  <si>
    <t>Puri Pakkita 2</t>
  </si>
  <si>
    <t>6, Jl. TK Pembina No.13, RT.6/RW.11, Petukangan Utara, Kec. Pesanggrahan, Kota Jakarta Selatan, Daerah Khusus Ibukota Jakarta 12260</t>
  </si>
  <si>
    <t>Jl. TK Pembina No.13, RT.6/RW.11, Petukangan Utara, Kec. Pesanggrahan, Kota Jakarta Selatan</t>
  </si>
  <si>
    <t>https://maps.google.com/?cid=0x0:0xb71eb437cf55f3d8</t>
  </si>
  <si>
    <t>Beo Residences South Jakarta</t>
  </si>
  <si>
    <t>Jl. Beo No.5, RT.5/RW.3, Pesanggrahan, Kec. Pesanggrahan, Kota Jakarta Selatan, Daerah Khusus Ibukota Jakarta 12320</t>
  </si>
  <si>
    <t>RT.5/RW.3, Pesanggrahan, Kec. Pesanggrahan, Kota Jakarta Selatan</t>
  </si>
  <si>
    <t>https://maps.google.com/?cid=0x0:0xe8c74322bb83e890</t>
  </si>
  <si>
    <t>VILLA ANGGREK RESIDENCE - Pondok Indah Group</t>
  </si>
  <si>
    <t>Jl. Villa Anggrek Raya Utama, RT.8/RW.12, Bintaro, Kec. Pesanggrahan, Kota Jakarta Selatan, Daerah Khusus Ibukota Jakarta 12330</t>
  </si>
  <si>
    <t>RT.8/RW.12, Bintaro, Kec. Pesanggrahan, Kota Jakarta Selatan</t>
  </si>
  <si>
    <t>https://maps.google.com/?cid=0x0:0xf64427797d7f7eee</t>
  </si>
  <si>
    <t>Perumahan Bukit Mas</t>
  </si>
  <si>
    <t>Jl. Narmada 1 No.2 7, RT.7/RW.5, Bintaro, Kec. Pesanggrahan, Kota Jakarta Selatan, Daerah Khusus Ibukota Jakarta 12330</t>
  </si>
  <si>
    <t>RT.7/RW.5, Bintaro, Kec. Pesanggrahan, Kota Jakarta Selatan</t>
  </si>
  <si>
    <t>https://maps.google.com/?cid=0x0:0x6548773869ff84a9</t>
  </si>
  <si>
    <t>Komplek BI Saharjo</t>
  </si>
  <si>
    <t>QRJV+2RP, Jl. Komp. Perumahan Akabri unid d, RT.1/RW.8, Menteng Atas, Kecamatan Setiabudi, Kota Jakarta Selatan, Daerah Khusus Ibukota Jakarta 12960</t>
  </si>
  <si>
    <t>Jl. Komp. Perumahan Akabri unid d, RT.1/RW.8, Menteng Atas, Kecamatan Setiabudi, Kota Jakarta Selatan</t>
  </si>
  <si>
    <t>https://maps.google.com/?cid=0x0:0xfd43366b8cc7fd6a</t>
  </si>
  <si>
    <t>Kompleks Keuangan</t>
  </si>
  <si>
    <t>QR8V+CMR, Jl. Prof. DR. Soepomo, RT.1/RW.2, Menteng Dalam, Kec. Tebet, Kota Jakarta Selatan, Daerah Khusus Ibukota Jakarta 12870</t>
  </si>
  <si>
    <t>Jl. Prof. DR. Soepomo, RT.1/RW.2, Menteng Dalam, Kec. Tebet, Kota Jakarta Selatan</t>
  </si>
  <si>
    <t>https://maps.google.com/?cid=0x0:0xc412d0b61b0a2fef</t>
  </si>
  <si>
    <t>Kaberaz Residence</t>
  </si>
  <si>
    <t>Jl. Wr. Sila No.2, RT.2/RW.4, Cipedak, Kec. Jagakarsa, Kota Jakarta Selatan, Daerah Khusus Ibukota Jakarta 12630</t>
  </si>
  <si>
    <t>RT.2/RW.4, Cipedak, Kec. Jagakarsa, Kota Jakarta Selatan</t>
  </si>
  <si>
    <t>https://maps.google.com/?cid=0x0:0xaca6a9194241662f</t>
  </si>
  <si>
    <t>perumahan komplek city suite</t>
  </si>
  <si>
    <t>Jl. Gatot Subroto No.km. 16.5, Karet Semanggi, Kecamatan Setiabudi, Kota Jakarta Selatan, Daerah Khusus Ibukota Jakarta</t>
  </si>
  <si>
    <t>https://maps.google.com/?cid=0x0:0x5c854688feceaae</t>
  </si>
  <si>
    <t>Komplek Guru Jagakarsa</t>
  </si>
  <si>
    <t>Jl. Masjid Al Afiah No.45, RT.1/RW.2, Jagakarsa, Kec. Jagakarsa, Kota Jakarta Selatan, Daerah Khusus Ibukota Jakarta 12620</t>
  </si>
  <si>
    <t>RT.1/RW.2, Jagakarsa, Kec. Jagakarsa, Kota Jakarta Selatan</t>
  </si>
  <si>
    <t>https://maps.google.com/?cid=0x0:0xa8aeb37e67168b68</t>
  </si>
  <si>
    <t>Veranda Private Villa 2</t>
  </si>
  <si>
    <t>Jl. Haji Saidi I No.84, RT.14/RW.7, Cipete Utara, Kec. Kby. Baru, Kota Jakarta Selatan, Daerah Khusus Ibukota Jakarta 12150</t>
  </si>
  <si>
    <t>RT.14/RW.7, Cipete Utara, Kec. Kby. Baru, Kota Jakarta Selatan</t>
  </si>
  <si>
    <t>https://maps.google.com/?cid=0x0:0xeb3076ef11dd105a</t>
  </si>
  <si>
    <t>Komplek Timah Pondok Labu</t>
  </si>
  <si>
    <t>MRM3+W2P, Jl. Komp. Timah No.Blok G, RT.2/RW.6, Pd. Labu, Kec. Cilandak, Kota Jakarta Selatan, Daerah Khusus Ibukota Jakarta 12450</t>
  </si>
  <si>
    <t>Jl. Komp. Timah No.Blok G, RT.2/RW.6, Pd. Labu, Kec. Cilandak, Kota Jakarta Selatan</t>
  </si>
  <si>
    <t>https://maps.google.com/?cid=0x0:0x11e471c63b9c06e4</t>
  </si>
  <si>
    <t>Gandaria Hills Residence</t>
  </si>
  <si>
    <t>Jl. Gandaria Ujung No.75, RT.9/RW.2, Jagakarsa, Kec. Jagakarsa, Kota Jakarta Selatan, Daerah Khusus Ibukota Jakarta 12620</t>
  </si>
  <si>
    <t>RT.9/RW.2, Jagakarsa, Kec. Jagakarsa, Kota Jakarta Selatan</t>
  </si>
  <si>
    <t>https://maps.google.com/?cid=0x0:0x8eb877ab5adb3db2</t>
  </si>
  <si>
    <t>Jl. Moh. Kahfi 1 No.Kav 73, RT.7/RW.2, Ciganjur, Kec. Jagakarsa, Kota Jakarta Selatan, Daerah Khusus Ibukota Jakarta 12630</t>
  </si>
  <si>
    <t>RT.7/RW.2, Ciganjur, Kec. Jagakarsa, Kota Jakarta Selatan</t>
  </si>
  <si>
    <t>https://maps.google.com/?cid=0x0:0x3d94c7a689259e4d</t>
  </si>
  <si>
    <t>The Tropical Residence - Jagakarsa</t>
  </si>
  <si>
    <t>Jl. Brigif No.63 12, RT.12/RW.6, Ciganjur, Kec. Jagakarsa, Kota Jakarta Selatan, Daerah Khusus Ibukota Jakarta 12630</t>
  </si>
  <si>
    <t>RT.12/RW.6, Ciganjur, Kec. Jagakarsa, Kota Jakarta Selatan</t>
  </si>
  <si>
    <t>https://maps.google.com/?cid=0x0:0xaf36308999ea8510</t>
  </si>
  <si>
    <t>Perumahan DPR RI Kalibata</t>
  </si>
  <si>
    <t>Jl. Deper Raya No.12, RT.12/RW.5, Rawajati, Kec. Pancoran, Kota Jakarta Selatan, Daerah Khusus Ibukota Jakarta 12750</t>
  </si>
  <si>
    <t>RT.12/RW.5, Rawajati, Kec. Pancoran, Kota Jakarta Selatan</t>
  </si>
  <si>
    <t>https://maps.google.com/?cid=0x0:0x35d4b2b2fbdf43a2</t>
  </si>
  <si>
    <t>Mahkota Residence 3</t>
  </si>
  <si>
    <t>PRGV+347, Jl. Siaga II, RT.11/RW.5, Pejaten Bar., Ps. Minggu, Kota Jakarta Selatan, Daerah Khusus Ibukota Jakarta 12510</t>
  </si>
  <si>
    <t>Jl. Siaga II, RT.11/RW.5, Pejaten Bar., Ps. Minggu, Kota Jakarta Selatan</t>
  </si>
  <si>
    <t>https://maps.google.com/?cid=0x0:0x4b8083b560171b73</t>
  </si>
  <si>
    <t>Taman Pesona Town House</t>
  </si>
  <si>
    <t>Jl. Kebagusan Raya No.39, RT.5/RW.7, Kebagusan, Ps. Minggu, Kota Jakarta Selatan, Daerah Khusus Ibukota Jakarta 12550</t>
  </si>
  <si>
    <t>RT.5/RW.7, Kebagusan, Ps. Minggu, Kota Jakarta Selatan</t>
  </si>
  <si>
    <t>https://maps.google.com/?cid=0x0:0x96a8c74ebdef9dfa</t>
  </si>
  <si>
    <t>Samana Residence Syarpa</t>
  </si>
  <si>
    <t>Jl. Sarpa No.8, RT.8/RW.1, Ciganjur, Kec. Jagakarsa, Kota Jakarta Selatan, Daerah Khusus Ibukota Jakarta 12630</t>
  </si>
  <si>
    <t>RT.8/RW.1, Ciganjur, Kec. Jagakarsa, Kota Jakarta Selatan</t>
  </si>
  <si>
    <t>https://maps.google.com/?cid=0x0:0xfd1b5dffba4a9be2</t>
  </si>
  <si>
    <t>PerumahanGriya torina Residen</t>
  </si>
  <si>
    <t>Jl. Keranji No.kav. 70, RT.5/RW.6, Ciganjur, Kec. Jagakarsa, Kota Jakarta Selatan, Daerah Khusus Ibukota Jakarta 12630</t>
  </si>
  <si>
    <t>RT.5/RW.6, Ciganjur, Kec. Jagakarsa, Kota Jakarta Selatan</t>
  </si>
  <si>
    <t>https://maps.google.com/?cid=0x0:0x492c50af770a8e92</t>
  </si>
  <si>
    <t>Green Persahabatan Townhouse</t>
  </si>
  <si>
    <t>Jl. Persahabatan No.7, RW.4, Cipedak, Kec. Jagakarsa, Kota Jakarta Selatan, Daerah Khusus Ibukota Jakarta 12630</t>
  </si>
  <si>
    <t>RW.4, Cipedak, Kec. Jagakarsa, Kota Jakarta Selatan</t>
  </si>
  <si>
    <t>https://maps.google.com/?cid=0x0:0x232aed4268346d6f</t>
  </si>
  <si>
    <t>Grand Trevista Pancoran</t>
  </si>
  <si>
    <t>Jl. Pancoran Tim. III No.99, Duren Tiga, Kec. Pancoran, Kota Jakarta Selatan, Daerah Khusus Ibukota Jakarta 12760</t>
  </si>
  <si>
    <t>https://maps.google.com/?cid=0x0:0xa241ac88176cfa1d</t>
  </si>
  <si>
    <t>Aryawangsa residence</t>
  </si>
  <si>
    <t>Jl. Mujair II No.9, RT.4/RW.9, Jati Padang, Ps. Minggu, Kota Jakarta Selatan, Daerah Khusus Ibukota Jakarta 12520</t>
  </si>
  <si>
    <t>RT.4/RW.9, Jati Padang, Ps. Minggu, Kota Jakarta Selatan</t>
  </si>
  <si>
    <t>https://maps.google.com/?cid=0x0:0x74a017cc7434705f</t>
  </si>
  <si>
    <t>Alamanda 2 Residence</t>
  </si>
  <si>
    <t>Jl. Klp. Peon No.25 3, RT.3/RW.4, Kebagusan, Ps. Minggu, Kota Jakarta Selatan, Daerah Khusus Ibukota Jakarta 12520</t>
  </si>
  <si>
    <t>RT.3/RW.4, Kebagusan, Ps. Minggu, Kota Jakarta Selatan</t>
  </si>
  <si>
    <t>https://maps.google.com/?cid=0x0:0xb72c44039b4ee089</t>
  </si>
  <si>
    <t>Royal Nuri Residence</t>
  </si>
  <si>
    <t>Jl. Nuri No.1, RT.2/RW.3, Pesanggrahan, Kec. Pesanggrahan, Kota Jakarta Selatan, Daerah Khusus Ibukota Jakarta 12320</t>
  </si>
  <si>
    <t>RT.2/RW.3, Pesanggrahan, Kec. Pesanggrahan, Kota Jakarta Selatan</t>
  </si>
  <si>
    <t>https://maps.google.com/?cid=0x0:0x395e455ec4185bdd</t>
  </si>
  <si>
    <t>Perumahan Tebet Mas</t>
  </si>
  <si>
    <t>Perumahan Jl. Regensi Tebet Mas, Tebet Bar., Kec. Tebet, Kota Jakarta Selatan, Daerah Khusus Ibukota Jakarta 12810</t>
  </si>
  <si>
    <t>Tebet Bar., Kec. Tebet, Kota Jakarta Selatan</t>
  </si>
  <si>
    <t>https://maps.google.com/?cid=0x0:0x646e58b9152ee148</t>
  </si>
  <si>
    <t>Jl. Komp. Depkes No.2 Blok A, RT.1/RW.7, Ps. Minggu, Kota Jakarta Selatan, Daerah Khusus Ibukota Jakarta 12520</t>
  </si>
  <si>
    <t>RT.1/RW.7, Ps. Minggu, Kota Jakarta Selatan</t>
  </si>
  <si>
    <t>https://maps.google.com/?cid=0x0:0xcabd0c06e5eae879</t>
  </si>
  <si>
    <t>Perumahan Taman Cilandak</t>
  </si>
  <si>
    <t>Jl. Taman Cilandak II No.D7, RT.12/RW.4, Cilandak Bar., Kec. Cilandak, Kota Jakarta Selatan, Daerah Khusus Ibukota Jakarta 12560</t>
  </si>
  <si>
    <t>RT.12/RW.4, Cilandak Bar., Kec. Cilandak, Kota Jakarta Selatan</t>
  </si>
  <si>
    <t>https://maps.google.com/?cid=0x0:0xdf35eed31199726d</t>
  </si>
  <si>
    <t>Taman Bona Indah</t>
  </si>
  <si>
    <t>Jl. Bona Indah Blk B 6, RT.8/RW.6, Lb. Bulus, Kec. Cilandak, Kota Jakarta Selatan, Daerah Khusus Ibukota Jakarta 12440</t>
  </si>
  <si>
    <t>RT.8/RW.6, Lb. Bulus, Kec. Cilandak, Kota Jakarta Selatan</t>
  </si>
  <si>
    <t>https://maps.google.com/?cid=0x0:0x840b48132ed6c88d</t>
  </si>
  <si>
    <t>Kahfi Park Residence</t>
  </si>
  <si>
    <t>Jl. Moh. Kahfi 1 No.65, RT.1/RW.2, Cipedak, Kec. Jagakarsa, Kota Jakarta Selatan, Daerah Khusus Ibukota Jakarta 12630</t>
  </si>
  <si>
    <t>RT.1/RW.2, Cipedak, Kec. Jagakarsa, Kota Jakarta Selatan</t>
  </si>
  <si>
    <t>https://maps.google.com/?cid=0x0:0xc67708fc96f2792e</t>
  </si>
  <si>
    <t>Komplek LIPI</t>
  </si>
  <si>
    <t>Jl. KH. Guru Amin Komplek LIPI No.4, RT.4/RW.7, Duren Tiga, Kec. Pancoran, Kota Jakarta Selatan, Daerah Khusus Ibukota Jakarta 12760</t>
  </si>
  <si>
    <t>RT.4/RW.7, Duren Tiga, Kec. Pancoran, Kota Jakarta Selatan</t>
  </si>
  <si>
    <t>https://maps.google.com/?cid=0x0:0x81f22432f43e95a</t>
  </si>
  <si>
    <t>Andina Residence</t>
  </si>
  <si>
    <t>Jl. Anggrek I No.1, RT.1/RW.2, Jagakarsa, Kec. Jagakarsa, Kota Jakarta Selatan, Daerah Khusus Ibukota Jakarta 12620</t>
  </si>
  <si>
    <t>https://maps.google.com/?cid=0x0:0x73b01fa92382b46c</t>
  </si>
  <si>
    <t>Buncit Town House</t>
  </si>
  <si>
    <t>PR6G+58W, Jl. H. Sa'abun, RT.9/RW.5, Jati Padang, Ps. Minggu, Kota Jakarta Selatan, Daerah Khusus Ibukota Jakarta 12540</t>
  </si>
  <si>
    <t>Jl. H. Sa'abun, RT.9/RW.5, Jati Padang, Ps. Minggu, Kota Jakarta Selatan</t>
  </si>
  <si>
    <t>https://maps.google.com/?cid=0x0:0x7d994a6250dfef42</t>
  </si>
  <si>
    <t>Atmaya Residence</t>
  </si>
  <si>
    <t>Atmaya Residence, Jl. Pelita Dalam No.8 7, RT.7/RW.11, Cilandak Bar., Kec. Cilandak, Kota Jakarta Selatan, Daerah Khusus Ibukota Jakarta 12430</t>
  </si>
  <si>
    <t>Jl. Pelita Dalam No.8 7, RT.7/RW.11, Cilandak Bar., Kec. Cilandak, Kota Jakarta Selatan</t>
  </si>
  <si>
    <t>https://maps.google.com/?cid=0x0:0xbae49c2ad3299bf0</t>
  </si>
  <si>
    <t>Agayya Residence</t>
  </si>
  <si>
    <t>Jl. Komp. Agama No.15A, RT.2/RW.2, Gandaria Sel., Kec. Cilandak, Kota Jakarta Selatan, Daerah Khusus Ibukota Jakarta 12420</t>
  </si>
  <si>
    <t>RT.2/RW.2, Gandaria Sel., Kec. Cilandak, Kota Jakarta Selatan</t>
  </si>
  <si>
    <t>https://maps.google.com/?cid=0x0:0xf6c6125b09a7caa6</t>
  </si>
  <si>
    <t>Komplek Timah Fatmawati Raya</t>
  </si>
  <si>
    <t>MQXV+R8Q, Jl. RS. Fatmawati Raya, RT.9/RW.4, Cilandak Bar., Kec. Cilandak, Kota Jakarta Selatan, Daerah Khusus Ibukota Jakarta 12430</t>
  </si>
  <si>
    <t>Jl. RS. Fatmawati Raya, RT.9/RW.4, Cilandak Bar., Kec. Cilandak, Kota Jakarta Selatan</t>
  </si>
  <si>
    <t>https://maps.google.com/?cid=0x0:0x4de3843d91e90caf</t>
  </si>
  <si>
    <t>Timah Residence</t>
  </si>
  <si>
    <t>Jalan Kompleks Timah No.24c 9, RT.9/RW.4, Cilandak Bar., Kec. Cilandak, Kota Jakarta Selatan, Daerah Khusus Ibukota Jakarta 12430</t>
  </si>
  <si>
    <t>https://maps.google.com/?cid=0x0:0xe699afc1c00de0e7</t>
  </si>
  <si>
    <t>Alya Residence Jagakarsa</t>
  </si>
  <si>
    <t>Jl. Batu Belah 2, Cipedak, Kec. Jagakarsa, Kota Jakarta Selatan, Daerah Khusus Ibukota Jakarta 12630</t>
  </si>
  <si>
    <t>Cipedak, Kec. Jagakarsa, Kota Jakarta Selatan</t>
  </si>
  <si>
    <t>https://maps.google.com/?cid=0x0:0x50cf5e532abf6aae</t>
  </si>
  <si>
    <t>Antasari Residence</t>
  </si>
  <si>
    <t>9 Jalan KHM. Naim III B 2 2 9, RT.2/RW.9, Cipete Utara, Kec. Kby. Baru, Kota Jakarta Selatan, Daerah Khusus Ibukota Jakarta 12150</t>
  </si>
  <si>
    <t>RT.2/RW.9, Cipete Utara, Kec. Kby. Baru, Kota Jakarta Selatan</t>
  </si>
  <si>
    <t>https://maps.google.com/?cid=0x0:0xd849b5814d65682e</t>
  </si>
  <si>
    <t>BAMBOO ASELIH RESIDENCE</t>
  </si>
  <si>
    <t>Jl. Aselih Raya, RT.12/RW.1, Cipedak, Kec. Jagakarsa, Kota Jakarta Selatan, Daerah Khusus Ibukota Jakarta 12630</t>
  </si>
  <si>
    <t>RT.12/RW.1, Cipedak, Kec. Jagakarsa, Kota Jakarta Selatan</t>
  </si>
  <si>
    <t>https://maps.google.com/?cid=0x0:0xa2b6b7fc2be35a7d</t>
  </si>
  <si>
    <t>Pondok Pinang Centre</t>
  </si>
  <si>
    <t>1, RT.1/RW.5, Pd. Pinang, Kec. Kby. Lama, Kota Jakarta Selatan, Daerah Khusus Ibukota Jakarta 12310</t>
  </si>
  <si>
    <t>RT.1/RW.5, Pd. Pinang, Kec. Kby. Lama, Kota Jakarta Selatan</t>
  </si>
  <si>
    <t>https://maps.google.com/?cid=0x0:0x49ef2cc586cbae01</t>
  </si>
  <si>
    <t>Grand Pinang Residence</t>
  </si>
  <si>
    <t>Grand Pinang Residence No.3, RT.3/RW.7, Pd. Pinang, Kec. Kby. Lama, Kota Jakarta Selatan, Daerah Khusus Ibukota Jakarta 12310</t>
  </si>
  <si>
    <t>RT.3/RW.7, Pd. Pinang, Kec. Kby. Lama, Kota Jakarta Selatan</t>
  </si>
  <si>
    <t>https://maps.google.com/?cid=0x0:0x64314ce96c8638ba</t>
  </si>
  <si>
    <t>Villa Cilandak</t>
  </si>
  <si>
    <t>Jl. Ampera Raya No.123 5, RT.5/RW.2, Ragunan, Ps. Minggu, Kota Jakarta Selatan, Daerah Khusus Ibukota Jakarta 12560</t>
  </si>
  <si>
    <t>RT.5/RW.2, Ragunan, Ps. Minggu, Kota Jakarta Selatan</t>
  </si>
  <si>
    <t>https://maps.google.com/?cid=0x0:0xad3cb50d5174a2d3</t>
  </si>
  <si>
    <t>Bintaro Hijau Residence</t>
  </si>
  <si>
    <t>RT.2/RW.12, Bintaro, Kec. Pesanggrahan, Kota Jakarta Selatan, Daerah Khusus Ibukota Jakarta 12330</t>
  </si>
  <si>
    <t>Bintaro, Kec. Pesanggrahan, Kota Jakarta Selatan</t>
  </si>
  <si>
    <t>https://maps.google.com/?cid=0x0:0xc2c326488632d29a</t>
  </si>
  <si>
    <t>Komplek Mawar Indah 73</t>
  </si>
  <si>
    <t>Jl. Mawar Indah No.73, RT.7/RW.2, Lb. Bulus, Kec. Cilandak, Kota Jakarta Selatan, Daerah Khusus Ibukota Jakarta 12440</t>
  </si>
  <si>
    <t>RT.7/RW.2, Lb. Bulus, Kec. Cilandak, Kota Jakarta Selatan</t>
  </si>
  <si>
    <t>https://maps.google.com/?cid=0x0:0xfe615d2972c2191a</t>
  </si>
  <si>
    <t>Melati Residence</t>
  </si>
  <si>
    <t>Jl. Melati Kavling DPR No.100, RT.10/RW.2, Ciganjur, Kec. Jagakarsa, Kota Jakarta Selatan, Daerah Khusus Ibukota Jakarta 12630</t>
  </si>
  <si>
    <t>RT.10/RW.2, Ciganjur, Kec. Jagakarsa, Kota Jakarta Selatan</t>
  </si>
  <si>
    <t>https://maps.google.com/?cid=0x0:0xf47d730ce97d2692</t>
  </si>
  <si>
    <t>De Viva Residence</t>
  </si>
  <si>
    <t>Jalan Aselih RT 10 RW 01, Kelurahan Cipedak, Ciganjur, Jakarta Selatan, RT.10/RW.1, Ciganjur, Kec. Jagakarsa, Kota Jakarta Selatan, Daerah Khusus Ibukota Jakarta 12640</t>
  </si>
  <si>
    <t>Kelurahan Cipedak, Ciganjur, Jakarta Selatan, RT.10/RW.1, Ciganjur, Kec. Jagakarsa, Kota Jakarta Selatan</t>
  </si>
  <si>
    <t>https://maps.google.com/?cid=0x0:0x5b84232751a507f7</t>
  </si>
  <si>
    <t>The Residence Jeruk Purut</t>
  </si>
  <si>
    <t>PR87+5V9, RT.6/RW.3, Cilandak Tim., Ps. Minggu, Kota Jakarta Selatan, Daerah Khusus Ibukota Jakarta 12560</t>
  </si>
  <si>
    <t>RT.6/RW.3, Cilandak Tim., Ps. Minggu, Kota Jakarta Selatan</t>
  </si>
  <si>
    <t>https://maps.google.com/?cid=0x0:0xdf25aa267edceb8e</t>
  </si>
  <si>
    <t>Perumahan Allay Cytologi</t>
  </si>
  <si>
    <t>Gg. Darma Bakti No.16 1, RT.1/RW.4, Petukangan Utara, Kec. Pesanggrahan, Kota Jakarta Selatan, Daerah Khusus Ibukota Jakarta 12260</t>
  </si>
  <si>
    <t>RT.1/RW.4, Petukangan Utara, Kec. Pesanggrahan, Kota Jakarta Selatan</t>
  </si>
  <si>
    <t>https://maps.google.com/?cid=0x0:0x7cf15d9e1159e972</t>
  </si>
  <si>
    <t>Puri Pesanggrahan</t>
  </si>
  <si>
    <t>Jl. M. Saidi Raya No.54 7, RT.7/RW.5, Petukangan Sel., Kec. Pesanggrahan, Kota Jakarta Selatan, Daerah Khusus Ibukota Jakarta 12270</t>
  </si>
  <si>
    <t>RT.7/RW.5, Petukangan Sel., Kec. Pesanggrahan, Kota Jakarta Selatan</t>
  </si>
  <si>
    <t>https://maps.google.com/?cid=0x0:0x251e837557f9690a</t>
  </si>
  <si>
    <t>Puri Palem Indah</t>
  </si>
  <si>
    <t>PQF7+W3H, Jl. RC. Veteran Raya, RT.3/RW.11, Bintaro, Kec. Pesanggrahan, Kota Jakarta Selatan, Daerah Khusus Ibukota Jakarta 12330</t>
  </si>
  <si>
    <t>Jl. RC. Veteran Raya, RT.3/RW.11, Bintaro, Kec. Pesanggrahan, Kota Jakarta Selatan</t>
  </si>
  <si>
    <t>https://maps.google.com/?cid=0x0:0x19c18bcc84ab5cc1</t>
  </si>
  <si>
    <t>Mangrove Gaharu Residence</t>
  </si>
  <si>
    <t>Jl. Gaharu I No.1-5 9, RT.1/RW.4, Cipete Sel., Kec. Cilandak, Kota Jakarta Selatan, Daerah Khusus Ibukota Jakarta 12410</t>
  </si>
  <si>
    <t>RT.1/RW.4, Cipete Sel., Kec. Cilandak, Kota Jakarta Selatan</t>
  </si>
  <si>
    <t>https://maps.google.com/?cid=0x0:0x242301ed5c7dd5ee</t>
  </si>
  <si>
    <t>Damasta Permata Hijau</t>
  </si>
  <si>
    <t>Jl. Rawa Simprug VIII No.39 11, RT.9/RW.10, South Grogol, Kebayoran Lama, South Jakarta City, Jakarta 12220</t>
  </si>
  <si>
    <t>RT.9/RW.10, South Grogol, Kebayoran Lama, South Jakarta City</t>
  </si>
  <si>
    <t>https://maps.google.com/?cid=0x0:0x4201dbee947c39a2</t>
  </si>
  <si>
    <t>Perhentian bus</t>
  </si>
  <si>
    <t>Kompleks Polri Ragunan AKRI</t>
  </si>
  <si>
    <t>Jl. Ampera Raya Komp. Mahkamah Agung Jl. Ampera II No.2A Blok A9, Ragunan, Ps. Minggu, Kota Jakarta Selatan, Daerah Khusus Ibukota Jakarta 12540</t>
  </si>
  <si>
    <t>Ragunan, Ps. Minggu, Kota Jakarta Selatan</t>
  </si>
  <si>
    <t>https://maps.google.com/?cid=0x0:0x8c6c4b5108ce1db7</t>
  </si>
  <si>
    <t>Komplek Pajak Cipete Selatan</t>
  </si>
  <si>
    <t>Komp. Pajak Cipete, Jl. Asem II Jl. Nusa Indah No.7, RT.14/RW.5, South Cipete, Cilandak, South Jakarta City, Jakarta 12410</t>
  </si>
  <si>
    <t>Jl. Asem II Jl. Nusa Indah No.7, RT.14/RW.5, South Cipete, Cilandak, South Jakarta City</t>
  </si>
  <si>
    <t>https://maps.google.com/?cid=0x0:0x9abe518ce37a7c9a</t>
  </si>
  <si>
    <t>Puri Sakti 1</t>
  </si>
  <si>
    <t>PRG6+X96, RT.1/RW.7, Cipete Sel., Kec. Cilandak, Kota Jakarta Selatan, Daerah Khusus Ibukota Jakarta 12410</t>
  </si>
  <si>
    <t>RT.1/RW.7, Cipete Sel., Kec. Cilandak, Kota Jakarta Selatan</t>
  </si>
  <si>
    <t>https://maps.google.com/?cid=0x0:0xbb122f329ed7a0c9</t>
  </si>
  <si>
    <t>Tanjung Barat Cluster</t>
  </si>
  <si>
    <t>Jl. H. Harun 6, RT.7/RW.3, Tj. Bar., Kec. Jagakarsa, Kota Jakarta Selatan, Daerah Khusus Ibukota Jakarta 12530</t>
  </si>
  <si>
    <t>RT.7/RW.3, Tj. Bar., Kec. Jagakarsa, Kota Jakarta Selatan</t>
  </si>
  <si>
    <t>https://maps.google.com/?cid=0x0:0x3ef5c2c16addf116</t>
  </si>
  <si>
    <t>Komplek Green Jannati</t>
  </si>
  <si>
    <t>1, Jl. Swadaya II No.48, RT.1/RW.5, Tj. Bar., Kec. Jagakarsa, Kota Jakarta Selatan, Daerah Khusus Ibukota Jakarta 12530</t>
  </si>
  <si>
    <t>Jl. Swadaya II No.48, RT.1/RW.5, Tj. Bar., Kec. Jagakarsa, Kota Jakarta Selatan</t>
  </si>
  <si>
    <t>https://maps.google.com/?cid=0x0:0xdd77b2c382155dd8</t>
  </si>
  <si>
    <t>Widya Chandra Residence</t>
  </si>
  <si>
    <t>Jl. Puspa II No.47 2, RT.9/RW.1, Senayan, Kec. Kby. Baru, Kota Jakarta Selatan, Daerah Khusus Ibukota Jakarta 12190</t>
  </si>
  <si>
    <t>RT.9/RW.1, Senayan, Kec. Kby. Baru, Kota Jakarta Selatan</t>
  </si>
  <si>
    <t>https://maps.google.com/?cid=0x0:0x45b3501e6f8cdbd8</t>
  </si>
  <si>
    <t>Hazlin residence</t>
  </si>
  <si>
    <t>Jl. Tulodong Bawah No.A2, RT.10/RW.4, Selong, Kec. Kby. Baru, Kota Jakarta Selatan, Daerah Khusus Ibukota Jakarta 12190</t>
  </si>
  <si>
    <t>RT.10/RW.4, Selong, Kec. Kby. Baru, Kota Jakarta Selatan</t>
  </si>
  <si>
    <t>https://maps.google.com/?cid=0x0:0xd9da01b775322437</t>
  </si>
  <si>
    <t>Permata Intan R10</t>
  </si>
  <si>
    <t>Blok R No, Jl. Permata Intan No.10, RT.14/RW.2, Grogol Utara, Kec. Kby. Lama, Kota Jakarta Selatan, Daerah Khusus Ibukota Jakarta 12210</t>
  </si>
  <si>
    <t>Jl. Permata Intan No.10, RT.14/RW.2, Grogol Utara, Kec. Kby. Lama, Kota Jakarta Selatan</t>
  </si>
  <si>
    <t>https://maps.google.com/?cid=0x0:0x9b889820b1efe9</t>
  </si>
  <si>
    <t>Komplek Bappenas Mampang</t>
  </si>
  <si>
    <t>Jl. Mampang Prpt. 17 No.6 Blok C, RT.8/RW.5, Duren Tiga, Pancoran, South Jakarta City, Jakarta 12760</t>
  </si>
  <si>
    <t>RT.8/RW.5, Duren Tiga, Pancoran, South Jakarta City</t>
  </si>
  <si>
    <t>https://maps.google.com/?cid=0x0:0x5f1c298e6be483f</t>
  </si>
  <si>
    <t>Mangunsong Residence</t>
  </si>
  <si>
    <t>Jl. Triloka XI Blok L-6, RT.3/RW.4, Pancoran, Kec. Pancoran, Kota Jakarta Selatan, Daerah Khusus Ibukota Jakarta 12780</t>
  </si>
  <si>
    <t>RT.3/RW.4, Pancoran, Kec. Pancoran, Kota Jakarta Selatan</t>
  </si>
  <si>
    <t>https://maps.google.com/?cid=0x0:0x4ba7bd30e9caa416</t>
  </si>
  <si>
    <t>Komplek LAN samali ujung</t>
  </si>
  <si>
    <t>Jl. H. Samali Ujung No.kav.8, RT.11/RW.4, Pejaten Bar., Ps. Minggu, Kota Jakarta Selatan, Daerah Khusus Ibukota Jakarta 12510</t>
  </si>
  <si>
    <t>RT.11/RW.4, Pejaten Bar., Ps. Minggu, Kota Jakarta Selatan</t>
  </si>
  <si>
    <t>https://maps.google.com/?cid=0x0:0xb9f9d9a89eaf83b8</t>
  </si>
  <si>
    <t>Jati Raya Residence Pasar Minggu</t>
  </si>
  <si>
    <t>Jl. Jati Raya No.8J, 8K, 8L, 8M, 8N, RT.3/RW.10, Pasar Minggu, South Jakarta City, Jakarta 12520</t>
  </si>
  <si>
    <t>8K, 8L, 8M, 8N, RT.3/RW.10, Pasar Minggu, South Jakarta City</t>
  </si>
  <si>
    <t>https://maps.google.com/?cid=0x0:0x9315ebd48b2d6efc</t>
  </si>
  <si>
    <t>Wirya Residence</t>
  </si>
  <si>
    <t>Gg. Gani No.10, RT.1/RW.4, Ragunan, Ps. Minggu, Kota Jakarta Selatan, Daerah Khusus Ibukota Jakarta 12550</t>
  </si>
  <si>
    <t>RT.1/RW.4, Ragunan, Ps. Minggu, Kota Jakarta Selatan</t>
  </si>
  <si>
    <t>https://maps.google.com/?cid=0x0:0xd7bf36f31e7eb4cb</t>
  </si>
  <si>
    <t>PERUMAHAN PONDOK LABU INDAH</t>
  </si>
  <si>
    <t>Jl. Pd. Labu Indah No.1 1, RT.2/RW.3, Pd. Labu, Kec. Cilandak, Kota Jakarta Selatan, Daerah Khusus Ibukota Jakarta 12450</t>
  </si>
  <si>
    <t>RT.2/RW.3, Pd. Labu, Kec. Cilandak, Kota Jakarta Selatan</t>
  </si>
  <si>
    <t>https://maps.google.com/?cid=0x0:0x3fcf3e9a7a2653ec</t>
  </si>
  <si>
    <t>Griya Utama 2</t>
  </si>
  <si>
    <t>Jl. Moh. Kahfi I Gg. Panjang No.5 5, RT.6/RW.4, Cipedak, Kec. Jagakarsa, Kota Jakarta Selatan, Daerah Khusus Ibukota Jakarta 12630</t>
  </si>
  <si>
    <t>https://maps.google.com/?cid=0x0:0x7f73f60a317822fa</t>
  </si>
  <si>
    <t>Saraswati Griya</t>
  </si>
  <si>
    <t>Jl. Saraswati No.5 12, RT.7/RW.7, Cipete Utara, Kec. Kby. Baru, Kota Jakarta Selatan, Daerah Khusus Ibukota Jakarta 12150</t>
  </si>
  <si>
    <t>RT.7/RW.7, Cipete Utara, Kec. Kby. Baru, Kota Jakarta Selatan</t>
  </si>
  <si>
    <t>https://maps.google.com/?cid=0x0:0x5560ba0282c11601</t>
  </si>
  <si>
    <t>Taman Puri Permata Hijau</t>
  </si>
  <si>
    <t>Jl. Biduri No.1 Blok P, RT.6/RW.1, Grogol Utara, Kec. Kby. Lama, Kota Jakarta Selatan, Daerah Khusus Ibukota Jakarta 12210</t>
  </si>
  <si>
    <t>RT.6/RW.1, Grogol Utara, Kec. Kby. Lama, Kota Jakarta Selatan</t>
  </si>
  <si>
    <t>https://maps.google.com/?cid=0x0:0x77df7a9416182d2</t>
  </si>
  <si>
    <t>Komplek BI Saharjo unit B</t>
  </si>
  <si>
    <t>QRHW+H5Q, Jl. Komp. Perumahan Akabri, RT.1/RW.8, Menteng Atas, Kecamatan Setiabudi, Kota Jakarta Selatan, Daerah Khusus Ibukota Jakarta 12960</t>
  </si>
  <si>
    <t>Jl. Komp. Perumahan Akabri, RT.1/RW.8, Menteng Atas, Kecamatan Setiabudi, Kota Jakarta Selatan</t>
  </si>
  <si>
    <t>https://maps.google.com/?cid=0x0:0x6944f22596ff7865</t>
  </si>
  <si>
    <t>Komplek Perumahan Kementerian Keuangan Cilandak</t>
  </si>
  <si>
    <t>Jl. RS. Fatmawati Raya No.7 4 E, RT.7/RW.5, West Cilandak, Cilandak, South Jakarta City, Jakarta 12430</t>
  </si>
  <si>
    <t>RT.7/RW.5, West Cilandak, Cilandak, South Jakarta City</t>
  </si>
  <si>
    <t>https://maps.google.com/?cid=0x0:0xd019f31a823e5245</t>
  </si>
  <si>
    <t>Swarnabumi Residence</t>
  </si>
  <si>
    <t>1, Jl. Cilandak VI No.26, RT.1/RW.3, Cilandak Bar., Kec. Cilandak, Kota Jakarta Selatan, Daerah Khusus Ibukota Jakarta 12430</t>
  </si>
  <si>
    <t>Jl. Cilandak VI No.26, RT.1/RW.3, Cilandak Bar., Kec. Cilandak, Kota Jakarta Selatan</t>
  </si>
  <si>
    <t>https://maps.google.com/?cid=0x0:0x1bc86daee0d43ba6</t>
  </si>
  <si>
    <t>Mutiara Fatmawati residence</t>
  </si>
  <si>
    <t>Jl. H. Kamang No.44, RT.13/RW.1, Pd. Labu, Kec. Cilandak, Kota Jakarta Selatan, Daerah Khusus Ibukota Jakarta 12450</t>
  </si>
  <si>
    <t>RT.13/RW.1, Pd. Labu, Kec. Cilandak, Kota Jakarta Selatan</t>
  </si>
  <si>
    <t>https://maps.google.com/?cid=0x0:0xfedd3b61300e01c2</t>
  </si>
  <si>
    <t>Kanajanti Residence</t>
  </si>
  <si>
    <t>Gg. Sawo 1, RT.1/RW.4, Jagakarsa, Kec. Jagakarsa, Kota Jakarta Selatan, Daerah Khusus Ibukota Jakarta 12620</t>
  </si>
  <si>
    <t>https://maps.google.com/?cid=0x0:0xec024474a3ae0c60</t>
  </si>
  <si>
    <t>Komplek The Bullez</t>
  </si>
  <si>
    <t>Gg. H. Kasan Misin No.10, RT.11/RW.2, Petukangan Utara, Kec. Pesanggrahan, Kota Jakarta Selatan, Daerah Khusus Ibukota Jakarta 12260</t>
  </si>
  <si>
    <t>RT.11/RW.2, Petukangan Utara, Kec. Pesanggrahan, Kota Jakarta Selatan</t>
  </si>
  <si>
    <t>https://maps.google.com/?cid=0x0:0x2bc1394ee388380a</t>
  </si>
  <si>
    <t>Kompleks Deplu Cipete</t>
  </si>
  <si>
    <t>Jl. Abd. Majid Dalam III No.40, RT.9/RW.5, Cipete Sel., Kec. Cilandak, Kota Jakarta Selatan, Daerah Khusus Ibukota Jakarta 12410</t>
  </si>
  <si>
    <t>RT.9/RW.5, Cipete Sel., Kec. Cilandak, Kota Jakarta Selatan</t>
  </si>
  <si>
    <t>https://maps.google.com/?cid=0x0:0xf6417c2fbbe57867</t>
  </si>
  <si>
    <t>Kompleks Deplu Gandaria Selatan</t>
  </si>
  <si>
    <t>Jl. Cendrawasih II Jl. Kemang Raya No.21, RT.2/RW.3, Gandaria Sel., Kec. Cilandak, Kota Jakarta Selatan, Daerah Khusus Ibukota Jakarta 12420</t>
  </si>
  <si>
    <t>RT.2/RW.3, Gandaria Sel., Kec. Cilandak, Kota Jakarta Selatan</t>
  </si>
  <si>
    <t>https://maps.google.com/?cid=0x0:0xe7727d4aef69e5b9</t>
  </si>
  <si>
    <t>Grand Mahual</t>
  </si>
  <si>
    <t>Jl. Poltangan Raya No.43, RT.4/RW.5, Tj. Bar., Kec. Jagakarsa, Kota Jakarta Selatan, Daerah Khusus Ibukota Jakarta 12530</t>
  </si>
  <si>
    <t>RT.4/RW.5, Tj. Bar., Kec. Jagakarsa, Kota Jakarta Selatan</t>
  </si>
  <si>
    <t>https://maps.google.com/?cid=0x0:0xcc766635fbef6856</t>
  </si>
  <si>
    <t>Perumahan Alkesa Indah</t>
  </si>
  <si>
    <t>Perumahan Alkesa Indah Jl.Alkesa-Moh, Jl. Moch. Kahfi II, RT.3/RW.1, Jagakarsa, Kec. Jagakarsa, Kota Jakarta Selatan, Daerah Khusus Ibukota Jakarta 12620</t>
  </si>
  <si>
    <t>Jl. Moch. Kahfi II, RT.3/RW.1, Jagakarsa, Kec. Jagakarsa, Kota Jakarta Selatan</t>
  </si>
  <si>
    <t>https://maps.google.com/?cid=0x0:0x3382e1a7a36c0b13</t>
  </si>
  <si>
    <t>Kenduri Residence 1 Casa de Ros</t>
  </si>
  <si>
    <t>Jl. Jagakarsa 1 Jl. Buntu No.3 2, RT.3/RW.2, Jagakarsa, Kec. Jagakarsa, Kota Jakarta Selatan, Daerah Khusus Ibukota Jakarta 12620</t>
  </si>
  <si>
    <t>https://maps.google.com/?cid=0x0:0xa6004802951e447e</t>
  </si>
  <si>
    <t>Cluster Batoe</t>
  </si>
  <si>
    <t>12640, Jl. H.M. Nalim No.89A-L, RT.1/RW.8, Srengseng Sawah, Kec. Jagakarsa, Kota Jakarta Selatan, Daerah Khusus Ibukota Jakarta 12630</t>
  </si>
  <si>
    <t>Jl. H.M. Nalim No.89A-L, RT.1/RW.8, Srengseng Sawah, Kec. Jagakarsa, Kota Jakarta Selatan</t>
  </si>
  <si>
    <t>https://maps.google.com/?cid=0x0:0x61bf4daa0eb7f969</t>
  </si>
  <si>
    <t>Sultan Agung Residence</t>
  </si>
  <si>
    <t>4, RT.4/RW.1, Ps. Manggis, Kecamatan Setiabudi, Kota Jakarta Selatan, Daerah Khusus Ibukota Jakarta 12970</t>
  </si>
  <si>
    <t>RT.4/RW.1, Ps. Manggis, Kecamatan Setiabudi, Kota Jakarta Selatan</t>
  </si>
  <si>
    <t>https://maps.google.com/?cid=0x0:0x50da32d9cf2e5c14</t>
  </si>
  <si>
    <t>Rufia Residence</t>
  </si>
  <si>
    <t>003, Jl. Tebet Barat Dalam I No.1, RT.13/RW.011, Tebet Bar., Kec. Tebet, Kota Jakarta Selatan, Daerah Khusus Ibukota Jakarta 12810</t>
  </si>
  <si>
    <t>Jl. Tebet Barat Dalam I No.1, RT.13/RW.011, Tebet Bar., Kec. Tebet, Kota Jakarta Selatan</t>
  </si>
  <si>
    <t>https://maps.google.com/?cid=0x0:0xb1654d14ccbf419b</t>
  </si>
  <si>
    <t>LeGreen Suite Supomo</t>
  </si>
  <si>
    <t>Jl. Komp. Keuangan No.1, RT.3/RW.3, Menteng Dalam, Kec. Tebet, Kota Jakarta Selatan, Daerah Khusus Ibukota Jakarta 12870</t>
  </si>
  <si>
    <t>RT.3/RW.3, Menteng Dalam, Kec. Tebet, Kota Jakarta Selatan</t>
  </si>
  <si>
    <t>https://maps.google.com/?cid=0x0:0xb182269d48c12e2c</t>
  </si>
  <si>
    <t>Perumahan Tebet Raya</t>
  </si>
  <si>
    <t>Perumahan Jl. Tebet Raya Blok M No. 26, Tebet Tim., Kec. Tebet, Kota Jakarta Selatan, Daerah Khusus Ibukota Jakarta</t>
  </si>
  <si>
    <t>https://maps.google.com/?cid=0x0:0x1a31942dbf4cda93</t>
  </si>
  <si>
    <t>Tebet Suites Residence</t>
  </si>
  <si>
    <t>10, Jl. Tebet Barat VIII No.41 10 4, RT.10/RW.4, Tebet Bar., Kec. Tebet, Kota Jakarta Selatan, Daerah Khusus Ibukota Jakarta 12810</t>
  </si>
  <si>
    <t>Jl. Tebet Barat VIII No.41 10 4, RT.10/RW.4, Tebet Bar., Kec. Tebet, Kota Jakarta Selatan</t>
  </si>
  <si>
    <t>https://maps.google.com/?cid=0x0:0xc7005b3143089771</t>
  </si>
  <si>
    <t>Casa Permata Hijau</t>
  </si>
  <si>
    <t>Jl. Biduri No.39, RT.1/RW.1, Grogol Utara, Kec. Kby. Lama, Kota Jakarta Selatan, Daerah Khusus Ibukota Jakarta 12210</t>
  </si>
  <si>
    <t>RT.1/RW.1, Grogol Utara, Kec. Kby. Lama, Kota Jakarta Selatan</t>
  </si>
  <si>
    <t>https://maps.google.com/?cid=0x0:0xa78d9ef8cb562a9e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</si>
</sst>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1.0"/>
      <color rgb="FF000000"/>
      <name val="Calibri"/>
    </font>
    <font>
      <u/>
      <sz val="11.0"/>
      <color rgb="FF000000"/>
      <name val="Calibri"/>
    </font>
    <font>
      <u/>
      <color rgb="FF0000FF"/>
    </font>
    <font>
      <u/>
      <color rgb="FF0000FF"/>
    </font>
    <font>
      <color theme="1"/>
      <name val="Arial"/>
    </font>
    <font>
      <b/>
      <u/>
      <color rgb="FF0000FF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8EA9DB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2" numFmtId="3" xfId="0" applyFont="1" applyNumberFormat="1"/>
    <xf borderId="0" fillId="0" fontId="5" numFmtId="0" xfId="0" applyAlignment="1" applyFont="1">
      <alignment readingOrder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2" numFmtId="0" xfId="0" applyFont="1"/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readingOrder="0"/>
    </xf>
    <xf borderId="0" fillId="0" fontId="3" numFmtId="11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center" readingOrder="0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bd7a35c1ab45685e" TargetMode="External"/><Relationship Id="rId42" Type="http://schemas.openxmlformats.org/officeDocument/2006/relationships/hyperlink" Target="https://maps.google.com/?cid=0x0:0xd17f65782dd152f0" TargetMode="External"/><Relationship Id="rId41" Type="http://schemas.openxmlformats.org/officeDocument/2006/relationships/hyperlink" Target="https://www.99.co/id/komplek-perumahan/19898-permata-angkasa/units" TargetMode="External"/><Relationship Id="rId44" Type="http://schemas.openxmlformats.org/officeDocument/2006/relationships/hyperlink" Target="https://maps.google.com/?cid=0x0:0x693f667329a4cb04" TargetMode="External"/><Relationship Id="rId43" Type="http://schemas.openxmlformats.org/officeDocument/2006/relationships/hyperlink" Target="http://rumah123.com/" TargetMode="External"/><Relationship Id="rId46" Type="http://schemas.openxmlformats.org/officeDocument/2006/relationships/hyperlink" Target="https://maps.google.com/?cid=0x0:0xec9059bcea9d52b4" TargetMode="External"/><Relationship Id="rId45" Type="http://schemas.openxmlformats.org/officeDocument/2006/relationships/hyperlink" Target="https://maps.google.com/?cid=0x0:0x9ea0ede5c189414f" TargetMode="External"/><Relationship Id="rId1" Type="http://schemas.openxmlformats.org/officeDocument/2006/relationships/hyperlink" Target="https://maps.google.com/?cid=0x0:0xd90b478d3f901a49" TargetMode="External"/><Relationship Id="rId2" Type="http://schemas.openxmlformats.org/officeDocument/2006/relationships/hyperlink" Target="https://maps.google.com/?cid=0x0:0x527a2af6f0eea2e5" TargetMode="External"/><Relationship Id="rId3" Type="http://schemas.openxmlformats.org/officeDocument/2006/relationships/hyperlink" Target="https://maps.google.com/?cid=0x0:0x24f8bc6b7a04b719" TargetMode="External"/><Relationship Id="rId4" Type="http://schemas.openxmlformats.org/officeDocument/2006/relationships/hyperlink" Target="https://maps.google.com/?cid=0x0:0xd0a08bba2b822c0f" TargetMode="External"/><Relationship Id="rId9" Type="http://schemas.openxmlformats.org/officeDocument/2006/relationships/hyperlink" Target="https://maps.google.com/?cid=0x0:0xc80e7f0a8415439e" TargetMode="External"/><Relationship Id="rId48" Type="http://schemas.openxmlformats.org/officeDocument/2006/relationships/hyperlink" Target="https://maps.google.com/?cid=0x0:0xe0b6ad924afd76f0" TargetMode="External"/><Relationship Id="rId47" Type="http://schemas.openxmlformats.org/officeDocument/2006/relationships/hyperlink" Target="https://maps.google.com/?cid=0x0:0x858cc91e11edb6ec" TargetMode="External"/><Relationship Id="rId49" Type="http://schemas.openxmlformats.org/officeDocument/2006/relationships/hyperlink" Target="https://maps.google.com/?cid=0x0:0xd8ee14d1e0ef37cb" TargetMode="External"/><Relationship Id="rId5" Type="http://schemas.openxmlformats.org/officeDocument/2006/relationships/hyperlink" Target="https://maps.google.com/?cid=0x0:0x63b885118d2b478f" TargetMode="External"/><Relationship Id="rId6" Type="http://schemas.openxmlformats.org/officeDocument/2006/relationships/hyperlink" Target="https://maps.google.com/?cid=0x0:0xa358c14ca1e00714" TargetMode="External"/><Relationship Id="rId7" Type="http://schemas.openxmlformats.org/officeDocument/2006/relationships/hyperlink" Target="https://www.dekoruma.com/properti/dijual-menteng-jakarta-pusat-rumah-luas-oleh-yumara-yA8MFXoN95?srsltid=AfmBOoqcV_Zi56XIprk_vywN2aWE5eoD1ar-VXh7o1dlHGuQlk6AuqTp" TargetMode="External"/><Relationship Id="rId8" Type="http://schemas.openxmlformats.org/officeDocument/2006/relationships/hyperlink" Target="https://maps.google.com/?cid=0x0:0xd8174428d30a6b17" TargetMode="External"/><Relationship Id="rId31" Type="http://schemas.openxmlformats.org/officeDocument/2006/relationships/hyperlink" Target="https://maps.google.com/?cid=0x0:0x4037d81e10e41bdc" TargetMode="External"/><Relationship Id="rId30" Type="http://schemas.openxmlformats.org/officeDocument/2006/relationships/hyperlink" Target="https://maps.google.com/?cid=0x0:0xe91278c85f714879" TargetMode="External"/><Relationship Id="rId33" Type="http://schemas.openxmlformats.org/officeDocument/2006/relationships/hyperlink" Target="https://maps.google.com/?cid=0x0:0xdd44c714dc498c0b" TargetMode="External"/><Relationship Id="rId32" Type="http://schemas.openxmlformats.org/officeDocument/2006/relationships/hyperlink" Target="https://maps.google.com/?cid=0x0:0x7a15df25eb554dab" TargetMode="External"/><Relationship Id="rId35" Type="http://schemas.openxmlformats.org/officeDocument/2006/relationships/hyperlink" Target="https://www.dekoruma.com/properti/perumahan-ayalis-residence-jakarta-pusat?srsltid=AfmBOorcYBHaXzQTQyYZvNDkG2VWmpWHOmJ76_Hafqoe-ZaICqh-EtM4" TargetMode="External"/><Relationship Id="rId34" Type="http://schemas.openxmlformats.org/officeDocument/2006/relationships/hyperlink" Target="https://maps.google.com/?cid=0x0:0xc76d6b4c5c7644c7" TargetMode="External"/><Relationship Id="rId37" Type="http://schemas.openxmlformats.org/officeDocument/2006/relationships/hyperlink" Target="http://rumah123.com/venue/villa-pasar-baru-vcm28624/" TargetMode="External"/><Relationship Id="rId36" Type="http://schemas.openxmlformats.org/officeDocument/2006/relationships/hyperlink" Target="https://maps.google.com/?cid=0x0:0x36f6f633225f871e" TargetMode="External"/><Relationship Id="rId39" Type="http://schemas.openxmlformats.org/officeDocument/2006/relationships/hyperlink" Target="https://maps.google.com/?cid=0x0:0x1c8ef7cd886676b7" TargetMode="External"/><Relationship Id="rId38" Type="http://schemas.openxmlformats.org/officeDocument/2006/relationships/hyperlink" Target="https://maps.google.com/?cid=0x0:0xb1755a0424829e52" TargetMode="External"/><Relationship Id="rId62" Type="http://schemas.openxmlformats.org/officeDocument/2006/relationships/hyperlink" Target="https://maps.google.com/?cid=0x0:0x83450972e83d591e" TargetMode="External"/><Relationship Id="rId61" Type="http://schemas.openxmlformats.org/officeDocument/2006/relationships/hyperlink" Target="https://www.dekoruma.com/properti/dijual-senen-jakarta-pusat-rumah-2-lantai-modern-oleh-pandu-renkBUYPjS?srsltid=AfmBOoq52sQOAp_0TbmMcIa07JTQOcWIprDTAP9ShanwbOedxDpY7VVH" TargetMode="External"/><Relationship Id="rId20" Type="http://schemas.openxmlformats.org/officeDocument/2006/relationships/hyperlink" Target="https://maps.google.com/?cid=0x0:0x31a91eb6fb9b6e1b" TargetMode="External"/><Relationship Id="rId64" Type="http://schemas.openxmlformats.org/officeDocument/2006/relationships/hyperlink" Target="https://maps.google.com/?cid=0x0:0x1901db8554679642" TargetMode="External"/><Relationship Id="rId63" Type="http://schemas.openxmlformats.org/officeDocument/2006/relationships/hyperlink" Target="https://maps.google.com/?cid=0x0:0x3335c864b9274ac5" TargetMode="External"/><Relationship Id="rId22" Type="http://schemas.openxmlformats.org/officeDocument/2006/relationships/hyperlink" Target="https://maps.google.com/?cid=0x0:0x3136b50cb58af39a" TargetMode="External"/><Relationship Id="rId21" Type="http://schemas.openxmlformats.org/officeDocument/2006/relationships/hyperlink" Target="https://www.99.co/id/komplek-perumahan/35102-villa-kemayoran/units" TargetMode="External"/><Relationship Id="rId65" Type="http://schemas.openxmlformats.org/officeDocument/2006/relationships/drawing" Target="../drawings/drawing1.xml"/><Relationship Id="rId24" Type="http://schemas.openxmlformats.org/officeDocument/2006/relationships/hyperlink" Target="https://maps.google.com/?cid=0x0:0xb712e237fcf126b3" TargetMode="External"/><Relationship Id="rId23" Type="http://schemas.openxmlformats.org/officeDocument/2006/relationships/hyperlink" Target="https://www.99.co/id/komplek-perumahan/15219-royalton-residence/units" TargetMode="External"/><Relationship Id="rId60" Type="http://schemas.openxmlformats.org/officeDocument/2006/relationships/hyperlink" Target="https://maps.google.com/?cid=0x0:0x429344fa2f23703a" TargetMode="External"/><Relationship Id="rId26" Type="http://schemas.openxmlformats.org/officeDocument/2006/relationships/hyperlink" Target="https://pashouses.id/rumah/komplek-tni-au-kebantenan-indah" TargetMode="External"/><Relationship Id="rId25" Type="http://schemas.openxmlformats.org/officeDocument/2006/relationships/hyperlink" Target="https://maps.google.com/?cid=0x0:0xbc3103a80cb9f738" TargetMode="External"/><Relationship Id="rId28" Type="http://schemas.openxmlformats.org/officeDocument/2006/relationships/hyperlink" Target="https://www.rumah123.com/venue/griya-agung-permai-vcm21789/" TargetMode="External"/><Relationship Id="rId27" Type="http://schemas.openxmlformats.org/officeDocument/2006/relationships/hyperlink" Target="https://maps.google.com/?cid=0x0:0xcd7a5d57d42434d" TargetMode="External"/><Relationship Id="rId29" Type="http://schemas.openxmlformats.org/officeDocument/2006/relationships/hyperlink" Target="https://maps.google.com/?cid=0x0:0xc5e11a69156dba93" TargetMode="External"/><Relationship Id="rId51" Type="http://schemas.openxmlformats.org/officeDocument/2006/relationships/hyperlink" Target="https://maps.google.com/?cid=0x0:0x6287d51e64a38ce6" TargetMode="External"/><Relationship Id="rId50" Type="http://schemas.openxmlformats.org/officeDocument/2006/relationships/hyperlink" Target="https://maps.google.com/?cid=0x0:0x3727749427809db6" TargetMode="External"/><Relationship Id="rId53" Type="http://schemas.openxmlformats.org/officeDocument/2006/relationships/hyperlink" Target="https://maps.google.com/?cid=0x0:0x83cfb060f659919d" TargetMode="External"/><Relationship Id="rId52" Type="http://schemas.openxmlformats.org/officeDocument/2006/relationships/hyperlink" Target="https://maps.google.com/?cid=0x0:0xb7700db6461a0a7f" TargetMode="External"/><Relationship Id="rId11" Type="http://schemas.openxmlformats.org/officeDocument/2006/relationships/hyperlink" Target="https://www.pinhome.id/dijual/rumah-baru/danar-residence" TargetMode="External"/><Relationship Id="rId55" Type="http://schemas.openxmlformats.org/officeDocument/2006/relationships/hyperlink" Target="https://maps.google.com/?cid=0x0:0x7877afbbc131c19e" TargetMode="External"/><Relationship Id="rId10" Type="http://schemas.openxmlformats.org/officeDocument/2006/relationships/hyperlink" Target="https://maps.google.com/?cid=0x0:0xd490002ceb86afd8" TargetMode="External"/><Relationship Id="rId54" Type="http://schemas.openxmlformats.org/officeDocument/2006/relationships/hyperlink" Target="https://maps.google.com/?cid=0x0:0xee8929b07123e1e6" TargetMode="External"/><Relationship Id="rId13" Type="http://schemas.openxmlformats.org/officeDocument/2006/relationships/hyperlink" Target="https://maps.google.com/?cid=0x0:0x6c41f57a2c4f0f2" TargetMode="External"/><Relationship Id="rId57" Type="http://schemas.openxmlformats.org/officeDocument/2006/relationships/hyperlink" Target="https://maps.google.com/?cid=0x0:0xf1cf4b6cab95cdce" TargetMode="External"/><Relationship Id="rId12" Type="http://schemas.openxmlformats.org/officeDocument/2006/relationships/hyperlink" Target="https://maps.google.com/?cid=0x0:0x16394700b15674fe" TargetMode="External"/><Relationship Id="rId56" Type="http://schemas.openxmlformats.org/officeDocument/2006/relationships/hyperlink" Target="https://maps.google.com/?cid=0x0:0x14104072691c4cc4" TargetMode="External"/><Relationship Id="rId15" Type="http://schemas.openxmlformats.org/officeDocument/2006/relationships/hyperlink" Target="https://maps.google.com/?cid=0x0:0x4c85f8fd94cbdb19" TargetMode="External"/><Relationship Id="rId59" Type="http://schemas.openxmlformats.org/officeDocument/2006/relationships/hyperlink" Target="https://maps.google.com/?cid=0x0:0x3d9b10fd2a40d466" TargetMode="External"/><Relationship Id="rId14" Type="http://schemas.openxmlformats.org/officeDocument/2006/relationships/hyperlink" Target="https://maps.google.com/?cid=0x0:0x8c3de12d1d9953f" TargetMode="External"/><Relationship Id="rId58" Type="http://schemas.openxmlformats.org/officeDocument/2006/relationships/hyperlink" Target="https://www.rumah123.com/properti/jakarta-barat/hos8724662/" TargetMode="External"/><Relationship Id="rId17" Type="http://schemas.openxmlformats.org/officeDocument/2006/relationships/hyperlink" Target="https://maps.google.com/?cid=0x0:0xcbb9bf1cfa9406a8" TargetMode="External"/><Relationship Id="rId16" Type="http://schemas.openxmlformats.org/officeDocument/2006/relationships/hyperlink" Target="https://maps.google.com/?cid=0x0:0x445f239d1a7e6f2d" TargetMode="External"/><Relationship Id="rId19" Type="http://schemas.openxmlformats.org/officeDocument/2006/relationships/hyperlink" Target="https://www.99.co/id/komplek-perumahan/10671-angkasa-pura/units" TargetMode="External"/><Relationship Id="rId18" Type="http://schemas.openxmlformats.org/officeDocument/2006/relationships/hyperlink" Target="https://maps.google.com/?cid=0x0:0xa36027573316035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aps.google.com/?cid=0x0:0xbb7cb17ce86649df" TargetMode="External"/><Relationship Id="rId190" Type="http://schemas.openxmlformats.org/officeDocument/2006/relationships/hyperlink" Target="https://maps.google.com/?cid=0x0:0x8666f53faa57344" TargetMode="External"/><Relationship Id="rId42" Type="http://schemas.openxmlformats.org/officeDocument/2006/relationships/hyperlink" Target="https://maps.google.com/?cid=0x0:0xa29c63c521686b9a" TargetMode="External"/><Relationship Id="rId41" Type="http://schemas.openxmlformats.org/officeDocument/2006/relationships/hyperlink" Target="https://www.99.co/id/komplek-perumahan/10799-cengkareng-elok/units" TargetMode="External"/><Relationship Id="rId44" Type="http://schemas.openxmlformats.org/officeDocument/2006/relationships/hyperlink" Target="https://maps.google.com/?cid=0x0:0x229e776c13c4ae9b" TargetMode="External"/><Relationship Id="rId194" Type="http://schemas.openxmlformats.org/officeDocument/2006/relationships/hyperlink" Target="https://maps.google.com/?cid=0x0:0x1dec7b8efd3b9a79" TargetMode="External"/><Relationship Id="rId43" Type="http://schemas.openxmlformats.org/officeDocument/2006/relationships/hyperlink" Target="https://rumah.trovit.co.id/rumah-green-court-cengkareng" TargetMode="External"/><Relationship Id="rId193" Type="http://schemas.openxmlformats.org/officeDocument/2006/relationships/hyperlink" Target="https://www.99.co/id/komplek-perumahan/7607-mutiara-kedoya/units" TargetMode="External"/><Relationship Id="rId46" Type="http://schemas.openxmlformats.org/officeDocument/2006/relationships/hyperlink" Target="https://maps.google.com/?cid=0x0:0x4e5e73b5f4c31800" TargetMode="External"/><Relationship Id="rId192" Type="http://schemas.openxmlformats.org/officeDocument/2006/relationships/hyperlink" Target="https://maps.google.com/?cid=0x0:0x11255751a403bbcf" TargetMode="External"/><Relationship Id="rId45" Type="http://schemas.openxmlformats.org/officeDocument/2006/relationships/hyperlink" Target="https://www.dekoruma.com/properti/dijual-cengkareng-jakarta-barat-rumah-3-lantai-santai-oleh-budi-wijaya-0tUDPbUn8Y?srsltid=AfmBOoq9wOl42xifEq7gJu_rONuJyePHFp66b6lBOecdDmWpjmlxJpON" TargetMode="External"/><Relationship Id="rId191" Type="http://schemas.openxmlformats.org/officeDocument/2006/relationships/hyperlink" Target="https://www.rumah123.com/jual/jakarta-barat/puri-indah/rumah/?furnish%5B%5D=2&amp;page=5" TargetMode="External"/><Relationship Id="rId48" Type="http://schemas.openxmlformats.org/officeDocument/2006/relationships/hyperlink" Target="https://maps.google.com/?cid=0x0:0x5480549701b4df5" TargetMode="External"/><Relationship Id="rId187" Type="http://schemas.openxmlformats.org/officeDocument/2006/relationships/hyperlink" Target="https://maps.google.com/?cid=0x0:0x12aefae497c2a98" TargetMode="External"/><Relationship Id="rId47" Type="http://schemas.openxmlformats.org/officeDocument/2006/relationships/hyperlink" Target="https://www.rumah123.com/venue/imigrasi-kertapawitan-vcm21473/" TargetMode="External"/><Relationship Id="rId186" Type="http://schemas.openxmlformats.org/officeDocument/2006/relationships/hyperlink" Target="https://maps.google.com/?cid=0x0:0xd37dfad3de4815f2" TargetMode="External"/><Relationship Id="rId185" Type="http://schemas.openxmlformats.org/officeDocument/2006/relationships/hyperlink" Target="https://www.99.co/id/komplek-perumahan/669-puri-gardena/units" TargetMode="External"/><Relationship Id="rId49" Type="http://schemas.openxmlformats.org/officeDocument/2006/relationships/hyperlink" Target="https://maps.google.com/?cid=0x0:0x61e591379b706abf" TargetMode="External"/><Relationship Id="rId184" Type="http://schemas.openxmlformats.org/officeDocument/2006/relationships/hyperlink" Target="https://maps.google.com/?cid=0x0:0x70ef90e6696b96ab" TargetMode="External"/><Relationship Id="rId189" Type="http://schemas.openxmlformats.org/officeDocument/2006/relationships/hyperlink" Target="https://maps.google.com/?cid=0x0:0x246b5ba66149bde4" TargetMode="External"/><Relationship Id="rId188" Type="http://schemas.openxmlformats.org/officeDocument/2006/relationships/hyperlink" Target="http://rumah123.com/" TargetMode="External"/><Relationship Id="rId31" Type="http://schemas.openxmlformats.org/officeDocument/2006/relationships/hyperlink" Target="https://maps.google.com/?cid=0x0:0xdd8175b4468f77d0" TargetMode="External"/><Relationship Id="rId30" Type="http://schemas.openxmlformats.org/officeDocument/2006/relationships/hyperlink" Target="https://www.99.co/id/komplek-perumahan/5851-permata-regency/units" TargetMode="External"/><Relationship Id="rId33" Type="http://schemas.openxmlformats.org/officeDocument/2006/relationships/hyperlink" Target="https://maps.google.com/?cid=0x0:0x93efedb146938a87" TargetMode="External"/><Relationship Id="rId183" Type="http://schemas.openxmlformats.org/officeDocument/2006/relationships/hyperlink" Target="https://maps.google.com/?cid=0x0:0xe145b342ce85c401" TargetMode="External"/><Relationship Id="rId32" Type="http://schemas.openxmlformats.org/officeDocument/2006/relationships/hyperlink" Target="https://maps.google.com/?cid=0x0:0xda288237482ea04" TargetMode="External"/><Relationship Id="rId182" Type="http://schemas.openxmlformats.org/officeDocument/2006/relationships/hyperlink" Target="https://maps.google.com/?cid=0x0:0x85d399cbf4b683bf" TargetMode="External"/><Relationship Id="rId35" Type="http://schemas.openxmlformats.org/officeDocument/2006/relationships/hyperlink" Target="https://www.rumah123.com/perumahan-baru/properti/jakarta-barat/casa-jardin-residence/nps3275/" TargetMode="External"/><Relationship Id="rId181" Type="http://schemas.openxmlformats.org/officeDocument/2006/relationships/hyperlink" Target="https://www.99.co/id/komplek-perumahan/364-citra-garden-5/units" TargetMode="External"/><Relationship Id="rId34" Type="http://schemas.openxmlformats.org/officeDocument/2006/relationships/hyperlink" Target="https://maps.google.com/?cid=0x0:0xfac206204b9840f4" TargetMode="External"/><Relationship Id="rId180" Type="http://schemas.openxmlformats.org/officeDocument/2006/relationships/hyperlink" Target="https://maps.google.com/?cid=0x0:0x913fb25352f38c5a" TargetMode="External"/><Relationship Id="rId37" Type="http://schemas.openxmlformats.org/officeDocument/2006/relationships/hyperlink" Target="https://www.99.co/id/komplek-perumahan/8054-cengkareng-indah/units" TargetMode="External"/><Relationship Id="rId176" Type="http://schemas.openxmlformats.org/officeDocument/2006/relationships/hyperlink" Target="https://www.rumah123.com/properti/jakarta-barat/hos13508808/" TargetMode="External"/><Relationship Id="rId36" Type="http://schemas.openxmlformats.org/officeDocument/2006/relationships/hyperlink" Target="https://maps.google.com/?cid=0x0:0xc7ad9a93e67a10c5" TargetMode="External"/><Relationship Id="rId175" Type="http://schemas.openxmlformats.org/officeDocument/2006/relationships/hyperlink" Target="https://maps.google.com/?cid=0x0:0x4a85311264bc0e0f" TargetMode="External"/><Relationship Id="rId39" Type="http://schemas.openxmlformats.org/officeDocument/2006/relationships/hyperlink" Target="https://rumah.trovit.co.id/perumahan-kosambi-baru" TargetMode="External"/><Relationship Id="rId174" Type="http://schemas.openxmlformats.org/officeDocument/2006/relationships/hyperlink" Target="https://maps.google.com/?cid=0x0:0x15f3401b6996942a" TargetMode="External"/><Relationship Id="rId38" Type="http://schemas.openxmlformats.org/officeDocument/2006/relationships/hyperlink" Target="https://maps.google.com/?cid=0x0:0xcb51ca80da9ef9ef" TargetMode="External"/><Relationship Id="rId173" Type="http://schemas.openxmlformats.org/officeDocument/2006/relationships/hyperlink" Target="https://maps.google.com/?cid=0x0:0xbb215a09ed5e40c3" TargetMode="External"/><Relationship Id="rId179" Type="http://schemas.openxmlformats.org/officeDocument/2006/relationships/hyperlink" Target="https://maps.google.com/?cid=0x0:0x5fec8b0528a2c02e" TargetMode="External"/><Relationship Id="rId178" Type="http://schemas.openxmlformats.org/officeDocument/2006/relationships/hyperlink" Target="https://cariproperti.com/rivera-residence-kebon-jeruk" TargetMode="External"/><Relationship Id="rId177" Type="http://schemas.openxmlformats.org/officeDocument/2006/relationships/hyperlink" Target="https://maps.google.com/?cid=0x0:0x18fc6e781b3383f4" TargetMode="External"/><Relationship Id="rId20" Type="http://schemas.openxmlformats.org/officeDocument/2006/relationships/hyperlink" Target="https://maps.google.com/?cid=0x0:0x7b8b115c4fd5ef02" TargetMode="External"/><Relationship Id="rId22" Type="http://schemas.openxmlformats.org/officeDocument/2006/relationships/hyperlink" Target="https://maps.google.com/?cid=0x0:0x67ec28c3b1025f5e" TargetMode="External"/><Relationship Id="rId21" Type="http://schemas.openxmlformats.org/officeDocument/2006/relationships/hyperlink" Target="https://maps.google.com/?cid=0x0:0xb6d7c6c0e3b1786c" TargetMode="External"/><Relationship Id="rId24" Type="http://schemas.openxmlformats.org/officeDocument/2006/relationships/hyperlink" Target="https://maps.google.com/?cid=0x0:0x245ce1c1d39a5655" TargetMode="External"/><Relationship Id="rId23" Type="http://schemas.openxmlformats.org/officeDocument/2006/relationships/hyperlink" Target="https://www.99.co/id/komplek-perumahan/105253-palm-blossom/units" TargetMode="External"/><Relationship Id="rId26" Type="http://schemas.openxmlformats.org/officeDocument/2006/relationships/hyperlink" Target="https://maps.google.com/?cid=0x0:0x645acab75008e6c4" TargetMode="External"/><Relationship Id="rId25" Type="http://schemas.openxmlformats.org/officeDocument/2006/relationships/hyperlink" Target="https://www.lamudi.co.id/search-result/rumah-citra-1-cengkareng/" TargetMode="External"/><Relationship Id="rId28" Type="http://schemas.openxmlformats.org/officeDocument/2006/relationships/hyperlink" Target="https://maps.google.com/?cid=0x0:0x81d2c0b6cd52d397" TargetMode="External"/><Relationship Id="rId27" Type="http://schemas.openxmlformats.org/officeDocument/2006/relationships/hyperlink" Target="https://www.99.co/id/komplek-perumahan/1306-puri-botanical-residence/units" TargetMode="External"/><Relationship Id="rId29" Type="http://schemas.openxmlformats.org/officeDocument/2006/relationships/hyperlink" Target="https://maps.google.com/?cid=0x0:0xe9341d16964d53e9" TargetMode="External"/><Relationship Id="rId11" Type="http://schemas.openxmlformats.org/officeDocument/2006/relationships/hyperlink" Target="https://www.rumah123.com/properti/jakarta-barat/hos5930138/" TargetMode="External"/><Relationship Id="rId10" Type="http://schemas.openxmlformats.org/officeDocument/2006/relationships/hyperlink" Target="https://maps.google.com/?cid=0x0:0x70ef7dc12e3d123" TargetMode="External"/><Relationship Id="rId13" Type="http://schemas.openxmlformats.org/officeDocument/2006/relationships/hyperlink" Target="https://www.rumah123.com/venue/cengkareng-residence-vcm21201/" TargetMode="External"/><Relationship Id="rId12" Type="http://schemas.openxmlformats.org/officeDocument/2006/relationships/hyperlink" Target="https://maps.google.com/?cid=0x0:0xb6571ade3670cc8f" TargetMode="External"/><Relationship Id="rId15" Type="http://schemas.openxmlformats.org/officeDocument/2006/relationships/hyperlink" Target="https://www.99.co/id/komplek-perumahan/112-golf-lake-residence/units" TargetMode="External"/><Relationship Id="rId198" Type="http://schemas.openxmlformats.org/officeDocument/2006/relationships/hyperlink" Target="https://maps.google.com/?cid=0x0:0xa72cf130a4aefd0f" TargetMode="External"/><Relationship Id="rId14" Type="http://schemas.openxmlformats.org/officeDocument/2006/relationships/hyperlink" Target="https://maps.google.com/?cid=0x0:0x69e09bf0aa3f7eba" TargetMode="External"/><Relationship Id="rId197" Type="http://schemas.openxmlformats.org/officeDocument/2006/relationships/hyperlink" Target="https://www.99.co/id/komplek-perumahan/33226-taman-kota/units" TargetMode="External"/><Relationship Id="rId17" Type="http://schemas.openxmlformats.org/officeDocument/2006/relationships/hyperlink" Target="https://www.rumah123.com/properti/jakarta-barat/hos18989830/" TargetMode="External"/><Relationship Id="rId196" Type="http://schemas.openxmlformats.org/officeDocument/2006/relationships/hyperlink" Target="https://maps.google.com/?cid=0x0:0xffd9ff18a4e57233" TargetMode="External"/><Relationship Id="rId16" Type="http://schemas.openxmlformats.org/officeDocument/2006/relationships/hyperlink" Target="https://maps.google.com/?cid=0x0:0xb575c393c99fa95f" TargetMode="External"/><Relationship Id="rId195" Type="http://schemas.openxmlformats.org/officeDocument/2006/relationships/hyperlink" Target="https://www.rumah123.com/jual/jakarta-barat/puri-mansion/rumah/" TargetMode="External"/><Relationship Id="rId19" Type="http://schemas.openxmlformats.org/officeDocument/2006/relationships/hyperlink" Target="https://www.99.co/id/komplek-perumahan/22516-casa-goya-park-residence/units" TargetMode="External"/><Relationship Id="rId18" Type="http://schemas.openxmlformats.org/officeDocument/2006/relationships/hyperlink" Target="https://maps.google.com/?cid=0x0:0x9e3ee525287a945c" TargetMode="External"/><Relationship Id="rId199" Type="http://schemas.openxmlformats.org/officeDocument/2006/relationships/hyperlink" Target="https://maps.google.com/?cid=0x0:0x8e6a35e383efa2aa" TargetMode="External"/><Relationship Id="rId84" Type="http://schemas.openxmlformats.org/officeDocument/2006/relationships/hyperlink" Target="https://maps.google.com/?cid=0x0:0x83ba28e253a73dc8" TargetMode="External"/><Relationship Id="rId83" Type="http://schemas.openxmlformats.org/officeDocument/2006/relationships/hyperlink" Target="https://www.99.co/id/komplek-perumahan/22516-casa-goya-park-residence/units" TargetMode="External"/><Relationship Id="rId86" Type="http://schemas.openxmlformats.org/officeDocument/2006/relationships/hyperlink" Target="https://maps.google.com/?cid=0x0:0x5805f38d4694a874" TargetMode="External"/><Relationship Id="rId85" Type="http://schemas.openxmlformats.org/officeDocument/2006/relationships/hyperlink" Target="https://www.99.co/id/komplek-perumahan/20869-taman-kedoya-permai/units" TargetMode="External"/><Relationship Id="rId88" Type="http://schemas.openxmlformats.org/officeDocument/2006/relationships/hyperlink" Target="https://www.99.co/id/komplek-perumahan/5031-taman-kebon-jeruk/units" TargetMode="External"/><Relationship Id="rId150" Type="http://schemas.openxmlformats.org/officeDocument/2006/relationships/hyperlink" Target="https://maps.google.com/?cid=0x0:0x6c1c8ce5e40811c3" TargetMode="External"/><Relationship Id="rId87" Type="http://schemas.openxmlformats.org/officeDocument/2006/relationships/hyperlink" Target="https://maps.google.com/?cid=0x0:0x857dd2ff01e21268" TargetMode="External"/><Relationship Id="rId89" Type="http://schemas.openxmlformats.org/officeDocument/2006/relationships/hyperlink" Target="https://maps.google.com/?cid=0x0:0x3067078995b3cf9" TargetMode="External"/><Relationship Id="rId80" Type="http://schemas.openxmlformats.org/officeDocument/2006/relationships/hyperlink" Target="https://maps.google.com/?cid=0x0:0xe679c372d9be66ca" TargetMode="External"/><Relationship Id="rId82" Type="http://schemas.openxmlformats.org/officeDocument/2006/relationships/hyperlink" Target="https://maps.google.com/?cid=0x0:0xe8c1cc67258a3f15" TargetMode="External"/><Relationship Id="rId81" Type="http://schemas.openxmlformats.org/officeDocument/2006/relationships/hyperlink" Target="https://www.99.co/id/jual/rumah/area-jakarta-barat/taman-cosmos" TargetMode="External"/><Relationship Id="rId1" Type="http://schemas.openxmlformats.org/officeDocument/2006/relationships/hyperlink" Target="https://maps.google.com/?cid=0x0:0x6041248406bd2c8b" TargetMode="External"/><Relationship Id="rId2" Type="http://schemas.openxmlformats.org/officeDocument/2006/relationships/hyperlink" Target="https://maps.google.com/?cid=0x0:0x52888f6232df6d8a" TargetMode="External"/><Relationship Id="rId3" Type="http://schemas.openxmlformats.org/officeDocument/2006/relationships/hyperlink" Target="https://maps.google.com/?cid=0x0:0x93729a82ec90bf04" TargetMode="External"/><Relationship Id="rId149" Type="http://schemas.openxmlformats.org/officeDocument/2006/relationships/hyperlink" Target="https://www.lamudi.co.id/search-result/rumah-komplek-dki-jakarta-barat/" TargetMode="External"/><Relationship Id="rId4" Type="http://schemas.openxmlformats.org/officeDocument/2006/relationships/hyperlink" Target="https://www.99.co/id/komplek-perumahan/1343-permata-puri-media/units" TargetMode="External"/><Relationship Id="rId148" Type="http://schemas.openxmlformats.org/officeDocument/2006/relationships/hyperlink" Target="https://maps.google.com/?cid=0x0:0x70a124a2e00a0184" TargetMode="External"/><Relationship Id="rId9" Type="http://schemas.openxmlformats.org/officeDocument/2006/relationships/hyperlink" Target="https://www.rumah123.com/properti/jakarta-barat/hos8168685/" TargetMode="External"/><Relationship Id="rId143" Type="http://schemas.openxmlformats.org/officeDocument/2006/relationships/hyperlink" Target="https://www.99.co/id/komplek-perumahan/65956-minagapura/units" TargetMode="External"/><Relationship Id="rId264" Type="http://schemas.openxmlformats.org/officeDocument/2006/relationships/hyperlink" Target="https://www.99.co/id/komplek-perumahan/412-golden-palm-residence/units" TargetMode="External"/><Relationship Id="rId142" Type="http://schemas.openxmlformats.org/officeDocument/2006/relationships/hyperlink" Target="https://maps.google.com/?cid=0x0:0x762090df7e7bdb16" TargetMode="External"/><Relationship Id="rId263" Type="http://schemas.openxmlformats.org/officeDocument/2006/relationships/hyperlink" Target="https://maps.google.com/?cid=0x0:0xf76d71f84ffb2d79" TargetMode="External"/><Relationship Id="rId141" Type="http://schemas.openxmlformats.org/officeDocument/2006/relationships/hyperlink" Target="https://www.99.co/id/komplek-perumahan/3154-camden-house/units" TargetMode="External"/><Relationship Id="rId262" Type="http://schemas.openxmlformats.org/officeDocument/2006/relationships/hyperlink" Target="https://www.rumah123.com/venue/permata-meruya-residence-vcm16117/" TargetMode="External"/><Relationship Id="rId140" Type="http://schemas.openxmlformats.org/officeDocument/2006/relationships/hyperlink" Target="https://maps.google.com/?cid=0x0:0xc8c1cb1d7ad410d0" TargetMode="External"/><Relationship Id="rId261" Type="http://schemas.openxmlformats.org/officeDocument/2006/relationships/hyperlink" Target="https://maps.google.com/?cid=0x0:0x8bb2fb037e88cc25" TargetMode="External"/><Relationship Id="rId5" Type="http://schemas.openxmlformats.org/officeDocument/2006/relationships/hyperlink" Target="https://maps.google.com/?cid=0x0:0x3e8f79093aa1bd03" TargetMode="External"/><Relationship Id="rId147" Type="http://schemas.openxmlformats.org/officeDocument/2006/relationships/hyperlink" Target="https://maps.google.com/?cid=0x0:0x627458dc6c835f86" TargetMode="External"/><Relationship Id="rId6" Type="http://schemas.openxmlformats.org/officeDocument/2006/relationships/hyperlink" Target="https://maps.google.com/?cid=0x0:0x16e24a10a8b7eb84" TargetMode="External"/><Relationship Id="rId146" Type="http://schemas.openxmlformats.org/officeDocument/2006/relationships/hyperlink" Target="https://maps.google.com/?cid=0x0:0xae1418e46b6f96f5" TargetMode="External"/><Relationship Id="rId7" Type="http://schemas.openxmlformats.org/officeDocument/2006/relationships/hyperlink" Target="https://www.lamudi.co.id/jual/jakarta/jakarta-barat/dijual-cepat-ruko-4-5-lantai-di-komplek-grogol-per-169951401927/" TargetMode="External"/><Relationship Id="rId145" Type="http://schemas.openxmlformats.org/officeDocument/2006/relationships/hyperlink" Target="https://www.rumah123.com/venue/dpr-ri-kemanggisan-vcm23883/" TargetMode="External"/><Relationship Id="rId8" Type="http://schemas.openxmlformats.org/officeDocument/2006/relationships/hyperlink" Target="https://maps.google.com/?cid=0x0:0x8d9605a4626c9211" TargetMode="External"/><Relationship Id="rId144" Type="http://schemas.openxmlformats.org/officeDocument/2006/relationships/hyperlink" Target="https://maps.google.com/?cid=0x0:0x789aad894ca9905c" TargetMode="External"/><Relationship Id="rId265" Type="http://schemas.openxmlformats.org/officeDocument/2006/relationships/drawing" Target="../drawings/drawing2.xml"/><Relationship Id="rId73" Type="http://schemas.openxmlformats.org/officeDocument/2006/relationships/hyperlink" Target="https://maps.google.com/?cid=0x0:0x847888884d65da46" TargetMode="External"/><Relationship Id="rId72" Type="http://schemas.openxmlformats.org/officeDocument/2006/relationships/hyperlink" Target="https://maps.google.com/?cid=0x0:0xd365bf23e825a6c1" TargetMode="External"/><Relationship Id="rId75" Type="http://schemas.openxmlformats.org/officeDocument/2006/relationships/hyperlink" Target="https://maps.google.com/?cid=0x0:0xdc65f493ac7e2b2b" TargetMode="External"/><Relationship Id="rId74" Type="http://schemas.openxmlformats.org/officeDocument/2006/relationships/hyperlink" Target="https://www.99.co/id/komplek-perumahan/77062-green-park-view/units" TargetMode="External"/><Relationship Id="rId77" Type="http://schemas.openxmlformats.org/officeDocument/2006/relationships/hyperlink" Target="https://maps.google.com/?cid=0x0:0x5b6be8e42f6b8e1f" TargetMode="External"/><Relationship Id="rId260" Type="http://schemas.openxmlformats.org/officeDocument/2006/relationships/hyperlink" Target="https://www.rumah123.com/properti/jakarta-barat/hos18074945/" TargetMode="External"/><Relationship Id="rId76" Type="http://schemas.openxmlformats.org/officeDocument/2006/relationships/hyperlink" Target="https://www.rumah123.com/jual/jakarta-barat/green-ville/rumah/" TargetMode="External"/><Relationship Id="rId79" Type="http://schemas.openxmlformats.org/officeDocument/2006/relationships/hyperlink" Target="https://maps.google.com/?cid=0x0:0x262f5188cfadfc71" TargetMode="External"/><Relationship Id="rId78" Type="http://schemas.openxmlformats.org/officeDocument/2006/relationships/hyperlink" Target="https://www.99.co/id/komplek-perumahan/3806-palm-3-residence/units" TargetMode="External"/><Relationship Id="rId71" Type="http://schemas.openxmlformats.org/officeDocument/2006/relationships/hyperlink" Target="https://maps.google.com/?cid=0x0:0x1622166ba58fd27c" TargetMode="External"/><Relationship Id="rId70" Type="http://schemas.openxmlformats.org/officeDocument/2006/relationships/hyperlink" Target="http://pinhome.id/" TargetMode="External"/><Relationship Id="rId139" Type="http://schemas.openxmlformats.org/officeDocument/2006/relationships/hyperlink" Target="https://www.rumah123.com/venue/permata-srengseng-vcm20071/" TargetMode="External"/><Relationship Id="rId138" Type="http://schemas.openxmlformats.org/officeDocument/2006/relationships/hyperlink" Target="https://maps.google.com/?cid=0x0:0x19abc4a50cf42408" TargetMode="External"/><Relationship Id="rId259" Type="http://schemas.openxmlformats.org/officeDocument/2006/relationships/hyperlink" Target="https://maps.google.com/?cid=0x0:0x690e013afa95862c" TargetMode="External"/><Relationship Id="rId137" Type="http://schemas.openxmlformats.org/officeDocument/2006/relationships/hyperlink" Target="https://www.lamudi.co.id/search-result/perumahan-permata-mediterania-jakarta/" TargetMode="External"/><Relationship Id="rId258" Type="http://schemas.openxmlformats.org/officeDocument/2006/relationships/hyperlink" Target="https://www.99.co/id/komplek-perumahan/722-citra-garden-7/units" TargetMode="External"/><Relationship Id="rId132" Type="http://schemas.openxmlformats.org/officeDocument/2006/relationships/hyperlink" Target="https://maps.google.com/?cid=0x0:0xfb9384a79167df80" TargetMode="External"/><Relationship Id="rId253" Type="http://schemas.openxmlformats.org/officeDocument/2006/relationships/hyperlink" Target="https://maps.google.com/?cid=0x0:0x161015b2240faffc" TargetMode="External"/><Relationship Id="rId131" Type="http://schemas.openxmlformats.org/officeDocument/2006/relationships/hyperlink" Target="https://maps.google.com/?cid=0x0:0x1a54e7dc00876d44" TargetMode="External"/><Relationship Id="rId252" Type="http://schemas.openxmlformats.org/officeDocument/2006/relationships/hyperlink" Target="https://www.99.co/id/komplek-perumahan/459-mutiara-taman-palem/units" TargetMode="External"/><Relationship Id="rId130" Type="http://schemas.openxmlformats.org/officeDocument/2006/relationships/hyperlink" Target="https://maps.google.com/?cid=0x0:0x4859efe4096cbc0d" TargetMode="External"/><Relationship Id="rId251" Type="http://schemas.openxmlformats.org/officeDocument/2006/relationships/hyperlink" Target="https://maps.google.com/?cid=0x0:0xdbad0b6cd628b3ce" TargetMode="External"/><Relationship Id="rId250" Type="http://schemas.openxmlformats.org/officeDocument/2006/relationships/hyperlink" Target="https://www.dekoruma.com/properti/dijual-cengkareng-jakarta-barat-rumah-2-lantai-minimalis-oleh-stanley-v08lf7dBwi?srsltid=AfmBOooN-035q0juL1MgNpxg5Ir94G7NPdOWCHqIXdYFERAilnMYhPii" TargetMode="External"/><Relationship Id="rId136" Type="http://schemas.openxmlformats.org/officeDocument/2006/relationships/hyperlink" Target="https://maps.google.com/?cid=0x0:0x485d38f14e982119" TargetMode="External"/><Relationship Id="rId257" Type="http://schemas.openxmlformats.org/officeDocument/2006/relationships/hyperlink" Target="https://maps.google.com/?cid=0x0:0xea9999676d97c247" TargetMode="External"/><Relationship Id="rId135" Type="http://schemas.openxmlformats.org/officeDocument/2006/relationships/hyperlink" Target="https://www.99.co/id/komplek-perumahan/890-taman-villa-meruya/units" TargetMode="External"/><Relationship Id="rId256" Type="http://schemas.openxmlformats.org/officeDocument/2006/relationships/hyperlink" Target="https://maps.google.com/?cid=0x0:0x78b6959967e2ccc4" TargetMode="External"/><Relationship Id="rId134" Type="http://schemas.openxmlformats.org/officeDocument/2006/relationships/hyperlink" Target="https://maps.google.com/?cid=0x0:0x556ec5afd4557f67" TargetMode="External"/><Relationship Id="rId255" Type="http://schemas.openxmlformats.org/officeDocument/2006/relationships/hyperlink" Target="https://www.99.co/id/jual/rumah/area-jakarta-barat/sunrise-garden" TargetMode="External"/><Relationship Id="rId133" Type="http://schemas.openxmlformats.org/officeDocument/2006/relationships/hyperlink" Target="https://www.99.co/id/komplek-perumahan/849-meruya-residence/units" TargetMode="External"/><Relationship Id="rId254" Type="http://schemas.openxmlformats.org/officeDocument/2006/relationships/hyperlink" Target="https://maps.google.com/?cid=0x0:0x20c49d403c889f43" TargetMode="External"/><Relationship Id="rId62" Type="http://schemas.openxmlformats.org/officeDocument/2006/relationships/hyperlink" Target="https://maps.google.com/?cid=0x0:0x3225654d573fd638" TargetMode="External"/><Relationship Id="rId61" Type="http://schemas.openxmlformats.org/officeDocument/2006/relationships/hyperlink" Target="https://maps.google.com/?cid=0x0:0x9f08197aab9a7221" TargetMode="External"/><Relationship Id="rId64" Type="http://schemas.openxmlformats.org/officeDocument/2006/relationships/hyperlink" Target="https://maps.google.com/?cid=0x0:0xb6f9c3564beed372" TargetMode="External"/><Relationship Id="rId63" Type="http://schemas.openxmlformats.org/officeDocument/2006/relationships/hyperlink" Target="https://maps.google.com/?cid=0x0:0x76cac4f9f503c26c" TargetMode="External"/><Relationship Id="rId66" Type="http://schemas.openxmlformats.org/officeDocument/2006/relationships/hyperlink" Target="https://www.99.co/id/komplek-perumahan/2530-grawisa/units" TargetMode="External"/><Relationship Id="rId172" Type="http://schemas.openxmlformats.org/officeDocument/2006/relationships/hyperlink" Target="https://maps.google.com/?cid=0x0:0xa2e84bc34501c02" TargetMode="External"/><Relationship Id="rId65" Type="http://schemas.openxmlformats.org/officeDocument/2006/relationships/hyperlink" Target="https://maps.google.com/?cid=0x0:0x2a21d2e91033e0bb" TargetMode="External"/><Relationship Id="rId171" Type="http://schemas.openxmlformats.org/officeDocument/2006/relationships/hyperlink" Target="https://www.99.co/id/komplek-perumahan/7444-taman-mutiara-prima/units" TargetMode="External"/><Relationship Id="rId68" Type="http://schemas.openxmlformats.org/officeDocument/2006/relationships/hyperlink" Target="https://maps.google.com/?cid=0x0:0xaed67920adc664d4" TargetMode="External"/><Relationship Id="rId170" Type="http://schemas.openxmlformats.org/officeDocument/2006/relationships/hyperlink" Target="https://maps.google.com/?cid=0x0:0xca3c148b4339fe16" TargetMode="External"/><Relationship Id="rId67" Type="http://schemas.openxmlformats.org/officeDocument/2006/relationships/hyperlink" Target="https://maps.google.com/?cid=0x0:0x7563d5f1ad034f99" TargetMode="External"/><Relationship Id="rId60" Type="http://schemas.openxmlformats.org/officeDocument/2006/relationships/hyperlink" Target="https://maps.google.com/?cid=0x0:0x4a81d56b220990e9" TargetMode="External"/><Relationship Id="rId165" Type="http://schemas.openxmlformats.org/officeDocument/2006/relationships/hyperlink" Target="https://www.rumah123.com/properti/jakarta-barat/hos13056015/" TargetMode="External"/><Relationship Id="rId69" Type="http://schemas.openxmlformats.org/officeDocument/2006/relationships/hyperlink" Target="https://maps.google.com/?cid=0x0:0xa71ab220ed56fefb" TargetMode="External"/><Relationship Id="rId164" Type="http://schemas.openxmlformats.org/officeDocument/2006/relationships/hyperlink" Target="https://maps.google.com/?cid=0x0:0x4bf88edb12cea3ab" TargetMode="External"/><Relationship Id="rId163" Type="http://schemas.openxmlformats.org/officeDocument/2006/relationships/hyperlink" Target="https://maps.google.com/?cid=0x0:0xf42ca4a2f750c1f0" TargetMode="External"/><Relationship Id="rId162" Type="http://schemas.openxmlformats.org/officeDocument/2006/relationships/hyperlink" Target="https://www.99.co/id/komplek-perumahan/18408-pakuwon-jelambar/units" TargetMode="External"/><Relationship Id="rId169" Type="http://schemas.openxmlformats.org/officeDocument/2006/relationships/hyperlink" Target="https://www.99.co/id/jual/rumah/area-jakarta-barat/kedoya-garden" TargetMode="External"/><Relationship Id="rId168" Type="http://schemas.openxmlformats.org/officeDocument/2006/relationships/hyperlink" Target="https://maps.google.com/?cid=0x0:0x35abdc74cdda27b8" TargetMode="External"/><Relationship Id="rId167" Type="http://schemas.openxmlformats.org/officeDocument/2006/relationships/hyperlink" Target="https://www.rumah123.com/venue/villa-tomang-indah-vcm28476/" TargetMode="External"/><Relationship Id="rId166" Type="http://schemas.openxmlformats.org/officeDocument/2006/relationships/hyperlink" Target="https://maps.google.com/?cid=0x0:0xdacdc51858b526d9" TargetMode="External"/><Relationship Id="rId51" Type="http://schemas.openxmlformats.org/officeDocument/2006/relationships/hyperlink" Target="https://maps.google.com/?cid=0x0:0x2bc2916e37f72cc0" TargetMode="External"/><Relationship Id="rId50" Type="http://schemas.openxmlformats.org/officeDocument/2006/relationships/hyperlink" Target="https://rumah.trovit.co.id/kft-cengkareng" TargetMode="External"/><Relationship Id="rId53" Type="http://schemas.openxmlformats.org/officeDocument/2006/relationships/hyperlink" Target="https://maps.google.com/?cid=0x0:0x2b478b30cce5248b" TargetMode="External"/><Relationship Id="rId52" Type="http://schemas.openxmlformats.org/officeDocument/2006/relationships/hyperlink" Target="https://rumah.trovit.co.id/rumah-royal-palm-cengkareng" TargetMode="External"/><Relationship Id="rId55" Type="http://schemas.openxmlformats.org/officeDocument/2006/relationships/hyperlink" Target="https://maps.google.com/?cid=0x0:0xee9451a301990d09" TargetMode="External"/><Relationship Id="rId161" Type="http://schemas.openxmlformats.org/officeDocument/2006/relationships/hyperlink" Target="https://maps.google.com/?cid=0x0:0x8ca2197a2ede77e8" TargetMode="External"/><Relationship Id="rId54" Type="http://schemas.openxmlformats.org/officeDocument/2006/relationships/hyperlink" Target="https://www.99.co/id/komplek-perumahan/482-pasadena/units" TargetMode="External"/><Relationship Id="rId160" Type="http://schemas.openxmlformats.org/officeDocument/2006/relationships/hyperlink" Target="https://maps.google.com/?cid=0x0:0x2ff9b806773542ac" TargetMode="External"/><Relationship Id="rId57" Type="http://schemas.openxmlformats.org/officeDocument/2006/relationships/hyperlink" Target="https://maps.google.com/?cid=0x0:0x621d6074cd34bc92" TargetMode="External"/><Relationship Id="rId56" Type="http://schemas.openxmlformats.org/officeDocument/2006/relationships/hyperlink" Target="https://www.99.co/id/komplek-perumahan/12873-mutiara-puri-kembangan/units" TargetMode="External"/><Relationship Id="rId159" Type="http://schemas.openxmlformats.org/officeDocument/2006/relationships/hyperlink" Target="https://maps.google.com/?cid=0x0:0x2438ddbae4a29cb9" TargetMode="External"/><Relationship Id="rId59" Type="http://schemas.openxmlformats.org/officeDocument/2006/relationships/hyperlink" Target="https://maps.google.com/?cid=0x0:0x514c6c5b491ab63c" TargetMode="External"/><Relationship Id="rId154" Type="http://schemas.openxmlformats.org/officeDocument/2006/relationships/hyperlink" Target="https://www.99.co/id/komplek-perumahan/482-pasadena/units" TargetMode="External"/><Relationship Id="rId58" Type="http://schemas.openxmlformats.org/officeDocument/2006/relationships/hyperlink" Target="https://www.rumah123.com/properti/jakarta-barat/hos19217826/" TargetMode="External"/><Relationship Id="rId153" Type="http://schemas.openxmlformats.org/officeDocument/2006/relationships/hyperlink" Target="https://maps.google.com/?cid=0x0:0x979b1a7dbe741be0" TargetMode="External"/><Relationship Id="rId152" Type="http://schemas.openxmlformats.org/officeDocument/2006/relationships/hyperlink" Target="https://maps.google.com/?cid=0x0:0xca84c8d3712ad7a" TargetMode="External"/><Relationship Id="rId151" Type="http://schemas.openxmlformats.org/officeDocument/2006/relationships/hyperlink" Target="https://www.99.co/id/komplek-perumahan/34996-taman-rafflesia/units" TargetMode="External"/><Relationship Id="rId158" Type="http://schemas.openxmlformats.org/officeDocument/2006/relationships/hyperlink" Target="https://www.99.co/id/komplek-perumahan/459-mutiara-taman-palem/units" TargetMode="External"/><Relationship Id="rId157" Type="http://schemas.openxmlformats.org/officeDocument/2006/relationships/hyperlink" Target="https://maps.google.com/?cid=0x0:0x7059be15466f2ba8" TargetMode="External"/><Relationship Id="rId156" Type="http://schemas.openxmlformats.org/officeDocument/2006/relationships/hyperlink" Target="https://rumah.trovit.co.id/rumah-green-court-cengkareng" TargetMode="External"/><Relationship Id="rId155" Type="http://schemas.openxmlformats.org/officeDocument/2006/relationships/hyperlink" Target="https://maps.google.com/?cid=0x0:0xfad473cd358122ae" TargetMode="External"/><Relationship Id="rId107" Type="http://schemas.openxmlformats.org/officeDocument/2006/relationships/hyperlink" Target="https://www.rumah123.com/properti/jakarta-barat/hos19543457/" TargetMode="External"/><Relationship Id="rId228" Type="http://schemas.openxmlformats.org/officeDocument/2006/relationships/hyperlink" Target="https://maps.google.com/?cid=0x0:0xcf89f3cd784cf9e5" TargetMode="External"/><Relationship Id="rId106" Type="http://schemas.openxmlformats.org/officeDocument/2006/relationships/hyperlink" Target="https://maps.google.com/?cid=0x0:0x529e2cc95575e0ee" TargetMode="External"/><Relationship Id="rId227" Type="http://schemas.openxmlformats.org/officeDocument/2006/relationships/hyperlink" Target="https://www.rumah123.com/jual/jakarta-barat/taman-surya/rumah/?furnish%5B%5D=2&amp;page=2" TargetMode="External"/><Relationship Id="rId105" Type="http://schemas.openxmlformats.org/officeDocument/2006/relationships/hyperlink" Target="https://maps.google.com/?cid=0x0:0xd4f6c53beef91a1" TargetMode="External"/><Relationship Id="rId226" Type="http://schemas.openxmlformats.org/officeDocument/2006/relationships/hyperlink" Target="https://maps.google.com/?cid=0x0:0x90080c555fb9e44d" TargetMode="External"/><Relationship Id="rId104" Type="http://schemas.openxmlformats.org/officeDocument/2006/relationships/hyperlink" Target="https://www.99.co/id/komplek-perumahan/822-citra-garden-2-extension/units" TargetMode="External"/><Relationship Id="rId225" Type="http://schemas.openxmlformats.org/officeDocument/2006/relationships/hyperlink" Target="https://www.99.co/id/komplek-perumahan/1255-malibu-city-resort/units" TargetMode="External"/><Relationship Id="rId109" Type="http://schemas.openxmlformats.org/officeDocument/2006/relationships/hyperlink" Target="https://rumah.trovit.co.id/citra-2-extension-jakarta-barat" TargetMode="External"/><Relationship Id="rId108" Type="http://schemas.openxmlformats.org/officeDocument/2006/relationships/hyperlink" Target="https://maps.google.com/?cid=0x0:0xdd7179260ec230af" TargetMode="External"/><Relationship Id="rId229" Type="http://schemas.openxmlformats.org/officeDocument/2006/relationships/hyperlink" Target="https://www.rumah123.com/properti/jakarta-barat/hos18600900/" TargetMode="External"/><Relationship Id="rId220" Type="http://schemas.openxmlformats.org/officeDocument/2006/relationships/hyperlink" Target="https://maps.google.com/?cid=0x0:0xffd5bf785c6f4355" TargetMode="External"/><Relationship Id="rId103" Type="http://schemas.openxmlformats.org/officeDocument/2006/relationships/hyperlink" Target="https://maps.google.com/?cid=0x0:0x5f9ea64ed6471bd0" TargetMode="External"/><Relationship Id="rId224" Type="http://schemas.openxmlformats.org/officeDocument/2006/relationships/hyperlink" Target="https://maps.google.com/?cid=0x0:0x6af6b2e0512abfaf" TargetMode="External"/><Relationship Id="rId102" Type="http://schemas.openxmlformats.org/officeDocument/2006/relationships/hyperlink" Target="https://www.lamudi.co.id/search-result/perumahan-park-residence-jakarta-barat/" TargetMode="External"/><Relationship Id="rId223" Type="http://schemas.openxmlformats.org/officeDocument/2006/relationships/hyperlink" Target="https://maps.google.com/?cid=0x0:0x951bfe31be58cf4d" TargetMode="External"/><Relationship Id="rId101" Type="http://schemas.openxmlformats.org/officeDocument/2006/relationships/hyperlink" Target="https://maps.google.com/?cid=0x0:0xa0e083e9c8f9201a" TargetMode="External"/><Relationship Id="rId222" Type="http://schemas.openxmlformats.org/officeDocument/2006/relationships/hyperlink" Target="https://maps.google.com/?cid=0x0:0xc39a51693fa28b32" TargetMode="External"/><Relationship Id="rId100" Type="http://schemas.openxmlformats.org/officeDocument/2006/relationships/hyperlink" Target="https://maps.google.com/?cid=0x0:0xc46eedd213d55f3" TargetMode="External"/><Relationship Id="rId221" Type="http://schemas.openxmlformats.org/officeDocument/2006/relationships/hyperlink" Target="https://www.rumah123.com/properti/jakarta-barat/hos18582441/" TargetMode="External"/><Relationship Id="rId217" Type="http://schemas.openxmlformats.org/officeDocument/2006/relationships/hyperlink" Target="https://www.99.co/id/komplek-perumahan/636-citra-garden-6/units" TargetMode="External"/><Relationship Id="rId216" Type="http://schemas.openxmlformats.org/officeDocument/2006/relationships/hyperlink" Target="https://maps.google.com/?cid=0x0:0x438cac63295bb52b" TargetMode="External"/><Relationship Id="rId215" Type="http://schemas.openxmlformats.org/officeDocument/2006/relationships/hyperlink" Target="https://www.99.co/id/komplek-perumahan/2189-taman-duta-mas/units" TargetMode="External"/><Relationship Id="rId214" Type="http://schemas.openxmlformats.org/officeDocument/2006/relationships/hyperlink" Target="https://maps.google.com/?cid=0x0:0x40ac814ecc38a22c" TargetMode="External"/><Relationship Id="rId219" Type="http://schemas.openxmlformats.org/officeDocument/2006/relationships/hyperlink" Target="https://www.rumah123.com/venue/taman-harapan-indah-vcm15594/" TargetMode="External"/><Relationship Id="rId218" Type="http://schemas.openxmlformats.org/officeDocument/2006/relationships/hyperlink" Target="https://maps.google.com/?cid=0x0:0xbacca1734c06bd95" TargetMode="External"/><Relationship Id="rId213" Type="http://schemas.openxmlformats.org/officeDocument/2006/relationships/hyperlink" Target="https://maps.google.com/?cid=0x0:0x5d28d402fc558e7f" TargetMode="External"/><Relationship Id="rId212" Type="http://schemas.openxmlformats.org/officeDocument/2006/relationships/hyperlink" Target="https://www.99.co/id/komplek-perumahan/98372-taman-kedoya-indah/units" TargetMode="External"/><Relationship Id="rId211" Type="http://schemas.openxmlformats.org/officeDocument/2006/relationships/hyperlink" Target="https://maps.google.com/?cid=0x0:0xcc657a2b969fa6bb" TargetMode="External"/><Relationship Id="rId210" Type="http://schemas.openxmlformats.org/officeDocument/2006/relationships/hyperlink" Target="https://www.99.co/id/komplek-perumahan/920-taman-ratu/units" TargetMode="External"/><Relationship Id="rId129" Type="http://schemas.openxmlformats.org/officeDocument/2006/relationships/hyperlink" Target="https://maps.google.com/?cid=0x0:0x209e8ca518193b63" TargetMode="External"/><Relationship Id="rId128" Type="http://schemas.openxmlformats.org/officeDocument/2006/relationships/hyperlink" Target="https://maps.google.com/?cid=0x0:0x3020a3f60b40da18" TargetMode="External"/><Relationship Id="rId249" Type="http://schemas.openxmlformats.org/officeDocument/2006/relationships/hyperlink" Target="https://maps.google.com/?cid=0x0:0x9d94bbe23762d9db" TargetMode="External"/><Relationship Id="rId127" Type="http://schemas.openxmlformats.org/officeDocument/2006/relationships/hyperlink" Target="https://www.rumah123.com/venue/kijang-kencana-vcm16006/" TargetMode="External"/><Relationship Id="rId248" Type="http://schemas.openxmlformats.org/officeDocument/2006/relationships/hyperlink" Target="https://www.rumah123.com/jual/jakarta-barat/green-ville/rumah/" TargetMode="External"/><Relationship Id="rId126" Type="http://schemas.openxmlformats.org/officeDocument/2006/relationships/hyperlink" Target="https://maps.google.com/?cid=0x0:0x8882c5af6e07f424" TargetMode="External"/><Relationship Id="rId247" Type="http://schemas.openxmlformats.org/officeDocument/2006/relationships/hyperlink" Target="https://maps.google.com/?cid=0x0:0x3f2f50ac5f89a2aa" TargetMode="External"/><Relationship Id="rId121" Type="http://schemas.openxmlformats.org/officeDocument/2006/relationships/hyperlink" Target="https://maps.google.com/?cid=0x0:0x21fcf51f4d4c05c2" TargetMode="External"/><Relationship Id="rId242" Type="http://schemas.openxmlformats.org/officeDocument/2006/relationships/hyperlink" Target="https://maps.google.com/?cid=0x0:0xe5a6597152ea83fc" TargetMode="External"/><Relationship Id="rId120" Type="http://schemas.openxmlformats.org/officeDocument/2006/relationships/hyperlink" Target="https://www.lamudi.co.id/jual/jakarta/jakarta-barat/dijual-rumah-2-lantai-di-komplek-dpa-pu-slipi-jaka-170531413545/" TargetMode="External"/><Relationship Id="rId241" Type="http://schemas.openxmlformats.org/officeDocument/2006/relationships/hyperlink" Target="https://maps.google.com/?cid=0x0:0xb1408c01398f2896" TargetMode="External"/><Relationship Id="rId240" Type="http://schemas.openxmlformats.org/officeDocument/2006/relationships/hyperlink" Target="https://maps.google.com/?cid=0x0:0xcc72b933f569bfe0" TargetMode="External"/><Relationship Id="rId125" Type="http://schemas.openxmlformats.org/officeDocument/2006/relationships/hyperlink" Target="https://maps.google.com/?cid=0x0:0x8bc84c772d024a61" TargetMode="External"/><Relationship Id="rId246" Type="http://schemas.openxmlformats.org/officeDocument/2006/relationships/hyperlink" Target="https://www.dekoruma.com/properti/perumahan-puri-harvest-west-jakarta-jakarta-barat?srsltid=AfmBOookP680qs__eb41jQY0fAr-TtQGNuSx2L5lE15aiApEZ3eqChwt" TargetMode="External"/><Relationship Id="rId124" Type="http://schemas.openxmlformats.org/officeDocument/2006/relationships/hyperlink" Target="https://www.99.co/id/komplek-perumahan/175196-palmerah-residence/units" TargetMode="External"/><Relationship Id="rId245" Type="http://schemas.openxmlformats.org/officeDocument/2006/relationships/hyperlink" Target="https://maps.google.com/?cid=0x0:0x5a99ac194d2364be" TargetMode="External"/><Relationship Id="rId123" Type="http://schemas.openxmlformats.org/officeDocument/2006/relationships/hyperlink" Target="https://maps.google.com/?cid=0x0:0xafced710ace8d7cd" TargetMode="External"/><Relationship Id="rId244" Type="http://schemas.openxmlformats.org/officeDocument/2006/relationships/hyperlink" Target="https://www.rumah123.com/perumahan-baru/properti/jakarta-barat/the-ashford-at-puri/nps3359/" TargetMode="External"/><Relationship Id="rId122" Type="http://schemas.openxmlformats.org/officeDocument/2006/relationships/hyperlink" Target="https://maps.google.com/?cid=0x0:0xe03e0fa2f1b5ab72" TargetMode="External"/><Relationship Id="rId243" Type="http://schemas.openxmlformats.org/officeDocument/2006/relationships/hyperlink" Target="https://maps.google.com/?cid=0x0:0xc64ed2d6eb70c9f6" TargetMode="External"/><Relationship Id="rId95" Type="http://schemas.openxmlformats.org/officeDocument/2006/relationships/hyperlink" Target="https://maps.google.com/?cid=0x0:0x7e21f03b526f6d8a" TargetMode="External"/><Relationship Id="rId94" Type="http://schemas.openxmlformats.org/officeDocument/2006/relationships/hyperlink" Target="https://maps.google.com/?cid=0x0:0x6b3592a5f0f58c02" TargetMode="External"/><Relationship Id="rId97" Type="http://schemas.openxmlformats.org/officeDocument/2006/relationships/hyperlink" Target="https://www.99.co/id/komplek-perumahan/198364-citra-garden-puri/units" TargetMode="External"/><Relationship Id="rId96" Type="http://schemas.openxmlformats.org/officeDocument/2006/relationships/hyperlink" Target="https://maps.google.com/?cid=0x0:0xfc1889d75e10c7ba" TargetMode="External"/><Relationship Id="rId99" Type="http://schemas.openxmlformats.org/officeDocument/2006/relationships/hyperlink" Target="https://www.rumah123.com/properti/jakarta-barat/hos19551074/" TargetMode="External"/><Relationship Id="rId98" Type="http://schemas.openxmlformats.org/officeDocument/2006/relationships/hyperlink" Target="https://maps.google.com/?cid=0x0:0x354d6b0449a3de3" TargetMode="External"/><Relationship Id="rId91" Type="http://schemas.openxmlformats.org/officeDocument/2006/relationships/hyperlink" Target="https://www.rumah123.com/venue/villa-arteri-vcm20870/" TargetMode="External"/><Relationship Id="rId90" Type="http://schemas.openxmlformats.org/officeDocument/2006/relationships/hyperlink" Target="https://maps.google.com/?cid=0x0:0x8840d9bbb7058926" TargetMode="External"/><Relationship Id="rId93" Type="http://schemas.openxmlformats.org/officeDocument/2006/relationships/hyperlink" Target="https://www.rumah123.com/venue/dpr-2-vcm24183/" TargetMode="External"/><Relationship Id="rId92" Type="http://schemas.openxmlformats.org/officeDocument/2006/relationships/hyperlink" Target="https://maps.google.com/?cid=0x0:0xfa6c5b689970a28" TargetMode="External"/><Relationship Id="rId118" Type="http://schemas.openxmlformats.org/officeDocument/2006/relationships/hyperlink" Target="https://maps.google.com/?cid=0x0:0x3248f6897ef9e763" TargetMode="External"/><Relationship Id="rId239" Type="http://schemas.openxmlformats.org/officeDocument/2006/relationships/hyperlink" Target="https://maps.google.com/?cid=0x0:0x90231e5bc9358a64" TargetMode="External"/><Relationship Id="rId117" Type="http://schemas.openxmlformats.org/officeDocument/2006/relationships/hyperlink" Target="https://maps.google.com/?cid=0x0:0x4998dfa79a80bbe" TargetMode="External"/><Relationship Id="rId238" Type="http://schemas.openxmlformats.org/officeDocument/2006/relationships/hyperlink" Target="https://maps.google.com/?cid=0x0:0x9d0c5b9a6d0801cb" TargetMode="External"/><Relationship Id="rId116" Type="http://schemas.openxmlformats.org/officeDocument/2006/relationships/hyperlink" Target="https://maps.google.com/?cid=0x0:0x17746654f648275" TargetMode="External"/><Relationship Id="rId237" Type="http://schemas.openxmlformats.org/officeDocument/2006/relationships/hyperlink" Target="https://elshpro.com/product/townhouse-taman-sari/" TargetMode="External"/><Relationship Id="rId115" Type="http://schemas.openxmlformats.org/officeDocument/2006/relationships/hyperlink" Target="https://www.99.co/id/komplek-perumahan/34489-semanan-jaya-residence/units" TargetMode="External"/><Relationship Id="rId236" Type="http://schemas.openxmlformats.org/officeDocument/2006/relationships/hyperlink" Target="https://maps.google.com/?cid=0x0:0xc40e9a1e4db93f94" TargetMode="External"/><Relationship Id="rId119" Type="http://schemas.openxmlformats.org/officeDocument/2006/relationships/hyperlink" Target="https://maps.google.com/?cid=0x0:0x7f625bd335cf0aa6" TargetMode="External"/><Relationship Id="rId110" Type="http://schemas.openxmlformats.org/officeDocument/2006/relationships/hyperlink" Target="https://maps.google.com/?cid=0x0:0x2c00c3874b446900" TargetMode="External"/><Relationship Id="rId231" Type="http://schemas.openxmlformats.org/officeDocument/2006/relationships/hyperlink" Target="https://maps.google.com/?cid=0x0:0x34b242f1710b8019" TargetMode="External"/><Relationship Id="rId230" Type="http://schemas.openxmlformats.org/officeDocument/2006/relationships/hyperlink" Target="https://maps.google.com/?cid=0x0:0xe6c84574869525e5" TargetMode="External"/><Relationship Id="rId114" Type="http://schemas.openxmlformats.org/officeDocument/2006/relationships/hyperlink" Target="https://maps.google.com/?cid=0x0:0x297d5b551afb0c3c" TargetMode="External"/><Relationship Id="rId235" Type="http://schemas.openxmlformats.org/officeDocument/2006/relationships/hyperlink" Target="https://maps.google.com/?cid=0x0:0xcb038680691af6a3" TargetMode="External"/><Relationship Id="rId113" Type="http://schemas.openxmlformats.org/officeDocument/2006/relationships/hyperlink" Target="https://www.99.co/id/komplek-perumahan/232-citra-garden-1/units" TargetMode="External"/><Relationship Id="rId234" Type="http://schemas.openxmlformats.org/officeDocument/2006/relationships/hyperlink" Target="https://www.rumah123.com/venue/bangun-kapuk-mas-vcm26663/" TargetMode="External"/><Relationship Id="rId112" Type="http://schemas.openxmlformats.org/officeDocument/2006/relationships/hyperlink" Target="https://maps.google.com/?cid=0x0:0x58a931affd147e4" TargetMode="External"/><Relationship Id="rId233" Type="http://schemas.openxmlformats.org/officeDocument/2006/relationships/hyperlink" Target="https://maps.google.com/?cid=0x0:0xb0de355853b15de6" TargetMode="External"/><Relationship Id="rId111" Type="http://schemas.openxmlformats.org/officeDocument/2006/relationships/hyperlink" Target="https://www.99.co/id/komplek-perumahan/6101-angel-residence/units" TargetMode="External"/><Relationship Id="rId232" Type="http://schemas.openxmlformats.org/officeDocument/2006/relationships/hyperlink" Target="https://www.99.co/id/komplek-perumahan/501-villa-kelapa-dua/units" TargetMode="External"/><Relationship Id="rId206" Type="http://schemas.openxmlformats.org/officeDocument/2006/relationships/hyperlink" Target="https://www.99.co/id/komplek-perumahan/42046-duta-square/units" TargetMode="External"/><Relationship Id="rId205" Type="http://schemas.openxmlformats.org/officeDocument/2006/relationships/hyperlink" Target="https://maps.google.com/?cid=0x0:0xc520715f05326f4b" TargetMode="External"/><Relationship Id="rId204" Type="http://schemas.openxmlformats.org/officeDocument/2006/relationships/hyperlink" Target="https://www.rumah123.com/venue/griya-rawa-kompeni-vcm15581/" TargetMode="External"/><Relationship Id="rId203" Type="http://schemas.openxmlformats.org/officeDocument/2006/relationships/hyperlink" Target="https://maps.google.com/?cid=0x0:0x1823c9bf102a825" TargetMode="External"/><Relationship Id="rId209" Type="http://schemas.openxmlformats.org/officeDocument/2006/relationships/hyperlink" Target="https://maps.google.com/?cid=0x0:0xeead5efa86541bb3" TargetMode="External"/><Relationship Id="rId208" Type="http://schemas.openxmlformats.org/officeDocument/2006/relationships/hyperlink" Target="https://www.rumah123.com/properti/jakarta-barat/hos14867821/" TargetMode="External"/><Relationship Id="rId207" Type="http://schemas.openxmlformats.org/officeDocument/2006/relationships/hyperlink" Target="https://maps.google.com/?cid=0x0:0xde14751738eb7688" TargetMode="External"/><Relationship Id="rId202" Type="http://schemas.openxmlformats.org/officeDocument/2006/relationships/hyperlink" Target="https://www.rumah123.com/properti/jakarta-barat/hos13331662/" TargetMode="External"/><Relationship Id="rId201" Type="http://schemas.openxmlformats.org/officeDocument/2006/relationships/hyperlink" Target="https://maps.google.com/?cid=0x0:0x8a38198581678436" TargetMode="External"/><Relationship Id="rId200" Type="http://schemas.openxmlformats.org/officeDocument/2006/relationships/hyperlink" Target="https://maps.google.com/?cid=0x0:0x1126c08365b9e8a7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rumah.trovit.co.id/listing/rumah-gedong-pake-murah-di-swadaya-duren-sawit.1n1t1us13sn1F" TargetMode="External"/><Relationship Id="rId194" Type="http://schemas.openxmlformats.org/officeDocument/2006/relationships/hyperlink" Target="https://www.dotproperty.id/rumah-dijual-dengan-5-kamar-tidur-di-duren-sawit-jakarta_6284199" TargetMode="External"/><Relationship Id="rId193" Type="http://schemas.openxmlformats.org/officeDocument/2006/relationships/hyperlink" Target="https://maps.google.com/?cid=0x0:0x1d151ac3f9b57041" TargetMode="External"/><Relationship Id="rId192" Type="http://schemas.openxmlformats.org/officeDocument/2006/relationships/hyperlink" Target="https://rumah.trovit.co.id/listing/dijual-rumah-jalan-raya-rawa-domba-duren-sawit-jakarta-timur-lokasi-strategis.01913681-3baf-7ee7-a8fa-5c3cd6d45db7" TargetMode="External"/><Relationship Id="rId191" Type="http://schemas.openxmlformats.org/officeDocument/2006/relationships/hyperlink" Target="https://maps.google.com/?cid=0x0:0xd7b5b1791afa9f58" TargetMode="External"/><Relationship Id="rId187" Type="http://schemas.openxmlformats.org/officeDocument/2006/relationships/hyperlink" Target="https://www.99.co/id/properti/rumah-duren-sawit-residence-dekat-stasiun-buaran-1003938398" TargetMode="External"/><Relationship Id="rId186" Type="http://schemas.openxmlformats.org/officeDocument/2006/relationships/hyperlink" Target="https://maps.google.com/?cid=0x0:0x11478d1aa6d05186" TargetMode="External"/><Relationship Id="rId185" Type="http://schemas.openxmlformats.org/officeDocument/2006/relationships/hyperlink" Target="https://www.dekoruma.com/properti/dijual-duren-sawit-jakarta-timur-rumah-2-lantai-menarik-oleh-naomi-rEBuMCHqJr?srsltid=AfmBOop3THxy0fTspk0qdPuDoT139UmpLqVhf0D6r606RF2wIUz5QZYc" TargetMode="External"/><Relationship Id="rId184" Type="http://schemas.openxmlformats.org/officeDocument/2006/relationships/hyperlink" Target="https://maps.google.com/?cid=0x0:0xb31565af3492a5b3" TargetMode="External"/><Relationship Id="rId189" Type="http://schemas.openxmlformats.org/officeDocument/2006/relationships/hyperlink" Target="https://maps.google.com/?cid=0x0:0xf193b976a2927fbe" TargetMode="External"/><Relationship Id="rId188" Type="http://schemas.openxmlformats.org/officeDocument/2006/relationships/hyperlink" Target="https://maps.google.com/?cid=0x0:0x36a25f0c48ba3358" TargetMode="External"/><Relationship Id="rId183" Type="http://schemas.openxmlformats.org/officeDocument/2006/relationships/hyperlink" Target="https://www.dekoruma.com/properti/dijual-duren-sawit-jakarta-timur-rumah-2-lantai-mewah-oleh-lien-lee-kEr3q4NOCk?srsltid=AfmBOopWSUvaRNn6OWxt20FrEnjd0hvGyP0bJaxHHddB2kwIXXb0YmGG" TargetMode="External"/><Relationship Id="rId182" Type="http://schemas.openxmlformats.org/officeDocument/2006/relationships/hyperlink" Target="https://maps.google.com/?cid=0x0:0x9242378b2b0f0862" TargetMode="External"/><Relationship Id="rId181" Type="http://schemas.openxmlformats.org/officeDocument/2006/relationships/hyperlink" Target="https://maps.google.com/?cid=0x0:0xb41dbb02ddcb6fd8" TargetMode="External"/><Relationship Id="rId180" Type="http://schemas.openxmlformats.org/officeDocument/2006/relationships/hyperlink" Target="https://www.lamudi.co.id/jual/jakarta/jakarta-timur/dijual-cepat-rumah-malaka-country-estate-pondok-ko-17399337283/" TargetMode="External"/><Relationship Id="rId176" Type="http://schemas.openxmlformats.org/officeDocument/2006/relationships/hyperlink" Target="https://maps.google.com/?cid=0x0:0x1d6371d08376835e" TargetMode="External"/><Relationship Id="rId297" Type="http://schemas.openxmlformats.org/officeDocument/2006/relationships/hyperlink" Target="https://www.99.co/id/properti/rumah-bagus-cluster-premier-riviera-rawamangun-jakarta-timur-1007921175" TargetMode="External"/><Relationship Id="rId175" Type="http://schemas.openxmlformats.org/officeDocument/2006/relationships/hyperlink" Target="https://www.lamudi.co.id/jual/jakarta/jakarta-timur/rumah-semi-furnish-di-ciracas-jakarta-timur/" TargetMode="External"/><Relationship Id="rId296" Type="http://schemas.openxmlformats.org/officeDocument/2006/relationships/hyperlink" Target="https://maps.google.com/?cid=0x0:0xb4e8b6a68afb6823" TargetMode="External"/><Relationship Id="rId174" Type="http://schemas.openxmlformats.org/officeDocument/2006/relationships/hyperlink" Target="https://maps.google.com/?cid=0x0:0xdf437a7deadac572" TargetMode="External"/><Relationship Id="rId295" Type="http://schemas.openxmlformats.org/officeDocument/2006/relationships/hyperlink" Target="https://rumah.trovit.co.id/listing/rumah-bagus-2-lantai-di-cluster-dbanyan-jakarta-garden-city-jakarta-timur.m1ynlo1o1X1K" TargetMode="External"/><Relationship Id="rId173" Type="http://schemas.openxmlformats.org/officeDocument/2006/relationships/hyperlink" Target="https://www.dekoruma.com/properti/dijual-ciracas-jakarta-timur-rumah-2-lantai-mewah-oleh-muhammad-irzamsyah-TMlEDwvpDN?srsltid=AfmBOop6QcLznpeTOAZZ2ws1y6zlbRRPMCEJn2cuke9ZPz8V-wfTmgCw" TargetMode="External"/><Relationship Id="rId294" Type="http://schemas.openxmlformats.org/officeDocument/2006/relationships/hyperlink" Target="https://maps.google.com/?cid=0x0:0xf990733acb98732c" TargetMode="External"/><Relationship Id="rId179" Type="http://schemas.openxmlformats.org/officeDocument/2006/relationships/hyperlink" Target="https://maps.google.com/?cid=0x0:0xd7c7324248f49196" TargetMode="External"/><Relationship Id="rId178" Type="http://schemas.openxmlformats.org/officeDocument/2006/relationships/hyperlink" Target="https://maps.google.com/?cid=0x0:0x877f8fd787849c26" TargetMode="External"/><Relationship Id="rId299" Type="http://schemas.openxmlformats.org/officeDocument/2006/relationships/hyperlink" Target="https://maps.google.com/?cid=0x0:0xbb4b731b32b3eaac" TargetMode="External"/><Relationship Id="rId177" Type="http://schemas.openxmlformats.org/officeDocument/2006/relationships/hyperlink" Target="https://www.dotproperty.id/rumah-dijual-dengan-3-kamar-tidur-di-ciracas-jakarta_6067207" TargetMode="External"/><Relationship Id="rId298" Type="http://schemas.openxmlformats.org/officeDocument/2006/relationships/hyperlink" Target="https://maps.google.com/?cid=0x0:0x157a8eac0fbb2f4" TargetMode="External"/><Relationship Id="rId198" Type="http://schemas.openxmlformats.org/officeDocument/2006/relationships/hyperlink" Target="https://www.rumah123.com/venue/harris-residence-vcm29976/" TargetMode="External"/><Relationship Id="rId197" Type="http://schemas.openxmlformats.org/officeDocument/2006/relationships/hyperlink" Target="https://maps.google.com/?cid=0x0:0x98b2664de6f1fcb4" TargetMode="External"/><Relationship Id="rId196" Type="http://schemas.openxmlformats.org/officeDocument/2006/relationships/hyperlink" Target="https://www.olx.co.id/item/s547b-rumah-baru-termurah-di-billymoon-pondok-kelapa-jakarta-timur-iid-932233833" TargetMode="External"/><Relationship Id="rId195" Type="http://schemas.openxmlformats.org/officeDocument/2006/relationships/hyperlink" Target="https://maps.google.com/?cid=0x0:0x80535254e3930ab5" TargetMode="External"/><Relationship Id="rId199" Type="http://schemas.openxmlformats.org/officeDocument/2006/relationships/hyperlink" Target="https://maps.google.com/?cid=0x0:0xf3fbeb04ed22742d" TargetMode="External"/><Relationship Id="rId150" Type="http://schemas.openxmlformats.org/officeDocument/2006/relationships/hyperlink" Target="https://maps.google.com/?cid=0x0:0x54e4d990f4e24e5" TargetMode="External"/><Relationship Id="rId271" Type="http://schemas.openxmlformats.org/officeDocument/2006/relationships/hyperlink" Target="https://www.dekoruma.com/properti/dijual-jatinegara-jakarta-timur-rumah-sederhana-oleh-lexus-t5sTnlB2dZ?srsltid=AfmBOooLsQ88Iuc0mazUimdSH5q-ireWAOLNENvvRGQ2Cv5Au-1jucPq" TargetMode="External"/><Relationship Id="rId392" Type="http://schemas.openxmlformats.org/officeDocument/2006/relationships/hyperlink" Target="https://maps.google.com/?cid=0x0:0xd8b55039aee0f929" TargetMode="External"/><Relationship Id="rId270" Type="http://schemas.openxmlformats.org/officeDocument/2006/relationships/hyperlink" Target="https://maps.google.com/?cid=0x0:0x32b6c70e403aad73" TargetMode="External"/><Relationship Id="rId391" Type="http://schemas.openxmlformats.org/officeDocument/2006/relationships/hyperlink" Target="https://maps.google.com/?cid=0x0:0xe872e5576bcf7800" TargetMode="External"/><Relationship Id="rId390" Type="http://schemas.openxmlformats.org/officeDocument/2006/relationships/hyperlink" Target="https://maps.google.com/?cid=0x0:0x786bf8accec6400c" TargetMode="External"/><Relationship Id="rId1" Type="http://schemas.openxmlformats.org/officeDocument/2006/relationships/hyperlink" Target="https://maps.google.com/?cid=0x0:0xf4824588df2bf836" TargetMode="External"/><Relationship Id="rId2" Type="http://schemas.openxmlformats.org/officeDocument/2006/relationships/hyperlink" Target="https://www.dekoruma.com/properti/dijual-jatinegara-jakarta-timur-rumah-megah-oleh-prop2go-hMI0myGaay?srsltid=AfmBOoqU_CDgfGEQApXLRg7eythAX116gbcXR15CM4RwXtUWKHCZwQyB" TargetMode="External"/><Relationship Id="rId3" Type="http://schemas.openxmlformats.org/officeDocument/2006/relationships/hyperlink" Target="https://maps.google.com/?cid=0x0:0xd73bcf46a824c206" TargetMode="External"/><Relationship Id="rId149" Type="http://schemas.openxmlformats.org/officeDocument/2006/relationships/hyperlink" Target="https://maps.google.com/?cid=0x0:0x1d9d3e01671321de" TargetMode="External"/><Relationship Id="rId4" Type="http://schemas.openxmlformats.org/officeDocument/2006/relationships/hyperlink" Target="https://pashouses.id/rumah/jalan-bambu-petung" TargetMode="External"/><Relationship Id="rId148" Type="http://schemas.openxmlformats.org/officeDocument/2006/relationships/hyperlink" Target="https://www.rumah123.com/venue/pancanaka-green-leaf-vcm15534/" TargetMode="External"/><Relationship Id="rId269" Type="http://schemas.openxmlformats.org/officeDocument/2006/relationships/hyperlink" Target="https://maps.google.com/?cid=0x0:0xbd8006afbd739aea" TargetMode="External"/><Relationship Id="rId9" Type="http://schemas.openxmlformats.org/officeDocument/2006/relationships/hyperlink" Target="https://www.olx.co.id/item/dijual-apartemen-casablanca-east-residence-pondok-bambu-jakarta-timur-iid-932585795" TargetMode="External"/><Relationship Id="rId143" Type="http://schemas.openxmlformats.org/officeDocument/2006/relationships/hyperlink" Target="https://www.pinhome.id/dijual/rumah-sekunder/unit/dijual-rumah-di-jl-ppa-bambu-apus-gg-damai-1-no42" TargetMode="External"/><Relationship Id="rId264" Type="http://schemas.openxmlformats.org/officeDocument/2006/relationships/hyperlink" Target="https://maps.google.com/?cid=0x0:0x570b5c419a483479" TargetMode="External"/><Relationship Id="rId385" Type="http://schemas.openxmlformats.org/officeDocument/2006/relationships/hyperlink" Target="https://maps.google.com/?cid=0x0:0xbb27ab3bc5626d94" TargetMode="External"/><Relationship Id="rId142" Type="http://schemas.openxmlformats.org/officeDocument/2006/relationships/hyperlink" Target="https://maps.google.com/?cid=0x0:0xf93ec3534a989bed" TargetMode="External"/><Relationship Id="rId263" Type="http://schemas.openxmlformats.org/officeDocument/2006/relationships/hyperlink" Target="https://rumah.trovit.co.id/listing/bu-rumah-dijual-baru-terjangkau-gedong-condet-pasar-rebo.e3115255-65d6-42b2-a0e6-febaea00469b" TargetMode="External"/><Relationship Id="rId384" Type="http://schemas.openxmlformats.org/officeDocument/2006/relationships/hyperlink" Target="https://maps.google.com/?cid=0x0:0xe9499e60e17b0aa8" TargetMode="External"/><Relationship Id="rId141" Type="http://schemas.openxmlformats.org/officeDocument/2006/relationships/hyperlink" Target="https://maps.google.com/?cid=0x0:0x7ef65a1e82d2bebe" TargetMode="External"/><Relationship Id="rId262" Type="http://schemas.openxmlformats.org/officeDocument/2006/relationships/hyperlink" Target="https://maps.google.com/?cid=0x0:0x3b57c01448ba5abb" TargetMode="External"/><Relationship Id="rId383" Type="http://schemas.openxmlformats.org/officeDocument/2006/relationships/hyperlink" Target="https://maps.google.com/?cid=0x0:0xa78ec9eb5aed61d5" TargetMode="External"/><Relationship Id="rId140" Type="http://schemas.openxmlformats.org/officeDocument/2006/relationships/hyperlink" Target="https://maps.google.com/?cid=0x0:0x748a02c7d3c50c39" TargetMode="External"/><Relationship Id="rId261" Type="http://schemas.openxmlformats.org/officeDocument/2006/relationships/hyperlink" Target="https://maps.google.com/?cid=0x0:0x2e54a64dc01d9bcd" TargetMode="External"/><Relationship Id="rId382" Type="http://schemas.openxmlformats.org/officeDocument/2006/relationships/hyperlink" Target="https://www.99.co/id/komplek-perumahan/12929-taman-palem-halim/units" TargetMode="External"/><Relationship Id="rId5" Type="http://schemas.openxmlformats.org/officeDocument/2006/relationships/hyperlink" Target="https://maps.google.com/?cid=0x0:0x90c1864562f06b19" TargetMode="External"/><Relationship Id="rId147" Type="http://schemas.openxmlformats.org/officeDocument/2006/relationships/hyperlink" Target="https://maps.google.com/?cid=0x0:0x1f3d9ad2f2d95ac" TargetMode="External"/><Relationship Id="rId268" Type="http://schemas.openxmlformats.org/officeDocument/2006/relationships/hyperlink" Target="https://www.pinhome.id/dijual/rumah-sekunder/unit/dijual-rumah-lokasi-strategis-di-cahaya-gedong-residence" TargetMode="External"/><Relationship Id="rId389" Type="http://schemas.openxmlformats.org/officeDocument/2006/relationships/hyperlink" Target="https://maps.google.com/?cid=0x0:0xe604b676208a69ba" TargetMode="External"/><Relationship Id="rId6" Type="http://schemas.openxmlformats.org/officeDocument/2006/relationships/hyperlink" Target="https://maps.google.com/?cid=0x0:0x2792e711a3fb7866" TargetMode="External"/><Relationship Id="rId146" Type="http://schemas.openxmlformats.org/officeDocument/2006/relationships/hyperlink" Target="https://rumah.trovit.co.id/listing/dijual-rumah-mewah-baru-perum-dprd-dki-cibubur-kota-jakarta-timur-lokasi-hijau-asri-strategis.0192d1ed-8e86-733c-a139-424fe0f5b79c" TargetMode="External"/><Relationship Id="rId267" Type="http://schemas.openxmlformats.org/officeDocument/2006/relationships/hyperlink" Target="https://maps.google.com/?cid=0x0:0x2444e02ba48b79a1" TargetMode="External"/><Relationship Id="rId388" Type="http://schemas.openxmlformats.org/officeDocument/2006/relationships/hyperlink" Target="https://www.rumah123.com/venue/villa-jatiwaringin-vcm28850/" TargetMode="External"/><Relationship Id="rId7" Type="http://schemas.openxmlformats.org/officeDocument/2006/relationships/hyperlink" Target="https://rumah.trovit.co.id/listing/ready-modern-mewah-asri-luas-town-house-pondok-bambu-jakarta.80bc571d-3980-4d9f-b043-a4e94eb35466" TargetMode="External"/><Relationship Id="rId145" Type="http://schemas.openxmlformats.org/officeDocument/2006/relationships/hyperlink" Target="https://maps.google.com/?cid=0x0:0xce9791e91ecc0026" TargetMode="External"/><Relationship Id="rId266" Type="http://schemas.openxmlformats.org/officeDocument/2006/relationships/hyperlink" Target="https://maps.google.com/?cid=0x0:0x654e36b6d81a2832" TargetMode="External"/><Relationship Id="rId387" Type="http://schemas.openxmlformats.org/officeDocument/2006/relationships/hyperlink" Target="https://maps.google.com/?cid=0x0:0x63b979572fdaa263" TargetMode="External"/><Relationship Id="rId8" Type="http://schemas.openxmlformats.org/officeDocument/2006/relationships/hyperlink" Target="https://maps.google.com/?cid=0x0:0xa8675ce9552a66a6" TargetMode="External"/><Relationship Id="rId144" Type="http://schemas.openxmlformats.org/officeDocument/2006/relationships/hyperlink" Target="https://maps.google.com/?cid=0x0:0x8e1f7b34c7787a38" TargetMode="External"/><Relationship Id="rId265" Type="http://schemas.openxmlformats.org/officeDocument/2006/relationships/hyperlink" Target="https://maps.google.com/?cid=0x0:0x710a63b0a3b51989" TargetMode="External"/><Relationship Id="rId386" Type="http://schemas.openxmlformats.org/officeDocument/2006/relationships/hyperlink" Target="https://www.lamudi.co.id/jual/jakarta/jakarta-timur/jual-cepat-rumah-luas-476m2-di-cipinang-melayu-dib-174220138056/" TargetMode="External"/><Relationship Id="rId260" Type="http://schemas.openxmlformats.org/officeDocument/2006/relationships/hyperlink" Target="https://maps.google.com/?cid=0x0:0x863c6bbf32db8ba7" TargetMode="External"/><Relationship Id="rId381" Type="http://schemas.openxmlformats.org/officeDocument/2006/relationships/hyperlink" Target="https://maps.google.com/?cid=0x0:0x9c2bf734d3d82886" TargetMode="External"/><Relationship Id="rId380" Type="http://schemas.openxmlformats.org/officeDocument/2006/relationships/hyperlink" Target="https://maps.google.com/?cid=0x0:0x2f579b6634b9a600" TargetMode="External"/><Relationship Id="rId139" Type="http://schemas.openxmlformats.org/officeDocument/2006/relationships/hyperlink" Target="https://pashouses.id/rumah/perumahan-bambu-apus-village" TargetMode="External"/><Relationship Id="rId138" Type="http://schemas.openxmlformats.org/officeDocument/2006/relationships/hyperlink" Target="https://maps.google.com/?cid=0x0:0x93bd0166717b0c29" TargetMode="External"/><Relationship Id="rId259" Type="http://schemas.openxmlformats.org/officeDocument/2006/relationships/hyperlink" Target="https://maps.google.com/?cid=0x0:0xcdfe9823a5e14a" TargetMode="External"/><Relationship Id="rId137" Type="http://schemas.openxmlformats.org/officeDocument/2006/relationships/hyperlink" Target="https://www.rumah123.com/properti/jakarta-timur/hos17018661/" TargetMode="External"/><Relationship Id="rId258" Type="http://schemas.openxmlformats.org/officeDocument/2006/relationships/hyperlink" Target="https://m.dekoruma.com/properti/perumahan-cluster-de-matraman-jakarta-timur?utm_source=adwords&amp;gad_source=1&amp;gclid=Cj0KCQjws-S-BhD2ARIsALssG0bvEhsncoAEsTwcj6VvKA1Df9brHUbPE5dMf43xKSj7jf60l_OF44caAtBWEALw_wcB" TargetMode="External"/><Relationship Id="rId379" Type="http://schemas.openxmlformats.org/officeDocument/2006/relationships/hyperlink" Target="https://www.rumah123.com/properti/jakarta-timur/hos18526032/" TargetMode="External"/><Relationship Id="rId132" Type="http://schemas.openxmlformats.org/officeDocument/2006/relationships/hyperlink" Target="https://rumah.trovit.co.id/listing/rumah-di-bambu-apus-cipayung.a54567f5-6555-421b-9edd-bc778f55ac98" TargetMode="External"/><Relationship Id="rId253" Type="http://schemas.openxmlformats.org/officeDocument/2006/relationships/hyperlink" Target="https://www.facebook.com/media/set/?set=a.618538908229615.1073741845.602563489827157&amp;type=3" TargetMode="External"/><Relationship Id="rId374" Type="http://schemas.openxmlformats.org/officeDocument/2006/relationships/hyperlink" Target="https://www.tribunjualbeli.com/dki-jakarta/2218965/rumah-4-kamar-190m2-munggang-residence-kramat-jati-jakarta-timur" TargetMode="External"/><Relationship Id="rId495" Type="http://schemas.openxmlformats.org/officeDocument/2006/relationships/hyperlink" Target="https://www.99.co/id/komplek-perumahan/74997-kayu-putih-indah/units" TargetMode="External"/><Relationship Id="rId131" Type="http://schemas.openxmlformats.org/officeDocument/2006/relationships/hyperlink" Target="https://maps.google.com/?cid=0x0:0xd2283f5dc1d631f9" TargetMode="External"/><Relationship Id="rId252" Type="http://schemas.openxmlformats.org/officeDocument/2006/relationships/hyperlink" Target="https://maps.google.com/?cid=0x0:0x6375d3a69ed583a5" TargetMode="External"/><Relationship Id="rId373" Type="http://schemas.openxmlformats.org/officeDocument/2006/relationships/hyperlink" Target="https://maps.google.com/?cid=0x0:0x9215eb503eedf5e3" TargetMode="External"/><Relationship Id="rId494" Type="http://schemas.openxmlformats.org/officeDocument/2006/relationships/hyperlink" Target="https://maps.google.com/?cid=0x0:0x9e4e9aea147cddf8" TargetMode="External"/><Relationship Id="rId130" Type="http://schemas.openxmlformats.org/officeDocument/2006/relationships/hyperlink" Target="https://maps.google.com/?cid=0x0:0xdcacc1a07b8f5b32" TargetMode="External"/><Relationship Id="rId251" Type="http://schemas.openxmlformats.org/officeDocument/2006/relationships/hyperlink" Target="https://www.brighton.co.id/cari-properti/view/green-harmonis-residence-kramat-jati-jakarta-timur" TargetMode="External"/><Relationship Id="rId372" Type="http://schemas.openxmlformats.org/officeDocument/2006/relationships/hyperlink" Target="https://www.dekoruma.com/properti/dijual-jatinegara-jakarta-timur-rumah-menarik-oleh-anas-T4pOOjSnQQ?srsltid=AfmBOoos8pSDAinXOMjI6BqSu3EDZlxvfyX1gft2m-urpIPf7gxdKjIw" TargetMode="External"/><Relationship Id="rId493" Type="http://schemas.openxmlformats.org/officeDocument/2006/relationships/hyperlink" Target="https://www.pinhome.id/dijual/rumah-sekunder/unit/dijual-rumah-super-strategis-di-perumahan-panorama-indah-jl-raya-tengah" TargetMode="External"/><Relationship Id="rId250" Type="http://schemas.openxmlformats.org/officeDocument/2006/relationships/hyperlink" Target="https://maps.google.com/?cid=0x0:0x689f982c3c685860" TargetMode="External"/><Relationship Id="rId371" Type="http://schemas.openxmlformats.org/officeDocument/2006/relationships/hyperlink" Target="https://maps.google.com/?cid=0x0:0x81088e9c84452b6e" TargetMode="External"/><Relationship Id="rId492" Type="http://schemas.openxmlformats.org/officeDocument/2006/relationships/hyperlink" Target="https://maps.google.com/?cid=0x0:0xbdc4b358f4f11aee" TargetMode="External"/><Relationship Id="rId136" Type="http://schemas.openxmlformats.org/officeDocument/2006/relationships/hyperlink" Target="https://maps.google.com/?cid=0x0:0x6db59bec24180d70" TargetMode="External"/><Relationship Id="rId257" Type="http://schemas.openxmlformats.org/officeDocument/2006/relationships/hyperlink" Target="https://maps.google.com/?cid=0x0:0x9c77dc8ee39cde7" TargetMode="External"/><Relationship Id="rId378" Type="http://schemas.openxmlformats.org/officeDocument/2006/relationships/hyperlink" Target="https://maps.google.com/?cid=0x0:0xe0000acf5a470264" TargetMode="External"/><Relationship Id="rId499" Type="http://schemas.openxmlformats.org/officeDocument/2006/relationships/hyperlink" Target="https://maps.google.com/?cid=0x0:0xe7450163c537d5c5" TargetMode="External"/><Relationship Id="rId135" Type="http://schemas.openxmlformats.org/officeDocument/2006/relationships/hyperlink" Target="https://maps.google.com/?cid=0x0:0x34a18b2d84d54b8b" TargetMode="External"/><Relationship Id="rId256" Type="http://schemas.openxmlformats.org/officeDocument/2006/relationships/hyperlink" Target="https://maps.google.com/?cid=0x0:0xb84cc2a306e11154" TargetMode="External"/><Relationship Id="rId377" Type="http://schemas.openxmlformats.org/officeDocument/2006/relationships/hyperlink" Target="https://residences.co.id/graha-10-rumah-dijual-condet/" TargetMode="External"/><Relationship Id="rId498" Type="http://schemas.openxmlformats.org/officeDocument/2006/relationships/hyperlink" Target="https://cariproperti.com/grand-halim-residence" TargetMode="External"/><Relationship Id="rId134" Type="http://schemas.openxmlformats.org/officeDocument/2006/relationships/hyperlink" Target="https://www.dekoruma.com/properti/perumahan-dcananga-royal-cluster-jakarta-timur?srsltid=AfmBOorsWUjIOfS-pePOTSvES9bONV0zPHCR3wx6ZI4ETRSrIkrVMXx-" TargetMode="External"/><Relationship Id="rId255" Type="http://schemas.openxmlformats.org/officeDocument/2006/relationships/hyperlink" Target="https://maps.google.com/?cid=0x0:0x433afd0a885411d7" TargetMode="External"/><Relationship Id="rId376" Type="http://schemas.openxmlformats.org/officeDocument/2006/relationships/hyperlink" Target="https://maps.google.com/?cid=0x0:0x2b2112e831cf2c85" TargetMode="External"/><Relationship Id="rId497" Type="http://schemas.openxmlformats.org/officeDocument/2006/relationships/hyperlink" Target="https://maps.google.com/?cid=0x0:0x4e46ea1652e44b36" TargetMode="External"/><Relationship Id="rId133" Type="http://schemas.openxmlformats.org/officeDocument/2006/relationships/hyperlink" Target="https://maps.google.com/?cid=0x0:0x7f29196cb2a3a81f" TargetMode="External"/><Relationship Id="rId254" Type="http://schemas.openxmlformats.org/officeDocument/2006/relationships/hyperlink" Target="https://maps.google.com/?cid=0x0:0xa903e79c8370b4a7" TargetMode="External"/><Relationship Id="rId375" Type="http://schemas.openxmlformats.org/officeDocument/2006/relationships/hyperlink" Target="https://maps.google.com/?cid=0x0:0xb8d3c73cecb7dd00" TargetMode="External"/><Relationship Id="rId496" Type="http://schemas.openxmlformats.org/officeDocument/2006/relationships/hyperlink" Target="https://maps.google.com/?cid=0x0:0xd4083a8fda025b28" TargetMode="External"/><Relationship Id="rId172" Type="http://schemas.openxmlformats.org/officeDocument/2006/relationships/hyperlink" Target="https://maps.google.com/?cid=0x0:0x8fd6b4eb9478fe03" TargetMode="External"/><Relationship Id="rId293" Type="http://schemas.openxmlformats.org/officeDocument/2006/relationships/hyperlink" Target="https://www.pinhome.id/dijual/rumah-baru/kamojang-residence" TargetMode="External"/><Relationship Id="rId171" Type="http://schemas.openxmlformats.org/officeDocument/2006/relationships/hyperlink" Target="https://maps.google.com/?cid=0x0:0xa2083f924b5e3f4a" TargetMode="External"/><Relationship Id="rId292" Type="http://schemas.openxmlformats.org/officeDocument/2006/relationships/hyperlink" Target="https://maps.google.com/?cid=0x0:0x9d6f62a4831ac76f" TargetMode="External"/><Relationship Id="rId170" Type="http://schemas.openxmlformats.org/officeDocument/2006/relationships/hyperlink" Target="https://www.rumah123.com/properti/jakarta-timur/hos18532719/" TargetMode="External"/><Relationship Id="rId291" Type="http://schemas.openxmlformats.org/officeDocument/2006/relationships/hyperlink" Target="https://maps.google.com/?cid=0x0:0x7f2b2dd03e910c6e" TargetMode="External"/><Relationship Id="rId290" Type="http://schemas.openxmlformats.org/officeDocument/2006/relationships/hyperlink" Target="https://www.rumah123.com/properti/jakarta-pusat/hos6590711/" TargetMode="External"/><Relationship Id="rId165" Type="http://schemas.openxmlformats.org/officeDocument/2006/relationships/hyperlink" Target="https://www.pinhome.id/dijual/rumah-sekunder/unit/dijual-rumah-di-jl-pandan-alas-no-58k-cahaya-residence" TargetMode="External"/><Relationship Id="rId286" Type="http://schemas.openxmlformats.org/officeDocument/2006/relationships/hyperlink" Target="https://maps.google.com/?cid=0x0:0x3b999ac667d7842a" TargetMode="External"/><Relationship Id="rId164" Type="http://schemas.openxmlformats.org/officeDocument/2006/relationships/hyperlink" Target="https://maps.google.com/?cid=0x0:0x1380ec55baa6a4da" TargetMode="External"/><Relationship Id="rId285" Type="http://schemas.openxmlformats.org/officeDocument/2006/relationships/hyperlink" Target="https://maps.google.com/?cid=0x0:0x1b6d4120e541b39a" TargetMode="External"/><Relationship Id="rId163" Type="http://schemas.openxmlformats.org/officeDocument/2006/relationships/hyperlink" Target="https://maps.google.com/?cid=0x0:0xbb629382877c4c48" TargetMode="External"/><Relationship Id="rId284" Type="http://schemas.openxmlformats.org/officeDocument/2006/relationships/hyperlink" Target="https://www.99.co/id/properti/rumah-2-lt-bagus-cantik-komplek-elit-startegis-di-pulomas-1008474398" TargetMode="External"/><Relationship Id="rId162" Type="http://schemas.openxmlformats.org/officeDocument/2006/relationships/hyperlink" Target="https://cbdjakarta.raywhite.co.id/properti/415549/rumah-di-komplek-depkes-kramat-jati-cocok-untuk-kos2anusahadekat-dengan-rs-polri" TargetMode="External"/><Relationship Id="rId283" Type="http://schemas.openxmlformats.org/officeDocument/2006/relationships/hyperlink" Target="https://maps.google.com/?cid=0x0:0x75cc9b87114b0ed1" TargetMode="External"/><Relationship Id="rId169" Type="http://schemas.openxmlformats.org/officeDocument/2006/relationships/hyperlink" Target="https://maps.google.com/?cid=0x0:0xfa09dbf4f5b57975" TargetMode="External"/><Relationship Id="rId168" Type="http://schemas.openxmlformats.org/officeDocument/2006/relationships/hyperlink" Target="https://maps.google.com/?cid=0x0:0xb3466e8ecf0d6a01" TargetMode="External"/><Relationship Id="rId289" Type="http://schemas.openxmlformats.org/officeDocument/2006/relationships/hyperlink" Target="https://maps.google.com/?cid=0x0:0xb1d67489894367e8" TargetMode="External"/><Relationship Id="rId167" Type="http://schemas.openxmlformats.org/officeDocument/2006/relationships/hyperlink" Target="https://homesyariah.com/properti/perumahan-ciracas-jakarta-timur-sava-village/" TargetMode="External"/><Relationship Id="rId288" Type="http://schemas.openxmlformats.org/officeDocument/2006/relationships/hyperlink" Target="https://maps.google.com/?cid=0x0:0xb2d1451fb9ce270a" TargetMode="External"/><Relationship Id="rId166" Type="http://schemas.openxmlformats.org/officeDocument/2006/relationships/hyperlink" Target="https://maps.google.com/?cid=0x0:0x6304b0cbc117fd93" TargetMode="External"/><Relationship Id="rId287" Type="http://schemas.openxmlformats.org/officeDocument/2006/relationships/hyperlink" Target="https://maps.google.com/?cid=0x0:0x1f73ef49253fbed6" TargetMode="External"/><Relationship Id="rId161" Type="http://schemas.openxmlformats.org/officeDocument/2006/relationships/hyperlink" Target="https://maps.google.com/?cid=0x0:0xfdff6eeb6a71330a" TargetMode="External"/><Relationship Id="rId282" Type="http://schemas.openxmlformats.org/officeDocument/2006/relationships/hyperlink" Target="https://www.dekoruma.com/properti/dijual-jatinegara-jakarta-timur-rumah-santai-oleh-cahyo-Tt2cJdI954?srsltid=AfmBOoqRDUmKRa0Hk6kbGX6n_MhZGnvcp3j30J9VH-EiPNLYTEsAMmx_" TargetMode="External"/><Relationship Id="rId160" Type="http://schemas.openxmlformats.org/officeDocument/2006/relationships/hyperlink" Target="https://www.rumah123.com/properti/jakarta-timur/hos19312923/" TargetMode="External"/><Relationship Id="rId281" Type="http://schemas.openxmlformats.org/officeDocument/2006/relationships/hyperlink" Target="https://maps.google.com/?cid=0x0:0x687c4864a4aea162" TargetMode="External"/><Relationship Id="rId280" Type="http://schemas.openxmlformats.org/officeDocument/2006/relationships/hyperlink" Target="https://maps.google.com/?cid=0x0:0x7453e7e7baaba7e" TargetMode="External"/><Relationship Id="rId159" Type="http://schemas.openxmlformats.org/officeDocument/2006/relationships/hyperlink" Target="https://maps.google.com/?cid=0x0:0xad568cc97a63a835" TargetMode="External"/><Relationship Id="rId154" Type="http://schemas.openxmlformats.org/officeDocument/2006/relationships/hyperlink" Target="https://maps.google.com/?cid=0x0:0x7a581c89d37b5d79" TargetMode="External"/><Relationship Id="rId275" Type="http://schemas.openxmlformats.org/officeDocument/2006/relationships/hyperlink" Target="https://maps.google.com/?cid=0x0:0x9900a1081e3d79b7" TargetMode="External"/><Relationship Id="rId396" Type="http://schemas.openxmlformats.org/officeDocument/2006/relationships/hyperlink" Target="https://maps.google.com/?cid=0x0:0xb35b2f5ca2031294" TargetMode="External"/><Relationship Id="rId153" Type="http://schemas.openxmlformats.org/officeDocument/2006/relationships/hyperlink" Target="https://www.jualrumahjakarta.com/2564/jual-rumah-cluster-bagus-di-green-grass-ciracas-tmii-jakarta-timur-31-kt-3-km/" TargetMode="External"/><Relationship Id="rId274" Type="http://schemas.openxmlformats.org/officeDocument/2006/relationships/hyperlink" Target="https://www.99.co/id/properti/rumah-murah-casa-residence-cijantung-jakarta-timur-1008634752" TargetMode="External"/><Relationship Id="rId395" Type="http://schemas.openxmlformats.org/officeDocument/2006/relationships/hyperlink" Target="https://maps.google.com/?cid=0x0:0x34b6b36117ea2bb9" TargetMode="External"/><Relationship Id="rId152" Type="http://schemas.openxmlformats.org/officeDocument/2006/relationships/hyperlink" Target="https://maps.google.com/?cid=0x0:0xed0836cae82e88ba" TargetMode="External"/><Relationship Id="rId273" Type="http://schemas.openxmlformats.org/officeDocument/2006/relationships/hyperlink" Target="https://maps.google.com/?cid=0x0:0xd8968c1f55f3efd8" TargetMode="External"/><Relationship Id="rId394" Type="http://schemas.openxmlformats.org/officeDocument/2006/relationships/hyperlink" Target="https://homesyariah.com/properti/perumahan-pasar-rebo-jakarta-timur-dpuspita-5-residence-kalisari/" TargetMode="External"/><Relationship Id="rId151" Type="http://schemas.openxmlformats.org/officeDocument/2006/relationships/hyperlink" Target="https://www.rumah123.com/properti/jakarta-timur/hos18689409/" TargetMode="External"/><Relationship Id="rId272" Type="http://schemas.openxmlformats.org/officeDocument/2006/relationships/hyperlink" Target="https://maps.google.com/?cid=0x0:0x9b151a35d7d2fdd2" TargetMode="External"/><Relationship Id="rId393" Type="http://schemas.openxmlformats.org/officeDocument/2006/relationships/hyperlink" Target="https://maps.google.com/?cid=0x0:0x7337d5f6242e86ba" TargetMode="External"/><Relationship Id="rId158" Type="http://schemas.openxmlformats.org/officeDocument/2006/relationships/hyperlink" Target="https://www.rumah123.com/perumahan-baru/properti/jakarta-timur/pandan-wangi-residence/nps2348/" TargetMode="External"/><Relationship Id="rId279" Type="http://schemas.openxmlformats.org/officeDocument/2006/relationships/hyperlink" Target="https://www.pinhome.id/dijual/rumah-sekunder/unit/dijual-rumah-di-cijantung-13" TargetMode="External"/><Relationship Id="rId157" Type="http://schemas.openxmlformats.org/officeDocument/2006/relationships/hyperlink" Target="https://maps.google.com/?cid=0x0:0xae1f33df5b1e2339" TargetMode="External"/><Relationship Id="rId278" Type="http://schemas.openxmlformats.org/officeDocument/2006/relationships/hyperlink" Target="https://maps.google.com/?cid=0x0:0xe608ae06c59b2d97" TargetMode="External"/><Relationship Id="rId399" Type="http://schemas.openxmlformats.org/officeDocument/2006/relationships/hyperlink" Target="https://www.pinhome.id/dijual/rumah-sekunder/unit/dijual-rumah-di-jl-pandan-alas-no-58k-cahaya-residence" TargetMode="External"/><Relationship Id="rId156" Type="http://schemas.openxmlformats.org/officeDocument/2006/relationships/hyperlink" Target="https://maps.google.com/?cid=0x0:0x85a44f09e5fcbdc4" TargetMode="External"/><Relationship Id="rId277" Type="http://schemas.openxmlformats.org/officeDocument/2006/relationships/hyperlink" Target="https://maps.google.com/?cid=0x0:0xc69289973a049725" TargetMode="External"/><Relationship Id="rId398" Type="http://schemas.openxmlformats.org/officeDocument/2006/relationships/hyperlink" Target="https://maps.google.com/?cid=0x0:0x9f3ebecf1d81912" TargetMode="External"/><Relationship Id="rId155" Type="http://schemas.openxmlformats.org/officeDocument/2006/relationships/hyperlink" Target="https://maps.google.com/?cid=0x0:0x7c0b7bff1d14c2ca" TargetMode="External"/><Relationship Id="rId276" Type="http://schemas.openxmlformats.org/officeDocument/2006/relationships/hyperlink" Target="https://maps.google.com/?cid=0x0:0xe840c233fd38f9b1" TargetMode="External"/><Relationship Id="rId397" Type="http://schemas.openxmlformats.org/officeDocument/2006/relationships/hyperlink" Target="https://anivagadingserpong.raywhite.co.id/properti/427852/dijual-rumah-bagus-siap-huni-di-griya-alam-gedong-ps-rebo-jakarta-timur" TargetMode="External"/><Relationship Id="rId40" Type="http://schemas.openxmlformats.org/officeDocument/2006/relationships/hyperlink" Target="https://www.pinhome.id/dijual/rumah-sekunder/unit/dijual-rumah-cantik-di-griya-kartini-c-1" TargetMode="External"/><Relationship Id="rId42" Type="http://schemas.openxmlformats.org/officeDocument/2006/relationships/hyperlink" Target="https://www.olx.co.id/item/rumah-murah-2-lantai-shm-di-pisangan-baru-jakarta-timur-iid-928161644" TargetMode="External"/><Relationship Id="rId41" Type="http://schemas.openxmlformats.org/officeDocument/2006/relationships/hyperlink" Target="https://maps.google.com/?cid=0x0:0x815aa249f2bc28de" TargetMode="External"/><Relationship Id="rId44" Type="http://schemas.openxmlformats.org/officeDocument/2006/relationships/hyperlink" Target="https://maps.google.com/?cid=0x0:0x5917f160ed05d241" TargetMode="External"/><Relationship Id="rId43" Type="http://schemas.openxmlformats.org/officeDocument/2006/relationships/hyperlink" Target="https://maps.google.com/?cid=0x0:0xe30672710e5b445e" TargetMode="External"/><Relationship Id="rId46" Type="http://schemas.openxmlformats.org/officeDocument/2006/relationships/hyperlink" Target="https://maps.google.com/?cid=0x0:0x68e1364e144aca1d" TargetMode="External"/><Relationship Id="rId45" Type="http://schemas.openxmlformats.org/officeDocument/2006/relationships/hyperlink" Target="https://www.rumah123.com/properti/jakarta-timur/hos18351742/" TargetMode="External"/><Relationship Id="rId509" Type="http://schemas.openxmlformats.org/officeDocument/2006/relationships/hyperlink" Target="https://maps.google.com/?cid=0x0:0x2dd76af91ea60c01" TargetMode="External"/><Relationship Id="rId508" Type="http://schemas.openxmlformats.org/officeDocument/2006/relationships/hyperlink" Target="https://www.pinhome.id/dijual/rumah-sekunder/unit/dijual-rumah-di-pondok-bambu-di-jln-kesehatan-gang-swadaya-27918" TargetMode="External"/><Relationship Id="rId503" Type="http://schemas.openxmlformats.org/officeDocument/2006/relationships/hyperlink" Target="https://maps.google.com/?cid=0x0:0x37bb0fe34a9cc082" TargetMode="External"/><Relationship Id="rId502" Type="http://schemas.openxmlformats.org/officeDocument/2006/relationships/hyperlink" Target="https://maps.google.com/?cid=0x0:0x8b595f1daca3aa46" TargetMode="External"/><Relationship Id="rId501" Type="http://schemas.openxmlformats.org/officeDocument/2006/relationships/hyperlink" Target="https://maps.google.com/?cid=0x0:0x90fa4e0adca01685" TargetMode="External"/><Relationship Id="rId500" Type="http://schemas.openxmlformats.org/officeDocument/2006/relationships/hyperlink" Target="https://www.rumah123.com/venue/griya-cipayung-vcm22502/" TargetMode="External"/><Relationship Id="rId507" Type="http://schemas.openxmlformats.org/officeDocument/2006/relationships/hyperlink" Target="https://maps.google.com/?cid=0x0:0x2ca9d4912e086a3d" TargetMode="External"/><Relationship Id="rId506" Type="http://schemas.openxmlformats.org/officeDocument/2006/relationships/hyperlink" Target="https://jendela360.com/properti/jual/RMH3171" TargetMode="External"/><Relationship Id="rId505" Type="http://schemas.openxmlformats.org/officeDocument/2006/relationships/hyperlink" Target="https://maps.google.com/?cid=0x0:0xac1d881af826e1b" TargetMode="External"/><Relationship Id="rId504" Type="http://schemas.openxmlformats.org/officeDocument/2006/relationships/hyperlink" Target="https://www.rumah123.com/venue/pesona-fajar-ciracas-vcm29930/" TargetMode="External"/><Relationship Id="rId48" Type="http://schemas.openxmlformats.org/officeDocument/2006/relationships/hyperlink" Target="https://maps.google.com/?cid=0x0:0xec885305dad27741" TargetMode="External"/><Relationship Id="rId47" Type="http://schemas.openxmlformats.org/officeDocument/2006/relationships/hyperlink" Target="https://properti1.com/iklan/jual-rumah-siap-huni-di-kalisari-pasar-rebo-jakarta-timur-nuansa-damai-residence-640560f71d6e345be3792fb7" TargetMode="External"/><Relationship Id="rId49" Type="http://schemas.openxmlformats.org/officeDocument/2006/relationships/hyperlink" Target="https://www.pinhome.id/dijual/rumah-sekunder/unit/dijual-rumah-di-jl-pori-raya" TargetMode="External"/><Relationship Id="rId31" Type="http://schemas.openxmlformats.org/officeDocument/2006/relationships/hyperlink" Target="https://www.lamudi.co.id/jual/jakarta/jakarta-timur/rumah-oasis-ciracas-mansion-selangkah-ke-lrt-cirac-172991885947/" TargetMode="External"/><Relationship Id="rId30" Type="http://schemas.openxmlformats.org/officeDocument/2006/relationships/hyperlink" Target="https://maps.google.com/?cid=0x0:0x999525fc0355ea7a" TargetMode="External"/><Relationship Id="rId33" Type="http://schemas.openxmlformats.org/officeDocument/2006/relationships/hyperlink" Target="https://www.rumah123.com/venue/the-h-residence-vap1255/" TargetMode="External"/><Relationship Id="rId32" Type="http://schemas.openxmlformats.org/officeDocument/2006/relationships/hyperlink" Target="https://maps.google.com/?cid=0x0:0x400a07e6100f6fd2" TargetMode="External"/><Relationship Id="rId35" Type="http://schemas.openxmlformats.org/officeDocument/2006/relationships/hyperlink" Target="https://ardinanresidencelampiri.com/ardinan-residence-condet/" TargetMode="External"/><Relationship Id="rId34" Type="http://schemas.openxmlformats.org/officeDocument/2006/relationships/hyperlink" Target="https://maps.google.com/?cid=0x0:0x29c3fd0d079fa563" TargetMode="External"/><Relationship Id="rId37" Type="http://schemas.openxmlformats.org/officeDocument/2006/relationships/hyperlink" Target="https://maps.google.com/?cid=0x0:0xfe40afdc2ea7973" TargetMode="External"/><Relationship Id="rId36" Type="http://schemas.openxmlformats.org/officeDocument/2006/relationships/hyperlink" Target="https://maps.google.com/?cid=0x0:0x53d99ea0b5f6b8b2" TargetMode="External"/><Relationship Id="rId39" Type="http://schemas.openxmlformats.org/officeDocument/2006/relationships/hyperlink" Target="https://maps.google.com/?cid=0x0:0xa1c29fdd49af567e" TargetMode="External"/><Relationship Id="rId38" Type="http://schemas.openxmlformats.org/officeDocument/2006/relationships/hyperlink" Target="https://www.olx.co.id/item/dijual-rumah-komplek-griya-galaxy-batuampar-iid-923773608" TargetMode="External"/><Relationship Id="rId20" Type="http://schemas.openxmlformats.org/officeDocument/2006/relationships/hyperlink" Target="https://maps.google.com/?cid=0x0:0xa773e6413c1767e9" TargetMode="External"/><Relationship Id="rId22" Type="http://schemas.openxmlformats.org/officeDocument/2006/relationships/hyperlink" Target="https://maps.google.com/?cid=0x0:0x2d81f1ed0ffc8a0b" TargetMode="External"/><Relationship Id="rId21" Type="http://schemas.openxmlformats.org/officeDocument/2006/relationships/hyperlink" Target="https://maps.google.com/?cid=0x0:0x703a6a42867b8dd4" TargetMode="External"/><Relationship Id="rId24" Type="http://schemas.openxmlformats.org/officeDocument/2006/relationships/hyperlink" Target="https://maps.google.com/?cid=0x0:0x5a2dab2acf0256d" TargetMode="External"/><Relationship Id="rId23" Type="http://schemas.openxmlformats.org/officeDocument/2006/relationships/hyperlink" Target="https://www.lamudi.co.id/jual/jakarta/jakarta-timur/rumah-2-lantai-lubang-buaya-173996444738/" TargetMode="External"/><Relationship Id="rId409" Type="http://schemas.openxmlformats.org/officeDocument/2006/relationships/hyperlink" Target="https://www.dekoruma.com/properti/dijual-pulo-gadung-jakarta-timur-rumah-2-lantai-santai-oleh-anthony-UqJujG2QtL?srsltid=AfmBOoqmW9B5h1cDMhKR_XaMWAZeaJ0m1FnLp9yQZC1m6WxEGHSRQ_T2" TargetMode="External"/><Relationship Id="rId404" Type="http://schemas.openxmlformats.org/officeDocument/2006/relationships/hyperlink" Target="https://maps.google.com/?cid=0x0:0xce2edb5bdd9c8a2" TargetMode="External"/><Relationship Id="rId525" Type="http://schemas.openxmlformats.org/officeDocument/2006/relationships/hyperlink" Target="https://maps.google.com/?cid=0x0:0xaec8b58a82081df9" TargetMode="External"/><Relationship Id="rId403" Type="http://schemas.openxmlformats.org/officeDocument/2006/relationships/hyperlink" Target="https://maps.google.com/?cid=0x0:0x46b1c869249be5a5" TargetMode="External"/><Relationship Id="rId524" Type="http://schemas.openxmlformats.org/officeDocument/2006/relationships/hyperlink" Target="https://maps.google.com/?cid=0x0:0x999a10904830ebb3" TargetMode="External"/><Relationship Id="rId402" Type="http://schemas.openxmlformats.org/officeDocument/2006/relationships/hyperlink" Target="https://maps.google.com/?cid=0x0:0x593cb4cfa3e4f440" TargetMode="External"/><Relationship Id="rId523" Type="http://schemas.openxmlformats.org/officeDocument/2006/relationships/hyperlink" Target="https://maps.google.com/?cid=0x0:0x52bea9288a78ccee" TargetMode="External"/><Relationship Id="rId401" Type="http://schemas.openxmlformats.org/officeDocument/2006/relationships/hyperlink" Target="https://agenberkahindo.com/asheu_catalogue/dijual-rumah-di-cijantung-jakarta-timur/" TargetMode="External"/><Relationship Id="rId522" Type="http://schemas.openxmlformats.org/officeDocument/2006/relationships/hyperlink" Target="https://www.pinhome.id/dijual/rumah-sekunder/unit/dijual-rumah-lelang-bank-di-dphasa-residence-duren-sawit-jakarta-timur" TargetMode="External"/><Relationship Id="rId408" Type="http://schemas.openxmlformats.org/officeDocument/2006/relationships/hyperlink" Target="https://maps.google.com/?cid=0x0:0xd3a5db24b004e961" TargetMode="External"/><Relationship Id="rId529" Type="http://schemas.openxmlformats.org/officeDocument/2006/relationships/hyperlink" Target="https://maps.google.com/?cid=0x0:0xf806ada12a6584d2" TargetMode="External"/><Relationship Id="rId407" Type="http://schemas.openxmlformats.org/officeDocument/2006/relationships/hyperlink" Target="https://www.dekoruma.com/properti/perumahan-kayu-mas-residence-jakarta-timur?srsltid=AfmBOopht4mxwygrFTGWHQODec5lN7U9R123PTXEW9b8Qb28gWeg2Blm" TargetMode="External"/><Relationship Id="rId528" Type="http://schemas.openxmlformats.org/officeDocument/2006/relationships/hyperlink" Target="https://www.rumah123.com/venue/dukuh-permai-residence-vcm27082/" TargetMode="External"/><Relationship Id="rId406" Type="http://schemas.openxmlformats.org/officeDocument/2006/relationships/hyperlink" Target="https://maps.google.com/?cid=0x0:0xea3b93aad2c5b03a" TargetMode="External"/><Relationship Id="rId527" Type="http://schemas.openxmlformats.org/officeDocument/2006/relationships/hyperlink" Target="https://maps.google.com/?cid=0x0:0x5eac00562dd9cfcb" TargetMode="External"/><Relationship Id="rId405" Type="http://schemas.openxmlformats.org/officeDocument/2006/relationships/hyperlink" Target="https://www.rumah123.com/venue/the-mozz-residence-9-vcm27610/" TargetMode="External"/><Relationship Id="rId526" Type="http://schemas.openxmlformats.org/officeDocument/2006/relationships/hyperlink" Target="https://maps.google.com/?cid=0x0:0xd507390fd66ce0b" TargetMode="External"/><Relationship Id="rId26" Type="http://schemas.openxmlformats.org/officeDocument/2006/relationships/hyperlink" Target="https://maps.google.com/?cid=0x0:0x8dba45bef0c8141b" TargetMode="External"/><Relationship Id="rId25" Type="http://schemas.openxmlformats.org/officeDocument/2006/relationships/hyperlink" Target="https://maps.google.com/?cid=0x0:0x1d19575c5bb6527" TargetMode="External"/><Relationship Id="rId28" Type="http://schemas.openxmlformats.org/officeDocument/2006/relationships/hyperlink" Target="https://maps.google.com/?cid=0x0:0xa556156419dc03d3" TargetMode="External"/><Relationship Id="rId27" Type="http://schemas.openxmlformats.org/officeDocument/2006/relationships/hyperlink" Target="https://www.facebook.com/groups/549900048532014/posts/2532181430303856/?_rdr" TargetMode="External"/><Relationship Id="rId400" Type="http://schemas.openxmlformats.org/officeDocument/2006/relationships/hyperlink" Target="https://maps.google.com/?cid=0x0:0x8dd73499b0e9993e" TargetMode="External"/><Relationship Id="rId521" Type="http://schemas.openxmlformats.org/officeDocument/2006/relationships/hyperlink" Target="https://maps.google.com/?cid=0x0:0xf8bef8b03e5acc6e" TargetMode="External"/><Relationship Id="rId29" Type="http://schemas.openxmlformats.org/officeDocument/2006/relationships/hyperlink" Target="https://viollaproperty.com/property/di-jual-rumah-2-lantai-lokasi-perumahan-green-lake-cibubur-pondok-ranggon-jakarta-timur/" TargetMode="External"/><Relationship Id="rId520" Type="http://schemas.openxmlformats.org/officeDocument/2006/relationships/hyperlink" Target="https://rumah.trovit.co.id/listing/rumah-murah-bebas-banjir-di-komplek-duren-sawit-baru.1H1yMl8y181l" TargetMode="External"/><Relationship Id="rId11" Type="http://schemas.openxmlformats.org/officeDocument/2006/relationships/hyperlink" Target="https://www.rumah123.com/venue/pasadenia-residence-vcm15441/" TargetMode="External"/><Relationship Id="rId10" Type="http://schemas.openxmlformats.org/officeDocument/2006/relationships/hyperlink" Target="https://maps.google.com/?cid=0x0:0x2f1e8bac4a6b0adb" TargetMode="External"/><Relationship Id="rId13" Type="http://schemas.openxmlformats.org/officeDocument/2006/relationships/hyperlink" Target="https://www.olx.co.id/item/dijual-apartemen-studio-h-residence-mt-haryono-iid-930027205" TargetMode="External"/><Relationship Id="rId12" Type="http://schemas.openxmlformats.org/officeDocument/2006/relationships/hyperlink" Target="https://maps.google.com/?cid=0x0:0xfe637407e49baba6" TargetMode="External"/><Relationship Id="rId519" Type="http://schemas.openxmlformats.org/officeDocument/2006/relationships/hyperlink" Target="https://maps.google.com/?cid=0x0:0x9286797ac2634dbd" TargetMode="External"/><Relationship Id="rId514" Type="http://schemas.openxmlformats.org/officeDocument/2006/relationships/hyperlink" Target="https://pashouses.id/rumah/town-house-asri-d-lapan" TargetMode="External"/><Relationship Id="rId513" Type="http://schemas.openxmlformats.org/officeDocument/2006/relationships/hyperlink" Target="https://maps.google.com/?cid=0x0:0x1d662ad6be95fb82" TargetMode="External"/><Relationship Id="rId512" Type="http://schemas.openxmlformats.org/officeDocument/2006/relationships/hyperlink" Target="https://www.brighton.co.id/cari-properti/view/jl-kavling-pesona-cijantung-asri-kec-pasar-rebo-jakarta-timur" TargetMode="External"/><Relationship Id="rId511" Type="http://schemas.openxmlformats.org/officeDocument/2006/relationships/hyperlink" Target="https://maps.google.com/?cid=0x0:0x37dae1e0ee2a0df1" TargetMode="External"/><Relationship Id="rId518" Type="http://schemas.openxmlformats.org/officeDocument/2006/relationships/hyperlink" Target="https://www.99.co/id/properti/rumah-1-lantai-di-perumahan-kopti-setu-cipayung-jakarta-timur-1006972447" TargetMode="External"/><Relationship Id="rId517" Type="http://schemas.openxmlformats.org/officeDocument/2006/relationships/hyperlink" Target="https://maps.google.com/?cid=0x0:0x6d1d8439a04cc47b" TargetMode="External"/><Relationship Id="rId516" Type="http://schemas.openxmlformats.org/officeDocument/2006/relationships/hyperlink" Target="https://belirumah.co/jual/rumah-baru/kenigayo-residence/tipe/kenigoya/942c11da-3272-449c-a51e-a7dfbb68d723" TargetMode="External"/><Relationship Id="rId515" Type="http://schemas.openxmlformats.org/officeDocument/2006/relationships/hyperlink" Target="https://maps.google.com/?cid=0x0:0x84a10bf63913493e" TargetMode="External"/><Relationship Id="rId15" Type="http://schemas.openxmlformats.org/officeDocument/2006/relationships/hyperlink" Target="https://maps.google.com/?cid=0x0:0xd185cd9c8ee7f25c" TargetMode="External"/><Relationship Id="rId14" Type="http://schemas.openxmlformats.org/officeDocument/2006/relationships/hyperlink" Target="https://maps.google.com/?cid=0x0:0xcad300d41e08118c" TargetMode="External"/><Relationship Id="rId17" Type="http://schemas.openxmlformats.org/officeDocument/2006/relationships/hyperlink" Target="https://www.dekoruma.com/properti/dijual-jatinegara-jakarta-timur-rumah-kosong-oleh-nur-j1COyP8sij?srsltid=AfmBOoqc-l95zMjc9kKfE95WyBNK1f3VOOam4la7o9yzxd8vBbEA95z9" TargetMode="External"/><Relationship Id="rId16" Type="http://schemas.openxmlformats.org/officeDocument/2006/relationships/hyperlink" Target="https://maps.google.com/?cid=0x0:0x573081a339090dfd" TargetMode="External"/><Relationship Id="rId19" Type="http://schemas.openxmlformats.org/officeDocument/2006/relationships/hyperlink" Target="https://rumah.trovit.co.id/listing/rumah-jalan-pusdiklat-depnaker-pinang-ranti-makasar-jaktim.4f1b74ae-fdd0-449c-8fb5-7dd476b06b29" TargetMode="External"/><Relationship Id="rId510" Type="http://schemas.openxmlformats.org/officeDocument/2006/relationships/hyperlink" Target="https://maps.google.com/?cid=0x0:0x7b3fef9917893a79" TargetMode="External"/><Relationship Id="rId18" Type="http://schemas.openxmlformats.org/officeDocument/2006/relationships/hyperlink" Target="https://maps.google.com/?cid=0x0:0x21f2da8a15ebe025" TargetMode="External"/><Relationship Id="rId84" Type="http://schemas.openxmlformats.org/officeDocument/2006/relationships/hyperlink" Target="https://maps.google.com/?cid=0x0:0x6751f38febe0710e" TargetMode="External"/><Relationship Id="rId83" Type="http://schemas.openxmlformats.org/officeDocument/2006/relationships/hyperlink" Target="https://maps.google.com/?cid=0x0:0xafe4bda2ce2deda4" TargetMode="External"/><Relationship Id="rId86" Type="http://schemas.openxmlformats.org/officeDocument/2006/relationships/hyperlink" Target="https://www.rumah123.com/venue/puri-remaja-asri-vcm18200/" TargetMode="External"/><Relationship Id="rId85" Type="http://schemas.openxmlformats.org/officeDocument/2006/relationships/hyperlink" Target="https://maps.google.com/?cid=0x0:0xcde0a7ad5fddb994" TargetMode="External"/><Relationship Id="rId88" Type="http://schemas.openxmlformats.org/officeDocument/2006/relationships/hyperlink" Target="https://maps.google.com/?cid=0x0:0xaefd7738f81f3afd" TargetMode="External"/><Relationship Id="rId87" Type="http://schemas.openxmlformats.org/officeDocument/2006/relationships/hyperlink" Target="https://maps.google.com/?cid=0x0:0x8954684b88e7153a" TargetMode="External"/><Relationship Id="rId89" Type="http://schemas.openxmlformats.org/officeDocument/2006/relationships/hyperlink" Target="https://rumah.trovit.co.id/listing/rumah-jl-manunggal-raya-cibubur-jakarta-timur.8e73102c-45a5-4c5e-91e5-0fe0a48281c8" TargetMode="External"/><Relationship Id="rId80" Type="http://schemas.openxmlformats.org/officeDocument/2006/relationships/hyperlink" Target="https://www.rumah123.com/properti/jakarta-timur/hos18758519/" TargetMode="External"/><Relationship Id="rId82" Type="http://schemas.openxmlformats.org/officeDocument/2006/relationships/hyperlink" Target="https://www.rumah123.com/venue/tamini-residence-vcm24464/" TargetMode="External"/><Relationship Id="rId81" Type="http://schemas.openxmlformats.org/officeDocument/2006/relationships/hyperlink" Target="https://maps.google.com/?cid=0x0:0x7d7807c05fb18855" TargetMode="External"/><Relationship Id="rId73" Type="http://schemas.openxmlformats.org/officeDocument/2006/relationships/hyperlink" Target="https://maps.google.com/?cid=0x0:0xf8d6dd2a45b14e85" TargetMode="External"/><Relationship Id="rId72" Type="http://schemas.openxmlformats.org/officeDocument/2006/relationships/hyperlink" Target="https://rumah.trovit.co.id/listing/damai-residence-lubang-buaya-jakarta-timur.Y-W1Yl3S_" TargetMode="External"/><Relationship Id="rId75" Type="http://schemas.openxmlformats.org/officeDocument/2006/relationships/hyperlink" Target="https://maps.google.com/?cid=0x0:0x41e0ce3bd9715910" TargetMode="External"/><Relationship Id="rId74" Type="http://schemas.openxmlformats.org/officeDocument/2006/relationships/hyperlink" Target="https://www.facebook.com/groups/302174856641531/posts/2770336996491959/?_rdr" TargetMode="External"/><Relationship Id="rId77" Type="http://schemas.openxmlformats.org/officeDocument/2006/relationships/hyperlink" Target="https://maps.google.com/?cid=0x0:0xc938dec197209fe8" TargetMode="External"/><Relationship Id="rId76" Type="http://schemas.openxmlformats.org/officeDocument/2006/relationships/hyperlink" Target="https://www.rumah123.com/properti/jakarta-timur/hos19244921/" TargetMode="External"/><Relationship Id="rId79" Type="http://schemas.openxmlformats.org/officeDocument/2006/relationships/hyperlink" Target="https://maps.google.com/?cid=0x0:0x153d307d841e8c7b" TargetMode="External"/><Relationship Id="rId78" Type="http://schemas.openxmlformats.org/officeDocument/2006/relationships/hyperlink" Target="https://maps.google.com/?cid=0x0:0x94296d311276aec2" TargetMode="External"/><Relationship Id="rId71" Type="http://schemas.openxmlformats.org/officeDocument/2006/relationships/hyperlink" Target="https://maps.google.com/?cid=0x0:0x1df0e9f5f6b6b8f9" TargetMode="External"/><Relationship Id="rId70" Type="http://schemas.openxmlformats.org/officeDocument/2006/relationships/hyperlink" Target="https://www.rumah123.com/venue/the-royal-residence-vcm18618/" TargetMode="External"/><Relationship Id="rId62" Type="http://schemas.openxmlformats.org/officeDocument/2006/relationships/hyperlink" Target="https://www.rumah123.com/venue/the-royal-residence-vcm18618/" TargetMode="External"/><Relationship Id="rId61" Type="http://schemas.openxmlformats.org/officeDocument/2006/relationships/hyperlink" Target="https://maps.google.com/?cid=0x0:0x5b6cb07572a425a8" TargetMode="External"/><Relationship Id="rId64" Type="http://schemas.openxmlformats.org/officeDocument/2006/relationships/hyperlink" Target="https://rumah.trovit.co.id/listing/rumah-cluster-valeria-6x16-96m-type-5kt-metland-menteng-cakung.12Xd1R1813Y18" TargetMode="External"/><Relationship Id="rId63" Type="http://schemas.openxmlformats.org/officeDocument/2006/relationships/hyperlink" Target="https://maps.google.com/?cid=0x0:0x3c278235332ae6d" TargetMode="External"/><Relationship Id="rId66" Type="http://schemas.openxmlformats.org/officeDocument/2006/relationships/hyperlink" Target="https://www.olx.co.id/item/rumah-komersil-cluster-bumi-sakinah-iid-925588015" TargetMode="External"/><Relationship Id="rId65" Type="http://schemas.openxmlformats.org/officeDocument/2006/relationships/hyperlink" Target="https://maps.google.com/?cid=0x0:0x4bc4c2b27b6c9bc" TargetMode="External"/><Relationship Id="rId68" Type="http://schemas.openxmlformats.org/officeDocument/2006/relationships/hyperlink" Target="https://www.olx.co.id/item/dijual-rumah-cantik-di-taman-modern-cakung-jakarta-timur-e0102and-iid-928731358" TargetMode="External"/><Relationship Id="rId67" Type="http://schemas.openxmlformats.org/officeDocument/2006/relationships/hyperlink" Target="https://maps.google.com/?cid=0x0:0x7788167cf93866ef" TargetMode="External"/><Relationship Id="rId60" Type="http://schemas.openxmlformats.org/officeDocument/2006/relationships/hyperlink" Target="https://infolelang.bri.co.id/sale/perumahan-aneka-elok-penggilingan_59966" TargetMode="External"/><Relationship Id="rId69" Type="http://schemas.openxmlformats.org/officeDocument/2006/relationships/hyperlink" Target="https://maps.google.com/?cid=0x0:0xd9e8f69e37cbe6b6" TargetMode="External"/><Relationship Id="rId51" Type="http://schemas.openxmlformats.org/officeDocument/2006/relationships/hyperlink" Target="https://maps.google.com/?cid=0x0:0x64443ff08284e5ac" TargetMode="External"/><Relationship Id="rId50" Type="http://schemas.openxmlformats.org/officeDocument/2006/relationships/hyperlink" Target="https://maps.google.com/?cid=0x0:0x158ec3b273238ed0" TargetMode="External"/><Relationship Id="rId53" Type="http://schemas.openxmlformats.org/officeDocument/2006/relationships/hyperlink" Target="https://maps.google.com/?cid=0x0:0x9b554986cbae8d3b" TargetMode="External"/><Relationship Id="rId52" Type="http://schemas.openxmlformats.org/officeDocument/2006/relationships/hyperlink" Target="https://www.99.co/id/jual/rumah/area-jakarta-timur/jakarta-garden-city" TargetMode="External"/><Relationship Id="rId55" Type="http://schemas.openxmlformats.org/officeDocument/2006/relationships/hyperlink" Target="https://maps.google.com/?cid=0x0:0xd45e55feebf5ca49" TargetMode="External"/><Relationship Id="rId54" Type="http://schemas.openxmlformats.org/officeDocument/2006/relationships/hyperlink" Target="https://m.dekoruma.com/properti/perumahan-semayang-at-asya-jakarta-garden-city-jakarta-timur?utm_source=adwords&amp;gad_source=1&amp;gclid=Cj0KCQjws-S-BhD2ARIsALssG0aOrCF-nnutobEaRcQvZp9qGxmzkOLkGDF6WH4ZwXLI1YCK4Sr7AMkaAvw7EALw_wcB" TargetMode="External"/><Relationship Id="rId57" Type="http://schemas.openxmlformats.org/officeDocument/2006/relationships/hyperlink" Target="https://maps.google.com/?cid=0x0:0x1da72d11db3292a2" TargetMode="External"/><Relationship Id="rId56" Type="http://schemas.openxmlformats.org/officeDocument/2006/relationships/hyperlink" Target="https://maps.google.com/?cid=0x0:0xffd7aac17ca99da3" TargetMode="External"/><Relationship Id="rId59" Type="http://schemas.openxmlformats.org/officeDocument/2006/relationships/hyperlink" Target="https://maps.google.com/?cid=0x0:0xa98721217b0ab313" TargetMode="External"/><Relationship Id="rId58" Type="http://schemas.openxmlformats.org/officeDocument/2006/relationships/hyperlink" Target="https://www.99.co/id/properti/ir-21021-dijual-rumah-baru-siap-huni-di-jatinegara-indah-1008768233" TargetMode="External"/><Relationship Id="rId590" Type="http://schemas.openxmlformats.org/officeDocument/2006/relationships/hyperlink" Target="https://maps.google.com/?cid=0x0:0xd967b6ccee2616e4" TargetMode="External"/><Relationship Id="rId107" Type="http://schemas.openxmlformats.org/officeDocument/2006/relationships/hyperlink" Target="https://www.rumah123.com/properti/jakarta-timur/hos19260338/" TargetMode="External"/><Relationship Id="rId228" Type="http://schemas.openxmlformats.org/officeDocument/2006/relationships/hyperlink" Target="https://maps.google.com/?cid=0x0:0x739e663a349553e0" TargetMode="External"/><Relationship Id="rId349" Type="http://schemas.openxmlformats.org/officeDocument/2006/relationships/hyperlink" Target="https://maps.google.com/?cid=0x0:0xc55e0cc9cdf64b26" TargetMode="External"/><Relationship Id="rId106" Type="http://schemas.openxmlformats.org/officeDocument/2006/relationships/hyperlink" Target="https://maps.google.com/?cid=0x0:0x7e053f33652d4e3a" TargetMode="External"/><Relationship Id="rId227" Type="http://schemas.openxmlformats.org/officeDocument/2006/relationships/hyperlink" Target="https://www.rumah123.com/venue/arsa-residence-vcm21614/" TargetMode="External"/><Relationship Id="rId348" Type="http://schemas.openxmlformats.org/officeDocument/2006/relationships/hyperlink" Target="https://maps.google.com/?cid=0x0:0x55f3a0aba49c47e0" TargetMode="External"/><Relationship Id="rId469" Type="http://schemas.openxmlformats.org/officeDocument/2006/relationships/hyperlink" Target="https://maps.google.com/?cid=0x0:0x4d74da40c53e2ff" TargetMode="External"/><Relationship Id="rId105" Type="http://schemas.openxmlformats.org/officeDocument/2006/relationships/hyperlink" Target="https://www.99.co/id/properti/rumah-siap-huni-di-perumahan-griya-semar-munjul-cipayung-1008670687" TargetMode="External"/><Relationship Id="rId226" Type="http://schemas.openxmlformats.org/officeDocument/2006/relationships/hyperlink" Target="https://maps.google.com/?cid=0x0:0x7c5d64c68892bc16" TargetMode="External"/><Relationship Id="rId347" Type="http://schemas.openxmlformats.org/officeDocument/2006/relationships/hyperlink" Target="https://maps.google.com/?cid=0x0:0x53137d10949b10f" TargetMode="External"/><Relationship Id="rId468" Type="http://schemas.openxmlformats.org/officeDocument/2006/relationships/hyperlink" Target="https://rumah.trovit.co.id/listing/rumah-type-townhouse-cantik-di-cipayung-jakarta-timur.83a50dd4-68c0-4852-87fb-b337bba52c03" TargetMode="External"/><Relationship Id="rId589" Type="http://schemas.openxmlformats.org/officeDocument/2006/relationships/hyperlink" Target="https://www.rumah123.com/properti/jakarta-timur/hos18836122/" TargetMode="External"/><Relationship Id="rId104" Type="http://schemas.openxmlformats.org/officeDocument/2006/relationships/hyperlink" Target="https://maps.google.com/?cid=0x0:0x14d42bba94917826" TargetMode="External"/><Relationship Id="rId225" Type="http://schemas.openxmlformats.org/officeDocument/2006/relationships/hyperlink" Target="https://rumah.trovit.co.id/listing/kansa-residence-jakarta-timur.e9223c5b-793d-40ed-adea-cd8806093294" TargetMode="External"/><Relationship Id="rId346" Type="http://schemas.openxmlformats.org/officeDocument/2006/relationships/hyperlink" Target="https://cariproperti.com/grand-tri-asih-ciracas" TargetMode="External"/><Relationship Id="rId467" Type="http://schemas.openxmlformats.org/officeDocument/2006/relationships/hyperlink" Target="https://maps.google.com/?cid=0x0:0x3a73bc767160f76" TargetMode="External"/><Relationship Id="rId588" Type="http://schemas.openxmlformats.org/officeDocument/2006/relationships/hyperlink" Target="https://maps.google.com/?cid=0x0:0xd58329de4dc50bdb" TargetMode="External"/><Relationship Id="rId109" Type="http://schemas.openxmlformats.org/officeDocument/2006/relationships/hyperlink" Target="https://www.dekoruma.com/properti/dijual-jatinegara-jakarta-timur-rumah-bagus-oleh-farida-88FiHXDWZF?srsltid=AfmBOooBOuUg6TVGTltY6WDb46RsbwDMf2TshIfYkkA59B52Al9qW-MR" TargetMode="External"/><Relationship Id="rId108" Type="http://schemas.openxmlformats.org/officeDocument/2006/relationships/hyperlink" Target="https://maps.google.com/?cid=0x0:0xb0f2d022b71e1887" TargetMode="External"/><Relationship Id="rId229" Type="http://schemas.openxmlformats.org/officeDocument/2006/relationships/hyperlink" Target="https://maps.google.com/?cid=0x0:0xab8db7518662c55d" TargetMode="External"/><Relationship Id="rId220" Type="http://schemas.openxmlformats.org/officeDocument/2006/relationships/hyperlink" Target="https://maps.google.com/?cid=0x0:0xdf42f1f04b1a364c" TargetMode="External"/><Relationship Id="rId341" Type="http://schemas.openxmlformats.org/officeDocument/2006/relationships/hyperlink" Target="https://maps.google.com/?cid=0x0:0x4f1eb76331d49a24" TargetMode="External"/><Relationship Id="rId462" Type="http://schemas.openxmlformats.org/officeDocument/2006/relationships/hyperlink" Target="https://maps.google.com/?cid=0x0:0x9c52335cb77d4adc" TargetMode="External"/><Relationship Id="rId583" Type="http://schemas.openxmlformats.org/officeDocument/2006/relationships/hyperlink" Target="https://www.99.co/id/komplek-perumahan/14306-mutiara-damai-town-house/units" TargetMode="External"/><Relationship Id="rId340" Type="http://schemas.openxmlformats.org/officeDocument/2006/relationships/hyperlink" Target="https://maps.google.com/?cid=0x0:0x2f86a8fe991ac3ae" TargetMode="External"/><Relationship Id="rId461" Type="http://schemas.openxmlformats.org/officeDocument/2006/relationships/hyperlink" Target="https://maps.google.com/?cid=0x0:0xb16272f2a5e0e50" TargetMode="External"/><Relationship Id="rId582" Type="http://schemas.openxmlformats.org/officeDocument/2006/relationships/hyperlink" Target="https://maps.google.com/?cid=0x0:0x292fe06c68e25c7c" TargetMode="External"/><Relationship Id="rId460" Type="http://schemas.openxmlformats.org/officeDocument/2006/relationships/hyperlink" Target="https://www.facebook.com/rumahjaktim/posts/cluster-griya-salamun-cipayung-jakarta-timurrumah-di-jakarta-timur-harga-580-jut/1692888667633565/" TargetMode="External"/><Relationship Id="rId581" Type="http://schemas.openxmlformats.org/officeDocument/2006/relationships/hyperlink" Target="https://www.pinhome.id/dijual/rumah-sekunder/unit/dijual-rumah-rumah-griya-setu-di-griya-setu-cipayung" TargetMode="External"/><Relationship Id="rId580" Type="http://schemas.openxmlformats.org/officeDocument/2006/relationships/hyperlink" Target="https://maps.google.com/?cid=0x0:0xd80f8240ebb95fe7" TargetMode="External"/><Relationship Id="rId103" Type="http://schemas.openxmlformats.org/officeDocument/2006/relationships/hyperlink" Target="https://www.99.co/id/properti/cipayung-jakarta-timur-dijual-cepat-rumah-via-lelang-1008841361" TargetMode="External"/><Relationship Id="rId224" Type="http://schemas.openxmlformats.org/officeDocument/2006/relationships/hyperlink" Target="https://maps.google.com/?cid=0x0:0x2e2c77fc26c96bd0" TargetMode="External"/><Relationship Id="rId345" Type="http://schemas.openxmlformats.org/officeDocument/2006/relationships/hyperlink" Target="https://maps.google.com/?cid=0x0:0x757c0c8cd1097eda" TargetMode="External"/><Relationship Id="rId466" Type="http://schemas.openxmlformats.org/officeDocument/2006/relationships/hyperlink" Target="https://maps.google.com/?cid=0x0:0x9aba1c750454fae2" TargetMode="External"/><Relationship Id="rId587" Type="http://schemas.openxmlformats.org/officeDocument/2006/relationships/hyperlink" Target="https://maps.google.com/?cid=0x0:0x1700e7b2ad2ab5a2" TargetMode="External"/><Relationship Id="rId102" Type="http://schemas.openxmlformats.org/officeDocument/2006/relationships/hyperlink" Target="https://maps.google.com/?cid=0x0:0x2a10caa439418113" TargetMode="External"/><Relationship Id="rId223" Type="http://schemas.openxmlformats.org/officeDocument/2006/relationships/hyperlink" Target="https://www.lamudi.co.id/jual/jakarta/jakarta-timur/jatinegara-paradise-cluster-baru-di-cipinang-muara-170502511892/" TargetMode="External"/><Relationship Id="rId344" Type="http://schemas.openxmlformats.org/officeDocument/2006/relationships/hyperlink" Target="https://kamilaresidence.blogspot.com/" TargetMode="External"/><Relationship Id="rId465" Type="http://schemas.openxmlformats.org/officeDocument/2006/relationships/hyperlink" Target="https://www.dotproperty.id/komersial-dijual-dengan-di-cipayung-jakarta_7905097" TargetMode="External"/><Relationship Id="rId586" Type="http://schemas.openxmlformats.org/officeDocument/2006/relationships/hyperlink" Target="https://maps.google.com/?cid=0x0:0x423f41cae54ab9cf" TargetMode="External"/><Relationship Id="rId101" Type="http://schemas.openxmlformats.org/officeDocument/2006/relationships/hyperlink" Target="https://maps.google.com/?cid=0x0:0xd05835eb4b48ad97" TargetMode="External"/><Relationship Id="rId222" Type="http://schemas.openxmlformats.org/officeDocument/2006/relationships/hyperlink" Target="https://maps.google.com/?cid=0x0:0xab14551d6833fb09" TargetMode="External"/><Relationship Id="rId343" Type="http://schemas.openxmlformats.org/officeDocument/2006/relationships/hyperlink" Target="https://maps.google.com/?cid=0x0:0x3289ff29fe6b0cfb" TargetMode="External"/><Relationship Id="rId464" Type="http://schemas.openxmlformats.org/officeDocument/2006/relationships/hyperlink" Target="https://maps.google.com/?cid=0x0:0xf8b61c1c991ae048" TargetMode="External"/><Relationship Id="rId585" Type="http://schemas.openxmlformats.org/officeDocument/2006/relationships/hyperlink" Target="https://www.dekoruma.com/properti/dijual-jakarta-timur-perumahan-grand-maritza-siap-huni-modern-oleh-sarah-Yf5Gb7nbeJ?srsltid=AfmBOopHU7RWjYyBlx4rWsflNm5lc8qdQS9cQcQaVxtBf-s1bkZSrk5R" TargetMode="External"/><Relationship Id="rId100" Type="http://schemas.openxmlformats.org/officeDocument/2006/relationships/hyperlink" Target="https://maps.google.com/?cid=0x0:0x736e13e139e8a314" TargetMode="External"/><Relationship Id="rId221" Type="http://schemas.openxmlformats.org/officeDocument/2006/relationships/hyperlink" Target="https://www.olx.co.id/item/dijual-rumah-baru-di-cipinang-muara-jakarta-timur-iid-917601245" TargetMode="External"/><Relationship Id="rId342" Type="http://schemas.openxmlformats.org/officeDocument/2006/relationships/hyperlink" Target="https://www.lamudi.co.id/jual/jakarta/jakarta-timur/dapatkan-rumah-ready-stock-di-cibubur-jakarta-timu-170172892820/" TargetMode="External"/><Relationship Id="rId463" Type="http://schemas.openxmlformats.org/officeDocument/2006/relationships/hyperlink" Target="https://www.pinhome.id/dijual/rumah-sekunder/unit/dijual-rumah-rumah-griya-setu-di-griya-setu-cipayung" TargetMode="External"/><Relationship Id="rId584" Type="http://schemas.openxmlformats.org/officeDocument/2006/relationships/hyperlink" Target="https://maps.google.com/?cid=0x0:0x9473532f24f08367" TargetMode="External"/><Relationship Id="rId217" Type="http://schemas.openxmlformats.org/officeDocument/2006/relationships/hyperlink" Target="https://maps.google.com/?cid=0x0:0x7a0d2f2b6ee752f9" TargetMode="External"/><Relationship Id="rId338" Type="http://schemas.openxmlformats.org/officeDocument/2006/relationships/hyperlink" Target="https://rumah.trovit.co.id/listing/rumah-dijual-murah-bambu-apus-jakarta-timur.deda93bb-7495-4ea1-89d9-d60cbaa1c726" TargetMode="External"/><Relationship Id="rId459" Type="http://schemas.openxmlformats.org/officeDocument/2006/relationships/hyperlink" Target="https://maps.google.com/?cid=0x0:0x9e57fad4f5d639b7" TargetMode="External"/><Relationship Id="rId216" Type="http://schemas.openxmlformats.org/officeDocument/2006/relationships/hyperlink" Target="https://rumah.trovit.co.id/listing/town-house-3-lantai-di-lokasi-cantik-di-matraman-jakarta-timur.b225b85c-c1d3-47da-8610-f29b25f62131" TargetMode="External"/><Relationship Id="rId337" Type="http://schemas.openxmlformats.org/officeDocument/2006/relationships/hyperlink" Target="https://maps.google.com/?cid=0x0:0x6893d7742f24556b" TargetMode="External"/><Relationship Id="rId458" Type="http://schemas.openxmlformats.org/officeDocument/2006/relationships/hyperlink" Target="https://www.olx.co.id/item/dijual-rumah-2lt-di-perumahan-jatinegara-baru-penggilingan-jak-tim-iid-930767608" TargetMode="External"/><Relationship Id="rId579" Type="http://schemas.openxmlformats.org/officeDocument/2006/relationships/hyperlink" Target="https://maps.google.com/?cid=0x0:0xbc6ada14dbc36bf0" TargetMode="External"/><Relationship Id="rId215" Type="http://schemas.openxmlformats.org/officeDocument/2006/relationships/hyperlink" Target="https://maps.google.com/?cid=0x0:0xd5246db45a92e614" TargetMode="External"/><Relationship Id="rId336" Type="http://schemas.openxmlformats.org/officeDocument/2006/relationships/hyperlink" Target="https://maps.google.com/?cid=0x0:0xe5191300c82affd7" TargetMode="External"/><Relationship Id="rId457" Type="http://schemas.openxmlformats.org/officeDocument/2006/relationships/hyperlink" Target="https://maps.google.com/?cid=0x0:0x2c1bf4fec9e7ce81" TargetMode="External"/><Relationship Id="rId578" Type="http://schemas.openxmlformats.org/officeDocument/2006/relationships/hyperlink" Target="https://maps.google.com/?cid=0x0:0x13c5f3ca5f3b8dee" TargetMode="External"/><Relationship Id="rId214" Type="http://schemas.openxmlformats.org/officeDocument/2006/relationships/hyperlink" Target="https://www.dekoruma.com/properti/dijual-duren-sawit-jakarta-timur-rumah-2-lantai-modern-oleh-pringgondani-qRbEm9O5vG?srsltid=AfmBOoooyGDnEGWeJeb7OoOK4wWQ-sNp_y9VX1EFKRlXPej5E2iBzk0r" TargetMode="External"/><Relationship Id="rId335" Type="http://schemas.openxmlformats.org/officeDocument/2006/relationships/hyperlink" Target="https://www.huni.id/unit/rumah/dijual/astina-residence-bambu-apus-jakarta-timur-jakarta-timur/601ae70602333939bebdae93" TargetMode="External"/><Relationship Id="rId456" Type="http://schemas.openxmlformats.org/officeDocument/2006/relationships/hyperlink" Target="https://rumah.trovit.co.id/listing/rumah-di-aneka-elok-penggilingan-jakarta-timur.3aed7790-2858-1f5a-bc59-85c22f329164" TargetMode="External"/><Relationship Id="rId577" Type="http://schemas.openxmlformats.org/officeDocument/2006/relationships/hyperlink" Target="https://maps.google.com/?cid=0x0:0xcb4c44a4d44b34d7" TargetMode="External"/><Relationship Id="rId219" Type="http://schemas.openxmlformats.org/officeDocument/2006/relationships/hyperlink" Target="https://maps.google.com/?cid=0x0:0x4b49401565129679" TargetMode="External"/><Relationship Id="rId218" Type="http://schemas.openxmlformats.org/officeDocument/2006/relationships/hyperlink" Target="https://rumah.trovit.co.id/listing/rumah-cantik-siap-huni-di-bukit-duri-permai-jakarta-timur.1H1a1r1k1u1h1Si" TargetMode="External"/><Relationship Id="rId339" Type="http://schemas.openxmlformats.org/officeDocument/2006/relationships/hyperlink" Target="https://maps.google.com/?cid=0x0:0xb49ff94caf6cee29" TargetMode="External"/><Relationship Id="rId330" Type="http://schemas.openxmlformats.org/officeDocument/2006/relationships/hyperlink" Target="https://maps.google.com/?cid=0x0:0xca63d0e0a153580e" TargetMode="External"/><Relationship Id="rId451" Type="http://schemas.openxmlformats.org/officeDocument/2006/relationships/hyperlink" Target="https://maps.google.com/?cid=0x0:0x82da3b601dcbe2f9" TargetMode="External"/><Relationship Id="rId572" Type="http://schemas.openxmlformats.org/officeDocument/2006/relationships/hyperlink" Target="https://maps.google.com/?cid=0x0:0x216b96263f9bf055" TargetMode="External"/><Relationship Id="rId450" Type="http://schemas.openxmlformats.org/officeDocument/2006/relationships/hyperlink" Target="https://www.brighton.co.id/cari-properti/view/perumahan-view-green-marapu-jalan-damai-ii" TargetMode="External"/><Relationship Id="rId571" Type="http://schemas.openxmlformats.org/officeDocument/2006/relationships/hyperlink" Target="https://pashouses.id/rumah/residence-8" TargetMode="External"/><Relationship Id="rId570" Type="http://schemas.openxmlformats.org/officeDocument/2006/relationships/hyperlink" Target="https://maps.google.com/?cid=0x0:0x5af59d66752090e6" TargetMode="External"/><Relationship Id="rId213" Type="http://schemas.openxmlformats.org/officeDocument/2006/relationships/hyperlink" Target="https://maps.google.com/?cid=0x0:0xcceda4fff7a02c3b" TargetMode="External"/><Relationship Id="rId334" Type="http://schemas.openxmlformats.org/officeDocument/2006/relationships/hyperlink" Target="https://maps.google.com/?cid=0x0:0x3fbba0794b08f681" TargetMode="External"/><Relationship Id="rId455" Type="http://schemas.openxmlformats.org/officeDocument/2006/relationships/hyperlink" Target="https://maps.google.com/?cid=0x0:0xce91e3d2e1ca9242" TargetMode="External"/><Relationship Id="rId576" Type="http://schemas.openxmlformats.org/officeDocument/2006/relationships/hyperlink" Target="https://abapropertindo.com/property/perumahan-jakarta-timur-kramat-3-lubang-buaya/" TargetMode="External"/><Relationship Id="rId212" Type="http://schemas.openxmlformats.org/officeDocument/2006/relationships/hyperlink" Target="https://www.olx.co.id/item/luas-180m2-rumah-megah-di-taman-malaka-pondok-kelapa-iid-930338069" TargetMode="External"/><Relationship Id="rId333" Type="http://schemas.openxmlformats.org/officeDocument/2006/relationships/hyperlink" Target="https://pashouses.id/rumah/madakara-residence-jakarta" TargetMode="External"/><Relationship Id="rId454" Type="http://schemas.openxmlformats.org/officeDocument/2006/relationships/hyperlink" Target="https://maps.google.com/?cid=0x0:0xfd396bec6d47a45c" TargetMode="External"/><Relationship Id="rId575" Type="http://schemas.openxmlformats.org/officeDocument/2006/relationships/hyperlink" Target="https://maps.google.com/?cid=0x0:0x7b991728708e6e30" TargetMode="External"/><Relationship Id="rId211" Type="http://schemas.openxmlformats.org/officeDocument/2006/relationships/hyperlink" Target="https://maps.google.com/?cid=0x0:0xb4e36af7fab5f771" TargetMode="External"/><Relationship Id="rId332" Type="http://schemas.openxmlformats.org/officeDocument/2006/relationships/hyperlink" Target="https://maps.google.com/?cid=0x0:0x2e60fd521d2eccb4" TargetMode="External"/><Relationship Id="rId453" Type="http://schemas.openxmlformats.org/officeDocument/2006/relationships/hyperlink" Target="https://maps.google.com/?cid=0x0:0xa65278672b3a406" TargetMode="External"/><Relationship Id="rId574" Type="http://schemas.openxmlformats.org/officeDocument/2006/relationships/hyperlink" Target="https://maps.google.com/?cid=0x0:0x45280dec250fa534" TargetMode="External"/><Relationship Id="rId210" Type="http://schemas.openxmlformats.org/officeDocument/2006/relationships/hyperlink" Target="https://maps.google.com/?cid=0x0:0x5602975382926856" TargetMode="External"/><Relationship Id="rId331" Type="http://schemas.openxmlformats.org/officeDocument/2006/relationships/hyperlink" Target="https://www.dekoruma.com/properti/perumahan-puspa-pesona-jakarta-timur?srsltid=AfmBOoprd7tZCsas2VbZKb7LwNqo41GVtBzFJc9zbT6kVc4fq7h8Kmy1" TargetMode="External"/><Relationship Id="rId452" Type="http://schemas.openxmlformats.org/officeDocument/2006/relationships/hyperlink" Target="https://maps.google.com/?cid=0x0:0x112c7e77438dfc0f" TargetMode="External"/><Relationship Id="rId573" Type="http://schemas.openxmlformats.org/officeDocument/2006/relationships/hyperlink" Target="https://www.rumah123.com/venue/tamini-residence-vcm24464/" TargetMode="External"/><Relationship Id="rId370" Type="http://schemas.openxmlformats.org/officeDocument/2006/relationships/hyperlink" Target="https://maps.google.com/?cid=0x0:0x7248e128e16a2171" TargetMode="External"/><Relationship Id="rId491" Type="http://schemas.openxmlformats.org/officeDocument/2006/relationships/hyperlink" Target="https://maps.google.com/?cid=0x0:0x2ddc9fdec6d4eae0" TargetMode="External"/><Relationship Id="rId490" Type="http://schemas.openxmlformats.org/officeDocument/2006/relationships/hyperlink" Target="https://www.rumah123.com/properti/jakarta-timur/hos18475463/" TargetMode="External"/><Relationship Id="rId129" Type="http://schemas.openxmlformats.org/officeDocument/2006/relationships/hyperlink" Target="https://www.facebook.com/permalink.php/?story_fbid=3431756263612302&amp;id=2224876200966987" TargetMode="External"/><Relationship Id="rId128" Type="http://schemas.openxmlformats.org/officeDocument/2006/relationships/hyperlink" Target="https://maps.google.com/?cid=0x0:0xc3a4e57d4128398" TargetMode="External"/><Relationship Id="rId249" Type="http://schemas.openxmlformats.org/officeDocument/2006/relationships/hyperlink" Target="https://maps.google.com/?cid=0x0:0xc410d2e0f6ee754e" TargetMode="External"/><Relationship Id="rId127" Type="http://schemas.openxmlformats.org/officeDocument/2006/relationships/hyperlink" Target="https://www.rumah123.com/venue/the-green-cipayung-regency-vcm19414/" TargetMode="External"/><Relationship Id="rId248" Type="http://schemas.openxmlformats.org/officeDocument/2006/relationships/hyperlink" Target="https://maps.google.com/?cid=0x0:0xa713da097355f81b" TargetMode="External"/><Relationship Id="rId369" Type="http://schemas.openxmlformats.org/officeDocument/2006/relationships/hyperlink" Target="https://www.rumah123.com/venue/taman-jatinegara-vcm15261/" TargetMode="External"/><Relationship Id="rId126" Type="http://schemas.openxmlformats.org/officeDocument/2006/relationships/hyperlink" Target="https://maps.google.com/?cid=0x0:0x6c8ef410b12e3cbe" TargetMode="External"/><Relationship Id="rId247" Type="http://schemas.openxmlformats.org/officeDocument/2006/relationships/hyperlink" Target="https://maps.google.com/?cid=0x0:0x23e10bb44fdc7af1" TargetMode="External"/><Relationship Id="rId368" Type="http://schemas.openxmlformats.org/officeDocument/2006/relationships/hyperlink" Target="https://maps.google.com/?cid=0x0:0x58e57b3522e68510" TargetMode="External"/><Relationship Id="rId489" Type="http://schemas.openxmlformats.org/officeDocument/2006/relationships/hyperlink" Target="https://maps.google.com/?cid=0x0:0x90d4d096fa5632a5" TargetMode="External"/><Relationship Id="rId121" Type="http://schemas.openxmlformats.org/officeDocument/2006/relationships/hyperlink" Target="https://kumpulproperti.com/id/34595/dijual-atau-disewakan-rumah-mewah-di-8-grand-residence-cilangkap-jakarta-timur" TargetMode="External"/><Relationship Id="rId242" Type="http://schemas.openxmlformats.org/officeDocument/2006/relationships/hyperlink" Target="https://www.rumah123.com/properti/jakarta-timur/hos17846752/" TargetMode="External"/><Relationship Id="rId363" Type="http://schemas.openxmlformats.org/officeDocument/2006/relationships/hyperlink" Target="https://maps.google.com/?cid=0x0:0x4e23f9b211b0bce7" TargetMode="External"/><Relationship Id="rId484" Type="http://schemas.openxmlformats.org/officeDocument/2006/relationships/hyperlink" Target="https://www.99.co/id/properti/ir-21021-dijual-rumah-tinggal-di-komp-ptb-duren-sawit-1008705063" TargetMode="External"/><Relationship Id="rId120" Type="http://schemas.openxmlformats.org/officeDocument/2006/relationships/hyperlink" Target="https://maps.google.com/?cid=0x0:0x274f1683e8676f7f" TargetMode="External"/><Relationship Id="rId241" Type="http://schemas.openxmlformats.org/officeDocument/2006/relationships/hyperlink" Target="https://maps.google.com/?cid=0x0:0x4cd677931659a8c5" TargetMode="External"/><Relationship Id="rId362" Type="http://schemas.openxmlformats.org/officeDocument/2006/relationships/hyperlink" Target="https://www.lamudi.co.id/jual/jakarta/jakarta-timur/di-jual-rumah-dalam-perumahan-permata-timur-1-jaka-173535430911/" TargetMode="External"/><Relationship Id="rId483" Type="http://schemas.openxmlformats.org/officeDocument/2006/relationships/hyperlink" Target="https://maps.google.com/?cid=0x0:0x3bbc7aaed6b8832" TargetMode="External"/><Relationship Id="rId240" Type="http://schemas.openxmlformats.org/officeDocument/2006/relationships/hyperlink" Target="https://www.rumah123.com/venue/pinewood-residence-vcm28943/" TargetMode="External"/><Relationship Id="rId361" Type="http://schemas.openxmlformats.org/officeDocument/2006/relationships/hyperlink" Target="https://maps.google.com/?cid=0x0:0x6aee6aa22e303b23" TargetMode="External"/><Relationship Id="rId482" Type="http://schemas.openxmlformats.org/officeDocument/2006/relationships/hyperlink" Target="https://pashouses.id/rumah/perumahan-griya-rambutan-cluster" TargetMode="External"/><Relationship Id="rId360" Type="http://schemas.openxmlformats.org/officeDocument/2006/relationships/hyperlink" Target="https://www.rumah123.com/properti/jakarta-timur/hos18993073/" TargetMode="External"/><Relationship Id="rId481" Type="http://schemas.openxmlformats.org/officeDocument/2006/relationships/hyperlink" Target="https://maps.google.com/?cid=0x0:0x1c7cb5ad2255f74c" TargetMode="External"/><Relationship Id="rId125" Type="http://schemas.openxmlformats.org/officeDocument/2006/relationships/hyperlink" Target="https://www.pinhome.id/dijual/rumah-sekunder/unit/dijual-rumah-di-nino-residence" TargetMode="External"/><Relationship Id="rId246" Type="http://schemas.openxmlformats.org/officeDocument/2006/relationships/hyperlink" Target="https://maps.google.com/?cid=0x0:0xf677b4c6a4dfd052" TargetMode="External"/><Relationship Id="rId367" Type="http://schemas.openxmlformats.org/officeDocument/2006/relationships/hyperlink" Target="https://rumah.trovit.co.id/listing/rumah-bagus-di-malaka-country-estate-jakarta-timur.1pl1BJ1_h15-" TargetMode="External"/><Relationship Id="rId488" Type="http://schemas.openxmlformats.org/officeDocument/2006/relationships/hyperlink" Target="https://maps.google.com/?cid=0x0:0x4fb3f35c863ebd2f" TargetMode="External"/><Relationship Id="rId124" Type="http://schemas.openxmlformats.org/officeDocument/2006/relationships/hyperlink" Target="https://maps.google.com/?cid=0x0:0x92e4f58ac3334f5" TargetMode="External"/><Relationship Id="rId245" Type="http://schemas.openxmlformats.org/officeDocument/2006/relationships/hyperlink" Target="https://emeraldavenue.raywhite.co.id/properti/334941/dijual-rumah-bagus-di-perum-griya-alam-asri-jl-batu-sari-kramat-jati" TargetMode="External"/><Relationship Id="rId366" Type="http://schemas.openxmlformats.org/officeDocument/2006/relationships/hyperlink" Target="https://maps.google.com/?cid=0x0:0xe99becc1573483a6" TargetMode="External"/><Relationship Id="rId487" Type="http://schemas.openxmlformats.org/officeDocument/2006/relationships/hyperlink" Target="https://maps.google.com/?cid=0x0:0x6820da5558cc49e8" TargetMode="External"/><Relationship Id="rId123" Type="http://schemas.openxmlformats.org/officeDocument/2006/relationships/hyperlink" Target="https://www.rumah123.com/venue/cilangkap-indah-vcm25065/" TargetMode="External"/><Relationship Id="rId244" Type="http://schemas.openxmlformats.org/officeDocument/2006/relationships/hyperlink" Target="https://maps.google.com/?cid=0x0:0xc6284a4b42dc6e77" TargetMode="External"/><Relationship Id="rId365" Type="http://schemas.openxmlformats.org/officeDocument/2006/relationships/hyperlink" Target="https://rumah.trovit.co.id/listing/rumah-strategis-di-perumahan-bumi-malaka-asri-duren-sawit-jakarta-timur.V1N1aH1xa1Ob" TargetMode="External"/><Relationship Id="rId486" Type="http://schemas.openxmlformats.org/officeDocument/2006/relationships/hyperlink" Target="https://maps.google.com/?cid=0x0:0xfd793cd93715bb54" TargetMode="External"/><Relationship Id="rId122" Type="http://schemas.openxmlformats.org/officeDocument/2006/relationships/hyperlink" Target="https://maps.google.com/?cid=0x0:0x474100efb70f3af" TargetMode="External"/><Relationship Id="rId243" Type="http://schemas.openxmlformats.org/officeDocument/2006/relationships/hyperlink" Target="https://maps.google.com/?cid=0x0:0xc7486e41e1721e1e" TargetMode="External"/><Relationship Id="rId364" Type="http://schemas.openxmlformats.org/officeDocument/2006/relationships/hyperlink" Target="https://maps.google.com/?cid=0x0:0xbf5542a6f3e2b191" TargetMode="External"/><Relationship Id="rId485" Type="http://schemas.openxmlformats.org/officeDocument/2006/relationships/hyperlink" Target="https://maps.google.com/?cid=0x0:0x6e3209fcaf58a94f" TargetMode="External"/><Relationship Id="rId95" Type="http://schemas.openxmlformats.org/officeDocument/2006/relationships/hyperlink" Target="https://www.lamudi.co.id/jual/jakarta/jakarta-timur/jual-rumah-cipayung-173625181779/" TargetMode="External"/><Relationship Id="rId94" Type="http://schemas.openxmlformats.org/officeDocument/2006/relationships/hyperlink" Target="https://maps.google.com/?cid=0x0:0xd09d01533e3ac8e" TargetMode="External"/><Relationship Id="rId97" Type="http://schemas.openxmlformats.org/officeDocument/2006/relationships/hyperlink" Target="https://www.rumah123.com/venue/the-royal-east-vcm14996/" TargetMode="External"/><Relationship Id="rId96" Type="http://schemas.openxmlformats.org/officeDocument/2006/relationships/hyperlink" Target="https://maps.google.com/?cid=0x0:0x7148d287951d6ee8" TargetMode="External"/><Relationship Id="rId99" Type="http://schemas.openxmlformats.org/officeDocument/2006/relationships/hyperlink" Target="https://rumah.trovit.co.id/listing/rumah-mewah-ada-pool-amp-taman-siap-huni-di-komplek-bina-marga-cipayung.c33eb5ee-d644-4282-b268-80e9dbf4267b" TargetMode="External"/><Relationship Id="rId480" Type="http://schemas.openxmlformats.org/officeDocument/2006/relationships/hyperlink" Target="https://www.dotproperty.id/rumah-dijual-dengan-3-kamar-tidur-di-ciracas-jakarta_6067207" TargetMode="External"/><Relationship Id="rId98" Type="http://schemas.openxmlformats.org/officeDocument/2006/relationships/hyperlink" Target="https://maps.google.com/?cid=0x0:0x49c852bcb48b4af0" TargetMode="External"/><Relationship Id="rId91" Type="http://schemas.openxmlformats.org/officeDocument/2006/relationships/hyperlink" Target="https://www.rumah123.com/venue/cilangkap-indah-vcm25065/" TargetMode="External"/><Relationship Id="rId90" Type="http://schemas.openxmlformats.org/officeDocument/2006/relationships/hyperlink" Target="https://maps.google.com/?cid=0x0:0x52de16a4cec2cbe7" TargetMode="External"/><Relationship Id="rId93" Type="http://schemas.openxmlformats.org/officeDocument/2006/relationships/hyperlink" Target="https://www.dekoruma.com/properti/perumahan-panca-residence-jakarta-timur?srsltid=AfmBOooZPNx_UlkANkrCVoRdZX9gyeuS3BeSHdfjbzzjgvKuDCciwRJG" TargetMode="External"/><Relationship Id="rId92" Type="http://schemas.openxmlformats.org/officeDocument/2006/relationships/hyperlink" Target="https://maps.google.com/?cid=0x0:0x9af184f91eddc093" TargetMode="External"/><Relationship Id="rId118" Type="http://schemas.openxmlformats.org/officeDocument/2006/relationships/hyperlink" Target="https://maps.google.com/?cid=0x0:0xf9a4ed63a1455a0d" TargetMode="External"/><Relationship Id="rId239" Type="http://schemas.openxmlformats.org/officeDocument/2006/relationships/hyperlink" Target="https://maps.google.com/?cid=0x0:0x9dbe431da9ffce43" TargetMode="External"/><Relationship Id="rId117" Type="http://schemas.openxmlformats.org/officeDocument/2006/relationships/hyperlink" Target="https://www.brighton.co.id/cari-properti/view/perumahan-panorama-alam-jl-assyafiiyah-cilangkap-cipayung-jakarta-timur" TargetMode="External"/><Relationship Id="rId238" Type="http://schemas.openxmlformats.org/officeDocument/2006/relationships/hyperlink" Target="https://www.99.co/id/properti/1009040152" TargetMode="External"/><Relationship Id="rId359" Type="http://schemas.openxmlformats.org/officeDocument/2006/relationships/hyperlink" Target="https://maps.google.com/?cid=0x0:0x8a86c64338c1e0c7" TargetMode="External"/><Relationship Id="rId116" Type="http://schemas.openxmlformats.org/officeDocument/2006/relationships/hyperlink" Target="https://maps.google.com/?cid=0x0:0x3d9dbba4de99f18f" TargetMode="External"/><Relationship Id="rId237" Type="http://schemas.openxmlformats.org/officeDocument/2006/relationships/hyperlink" Target="https://maps.google.com/?cid=0x0:0xa039351d177b19ce" TargetMode="External"/><Relationship Id="rId358" Type="http://schemas.openxmlformats.org/officeDocument/2006/relationships/hyperlink" Target="https://maps.google.com/?cid=0x0:0x71eccf65fb1a0698" TargetMode="External"/><Relationship Id="rId479" Type="http://schemas.openxmlformats.org/officeDocument/2006/relationships/hyperlink" Target="https://maps.google.com/?cid=0x0:0xfe795de43f59a484" TargetMode="External"/><Relationship Id="rId115" Type="http://schemas.openxmlformats.org/officeDocument/2006/relationships/hyperlink" Target="https://maps.google.com/?cid=0x0:0xc542cffe039bf42d" TargetMode="External"/><Relationship Id="rId236" Type="http://schemas.openxmlformats.org/officeDocument/2006/relationships/hyperlink" Target="https://maps.google.com/?cid=0x0:0x5a4b4e8bc3ead38a" TargetMode="External"/><Relationship Id="rId357" Type="http://schemas.openxmlformats.org/officeDocument/2006/relationships/hyperlink" Target="https://maps.google.com/?cid=0x0:0x1909a98beefd235f" TargetMode="External"/><Relationship Id="rId478" Type="http://schemas.openxmlformats.org/officeDocument/2006/relationships/hyperlink" Target="https://pashouses.id/rumah-dijual/area/jakarta-timur/ciracas/ciracas" TargetMode="External"/><Relationship Id="rId599" Type="http://schemas.openxmlformats.org/officeDocument/2006/relationships/drawing" Target="../drawings/drawing3.xml"/><Relationship Id="rId119" Type="http://schemas.openxmlformats.org/officeDocument/2006/relationships/hyperlink" Target="https://www.dekoruma.com/properti/dijual-jatinegara-jakarta-timur-rumah-modern-oleh-angky-yY6BcrPcXI" TargetMode="External"/><Relationship Id="rId110" Type="http://schemas.openxmlformats.org/officeDocument/2006/relationships/hyperlink" Target="https://maps.google.com/?cid=0x0:0xf282b46c9c916735" TargetMode="External"/><Relationship Id="rId231" Type="http://schemas.openxmlformats.org/officeDocument/2006/relationships/hyperlink" Target="https://maps.google.com/?cid=0x0:0x1de8ea559ff7053e" TargetMode="External"/><Relationship Id="rId352" Type="http://schemas.openxmlformats.org/officeDocument/2006/relationships/hyperlink" Target="https://www.tribunjualbeli.com/dki-jakarta/2052416/jual-rumah-di-the-pavilion-jalan-suci-ciracas-jakarta-timur" TargetMode="External"/><Relationship Id="rId473" Type="http://schemas.openxmlformats.org/officeDocument/2006/relationships/hyperlink" Target="https://homesyariah.com/properti/perumahan-ciracas-riverside-jakarta-timur/" TargetMode="External"/><Relationship Id="rId594" Type="http://schemas.openxmlformats.org/officeDocument/2006/relationships/hyperlink" Target="https://maps.google.com/?cid=0x0:0x33cf05f7872de8cc" TargetMode="External"/><Relationship Id="rId230" Type="http://schemas.openxmlformats.org/officeDocument/2006/relationships/hyperlink" Target="https://www.brighton.co.id/cari-properti/view/komplek-pelita-air-service" TargetMode="External"/><Relationship Id="rId351" Type="http://schemas.openxmlformats.org/officeDocument/2006/relationships/hyperlink" Target="https://maps.google.com/?cid=0x0:0xca9ef833b3c0ff08" TargetMode="External"/><Relationship Id="rId472" Type="http://schemas.openxmlformats.org/officeDocument/2006/relationships/hyperlink" Target="https://maps.google.com/?cid=0x0:0xff58dc53d8c062b2" TargetMode="External"/><Relationship Id="rId593" Type="http://schemas.openxmlformats.org/officeDocument/2006/relationships/hyperlink" Target="https://pashouses.id/rumah/ajwa-residence" TargetMode="External"/><Relationship Id="rId350" Type="http://schemas.openxmlformats.org/officeDocument/2006/relationships/hyperlink" Target="https://www.rumah123.com/properti/jakarta-timur/hos4466736/" TargetMode="External"/><Relationship Id="rId471" Type="http://schemas.openxmlformats.org/officeDocument/2006/relationships/hyperlink" Target="https://muslimproperti.id/perumahan/jakarta-timur/cipayung/cluster-paramastri-6/" TargetMode="External"/><Relationship Id="rId592" Type="http://schemas.openxmlformats.org/officeDocument/2006/relationships/hyperlink" Target="https://maps.google.com/?cid=0x0:0xf4ab41fae2313606" TargetMode="External"/><Relationship Id="rId470" Type="http://schemas.openxmlformats.org/officeDocument/2006/relationships/hyperlink" Target="https://maps.google.com/?cid=0x0:0xe2470cbaafa92d2b" TargetMode="External"/><Relationship Id="rId591" Type="http://schemas.openxmlformats.org/officeDocument/2006/relationships/hyperlink" Target="https://maps.google.com/?cid=0x0:0xe5ae8d26d8cbcd48" TargetMode="External"/><Relationship Id="rId114" Type="http://schemas.openxmlformats.org/officeDocument/2006/relationships/hyperlink" Target="https://maps.google.com/?cid=0x0:0xd2a0dcc13e118ead" TargetMode="External"/><Relationship Id="rId235" Type="http://schemas.openxmlformats.org/officeDocument/2006/relationships/hyperlink" Target="https://maps.google.com/?cid=0x0:0xd9435480fbc4d8ff" TargetMode="External"/><Relationship Id="rId356" Type="http://schemas.openxmlformats.org/officeDocument/2006/relationships/hyperlink" Target="https://maps.google.com/?cid=0x0:0x3374d662486180fc" TargetMode="External"/><Relationship Id="rId477" Type="http://schemas.openxmlformats.org/officeDocument/2006/relationships/hyperlink" Target="https://maps.google.com/?cid=0x0:0x5b52f81c5747ee3f" TargetMode="External"/><Relationship Id="rId598" Type="http://schemas.openxmlformats.org/officeDocument/2006/relationships/hyperlink" Target="https://www.rumah123.com/venue/pasadenia-residence-vcm15441/" TargetMode="External"/><Relationship Id="rId113" Type="http://schemas.openxmlformats.org/officeDocument/2006/relationships/hyperlink" Target="https://rumah.trovit.co.id/listing/rumah-split-level-cilangkap-jaktim-baru-mewah-harga-murah-kota-jakarta-timur-arr131-jual-dijual.019363be-7b76-700e-916d-4ea406723f1e" TargetMode="External"/><Relationship Id="rId234" Type="http://schemas.openxmlformats.org/officeDocument/2006/relationships/hyperlink" Target="https://www.ayojualrumah.com/properti/al-banna-residence/25711" TargetMode="External"/><Relationship Id="rId355" Type="http://schemas.openxmlformats.org/officeDocument/2006/relationships/hyperlink" Target="https://maps.google.com/?cid=0x0:0xeef3ee2c65474d21" TargetMode="External"/><Relationship Id="rId476" Type="http://schemas.openxmlformats.org/officeDocument/2006/relationships/hyperlink" Target="https://pashouses.id/rumah/mohza-residence" TargetMode="External"/><Relationship Id="rId597" Type="http://schemas.openxmlformats.org/officeDocument/2006/relationships/hyperlink" Target="https://maps.google.com/?cid=0x0:0x2fab1e65d1645e5d" TargetMode="External"/><Relationship Id="rId112" Type="http://schemas.openxmlformats.org/officeDocument/2006/relationships/hyperlink" Target="https://maps.google.com/?cid=0x0:0xdecc9e88b40ae519" TargetMode="External"/><Relationship Id="rId233" Type="http://schemas.openxmlformats.org/officeDocument/2006/relationships/hyperlink" Target="https://maps.google.com/?cid=0x0:0x876fbb00444b728e" TargetMode="External"/><Relationship Id="rId354" Type="http://schemas.openxmlformats.org/officeDocument/2006/relationships/hyperlink" Target="https://www.99.co/id/properti/rumah-dijual-9900jt-ciracas-1007038261" TargetMode="External"/><Relationship Id="rId475" Type="http://schemas.openxmlformats.org/officeDocument/2006/relationships/hyperlink" Target="https://maps.google.com/?cid=0x0:0x26252f496ee13d05" TargetMode="External"/><Relationship Id="rId596" Type="http://schemas.openxmlformats.org/officeDocument/2006/relationships/hyperlink" Target="https://maps.google.com/?cid=0x0:0xe96bee1a6026e749" TargetMode="External"/><Relationship Id="rId111" Type="http://schemas.openxmlformats.org/officeDocument/2006/relationships/hyperlink" Target="https://www.pinhome.id/dijual/rumah-sekunder/unit/dijual-rumah-harga-terbaik-di-green-lake-cibubur" TargetMode="External"/><Relationship Id="rId232" Type="http://schemas.openxmlformats.org/officeDocument/2006/relationships/hyperlink" Target="https://id.carousell.com/p/rumah-fullfurnish-dalam-cluster-mahkota-residence-condet-jakarta-1161433522/" TargetMode="External"/><Relationship Id="rId353" Type="http://schemas.openxmlformats.org/officeDocument/2006/relationships/hyperlink" Target="https://maps.google.com/?cid=0x0:0x802902f04f58eff" TargetMode="External"/><Relationship Id="rId474" Type="http://schemas.openxmlformats.org/officeDocument/2006/relationships/hyperlink" Target="https://maps.google.com/?cid=0x0:0x3772bb3a7dead676" TargetMode="External"/><Relationship Id="rId595" Type="http://schemas.openxmlformats.org/officeDocument/2006/relationships/hyperlink" Target="https://maps.google.com/?cid=0x0:0x42f44d61a9dcc47d" TargetMode="External"/><Relationship Id="rId305" Type="http://schemas.openxmlformats.org/officeDocument/2006/relationships/hyperlink" Target="https://www.99.co/id/properti/rumah-dijual-4mily-cakung-1007213610" TargetMode="External"/><Relationship Id="rId426" Type="http://schemas.openxmlformats.org/officeDocument/2006/relationships/hyperlink" Target="https://maps.google.com/?cid=0x0:0x3a94bcd548240510" TargetMode="External"/><Relationship Id="rId547" Type="http://schemas.openxmlformats.org/officeDocument/2006/relationships/hyperlink" Target="https://www.dekoruma.com/properti/perumahan-wisteria-jakarta-timur?srsltid=AfmBOooVp_dY70eBwn0TnwWwhd-RbAowzWUL7QArOn4S-z-jnk-CNC_J" TargetMode="External"/><Relationship Id="rId304" Type="http://schemas.openxmlformats.org/officeDocument/2006/relationships/hyperlink" Target="https://maps.google.com/?cid=0x0:0x74f8301a3d775e85" TargetMode="External"/><Relationship Id="rId425" Type="http://schemas.openxmlformats.org/officeDocument/2006/relationships/hyperlink" Target="https://maps.google.com/?cid=0x0:0xed0ff6c1761b46d8" TargetMode="External"/><Relationship Id="rId546" Type="http://schemas.openxmlformats.org/officeDocument/2006/relationships/hyperlink" Target="https://maps.google.com/?cid=0x0:0xe0229f8580b7ddfa" TargetMode="External"/><Relationship Id="rId303" Type="http://schemas.openxmlformats.org/officeDocument/2006/relationships/hyperlink" Target="https://asiaone.co.id/properties/dijual-rumah-di-perumahan-puri-amala-cakung-jakarta-timur/" TargetMode="External"/><Relationship Id="rId424" Type="http://schemas.openxmlformats.org/officeDocument/2006/relationships/hyperlink" Target="https://www.99.co/id/komplek-perumahan/72846-green-t-residence/units" TargetMode="External"/><Relationship Id="rId545" Type="http://schemas.openxmlformats.org/officeDocument/2006/relationships/hyperlink" Target="https://pashouses.id/rumah/jalan-lembah-aren" TargetMode="External"/><Relationship Id="rId302" Type="http://schemas.openxmlformats.org/officeDocument/2006/relationships/hyperlink" Target="https://maps.google.com/?cid=0x0:0x7023eff7dd60683b" TargetMode="External"/><Relationship Id="rId423" Type="http://schemas.openxmlformats.org/officeDocument/2006/relationships/hyperlink" Target="https://maps.google.com/?cid=0x0:0x7cf4546e62768dec" TargetMode="External"/><Relationship Id="rId544" Type="http://schemas.openxmlformats.org/officeDocument/2006/relationships/hyperlink" Target="https://maps.google.com/?cid=0x0:0x652118f143390700" TargetMode="External"/><Relationship Id="rId309" Type="http://schemas.openxmlformats.org/officeDocument/2006/relationships/hyperlink" Target="https://maps.google.com/?cid=0x0:0x9ddb95ae03b9275e" TargetMode="External"/><Relationship Id="rId308" Type="http://schemas.openxmlformats.org/officeDocument/2006/relationships/hyperlink" Target="https://arebihome.com/dev/property/api021-229-875111092174247/" TargetMode="External"/><Relationship Id="rId429" Type="http://schemas.openxmlformats.org/officeDocument/2006/relationships/hyperlink" Target="https://maps.google.com/?cid=0x0:0xe621f3489548690d" TargetMode="External"/><Relationship Id="rId307" Type="http://schemas.openxmlformats.org/officeDocument/2006/relationships/hyperlink" Target="https://maps.google.com/?cid=0x0:0x57ea7395396863e1" TargetMode="External"/><Relationship Id="rId428" Type="http://schemas.openxmlformats.org/officeDocument/2006/relationships/hyperlink" Target="https://www.rumah123.com/venue/karya-sarana-vcm22898/" TargetMode="External"/><Relationship Id="rId549" Type="http://schemas.openxmlformats.org/officeDocument/2006/relationships/hyperlink" Target="https://www.iklanrumah.com/list/detail/18163/dijual-rumah-mewah-di-perumahan-gedong-prima-ceger" TargetMode="External"/><Relationship Id="rId306" Type="http://schemas.openxmlformats.org/officeDocument/2006/relationships/hyperlink" Target="https://maps.google.com/?cid=0x0:0x59ae3516ab2a1dd8" TargetMode="External"/><Relationship Id="rId427" Type="http://schemas.openxmlformats.org/officeDocument/2006/relationships/hyperlink" Target="https://maps.google.com/?cid=0x0:0xa9b31ef28c75ceb4" TargetMode="External"/><Relationship Id="rId548" Type="http://schemas.openxmlformats.org/officeDocument/2006/relationships/hyperlink" Target="https://maps.google.com/?cid=0x0:0x6e51fc064afdb8c" TargetMode="External"/><Relationship Id="rId301" Type="http://schemas.openxmlformats.org/officeDocument/2006/relationships/hyperlink" Target="https://www.rumah123.com/venue/mutiara-sanggraha-vcm23088/" TargetMode="External"/><Relationship Id="rId422" Type="http://schemas.openxmlformats.org/officeDocument/2006/relationships/hyperlink" Target="https://maps.google.com/?cid=0x0:0xdb0830ab09784372" TargetMode="External"/><Relationship Id="rId543" Type="http://schemas.openxmlformats.org/officeDocument/2006/relationships/hyperlink" Target="https://pashouses.id/rumah/cluster-bhineka-residence" TargetMode="External"/><Relationship Id="rId300" Type="http://schemas.openxmlformats.org/officeDocument/2006/relationships/hyperlink" Target="https://maps.google.com/?cid=0x0:0xeff2c3192ec7864d" TargetMode="External"/><Relationship Id="rId421" Type="http://schemas.openxmlformats.org/officeDocument/2006/relationships/hyperlink" Target="https://residences.co.id/mutiara-pondok-ranggon-rumah-dijual-cibubur-jakarta-timur/" TargetMode="External"/><Relationship Id="rId542" Type="http://schemas.openxmlformats.org/officeDocument/2006/relationships/hyperlink" Target="https://maps.google.com/?cid=0x0:0x8aba159900f480b6" TargetMode="External"/><Relationship Id="rId420" Type="http://schemas.openxmlformats.org/officeDocument/2006/relationships/hyperlink" Target="https://maps.google.com/?cid=0x0:0x6f8f3722240883d5" TargetMode="External"/><Relationship Id="rId541" Type="http://schemas.openxmlformats.org/officeDocument/2006/relationships/hyperlink" Target="https://pashouses.id/rumah/perumahan-villa-cibubur-mas-2" TargetMode="External"/><Relationship Id="rId540" Type="http://schemas.openxmlformats.org/officeDocument/2006/relationships/hyperlink" Target="https://maps.google.com/?cid=0x0:0x321f7374f6d33c52" TargetMode="External"/><Relationship Id="rId415" Type="http://schemas.openxmlformats.org/officeDocument/2006/relationships/hyperlink" Target="https://www.olx.co.id/item/dijual-rumah-tipar-pratama-residence-di-jakarta-timur-iid-931815126" TargetMode="External"/><Relationship Id="rId536" Type="http://schemas.openxmlformats.org/officeDocument/2006/relationships/hyperlink" Target="https://www.lamudi.co.id/jual/jakarta/jakarta-timur/di-jual-rumah-daerah-duren-sawit-jakarta-timur-kom-174118593187/" TargetMode="External"/><Relationship Id="rId414" Type="http://schemas.openxmlformats.org/officeDocument/2006/relationships/hyperlink" Target="https://maps.google.com/?cid=0x0:0xfce5d3353b565937" TargetMode="External"/><Relationship Id="rId535" Type="http://schemas.openxmlformats.org/officeDocument/2006/relationships/hyperlink" Target="https://maps.google.com/?cid=0x0:0x30f02426f58403d8" TargetMode="External"/><Relationship Id="rId413" Type="http://schemas.openxmlformats.org/officeDocument/2006/relationships/hyperlink" Target="https://maps.google.com/?cid=0x0:0x97c839f44e0eb9c0" TargetMode="External"/><Relationship Id="rId534" Type="http://schemas.openxmlformats.org/officeDocument/2006/relationships/hyperlink" Target="https://www.99.co/id/komplek-perumahan/732-pondok-kelapa-residence/units" TargetMode="External"/><Relationship Id="rId412" Type="http://schemas.openxmlformats.org/officeDocument/2006/relationships/hyperlink" Target="https://rumah.trovit.co.id/listing/rumah-taman-berdikari-sentosa-rawamangun-jakarta-timur.0195886d-ba5e-7770-a959-6e903a5d97ea" TargetMode="External"/><Relationship Id="rId533" Type="http://schemas.openxmlformats.org/officeDocument/2006/relationships/hyperlink" Target="https://maps.google.com/?cid=0x0:0xe7aae0a0da5ec185" TargetMode="External"/><Relationship Id="rId419" Type="http://schemas.openxmlformats.org/officeDocument/2006/relationships/hyperlink" Target="https://maps.google.com/?cid=0x0:0x6150ca7be6a0746d" TargetMode="External"/><Relationship Id="rId418" Type="http://schemas.openxmlformats.org/officeDocument/2006/relationships/hyperlink" Target="https://www.dekoruma.com/properti/dijual-makasar-jakarta-timur-rumah-2-lantai-kosong-oleh-user-olx-JaH9sEd7dl?srsltid=AfmBOoor4AIRabxw7bax7WxVTQdaUQ0vEYBbr3hS1c5WbRlyimXPDbB8" TargetMode="External"/><Relationship Id="rId539" Type="http://schemas.openxmlformats.org/officeDocument/2006/relationships/hyperlink" Target="https://maps.google.com/?cid=0x0:0x9dd5cc18b9b676b0" TargetMode="External"/><Relationship Id="rId417" Type="http://schemas.openxmlformats.org/officeDocument/2006/relationships/hyperlink" Target="https://maps.google.com/?cid=0x0:0x3daf093b07d38958" TargetMode="External"/><Relationship Id="rId538" Type="http://schemas.openxmlformats.org/officeDocument/2006/relationships/hyperlink" Target="https://www.dekoruma.com/properti/dijual-makasar-jakarta-timur-rumah-spesial-oleh-achmad-pzldS01pWD?srsltid=AfmBOopSqK6-vf_GpaARrEzm8jdFvkfi3-inMKVFVXkxFbs8Z6tBjtLG" TargetMode="External"/><Relationship Id="rId416" Type="http://schemas.openxmlformats.org/officeDocument/2006/relationships/hyperlink" Target="https://maps.google.com/?cid=0x0:0xe060cf62b4b26afa" TargetMode="External"/><Relationship Id="rId537" Type="http://schemas.openxmlformats.org/officeDocument/2006/relationships/hyperlink" Target="https://maps.google.com/?cid=0x0:0x86d93de51445d1cc" TargetMode="External"/><Relationship Id="rId411" Type="http://schemas.openxmlformats.org/officeDocument/2006/relationships/hyperlink" Target="https://maps.google.com/?cid=0x0:0x61d6ad16cd213e7d" TargetMode="External"/><Relationship Id="rId532" Type="http://schemas.openxmlformats.org/officeDocument/2006/relationships/hyperlink" Target="https://maps.google.com/?cid=0x0:0x3d88673d1f475035" TargetMode="External"/><Relationship Id="rId410" Type="http://schemas.openxmlformats.org/officeDocument/2006/relationships/hyperlink" Target="https://maps.google.com/?cid=0x0:0x2edc44be3fbb6cd2" TargetMode="External"/><Relationship Id="rId531" Type="http://schemas.openxmlformats.org/officeDocument/2006/relationships/hyperlink" Target="https://homesyariah.com/properti/towhouse-pondok-ranggon-cipayung-azzami-residence/" TargetMode="External"/><Relationship Id="rId530" Type="http://schemas.openxmlformats.org/officeDocument/2006/relationships/hyperlink" Target="https://maps.google.com/?cid=0x0:0x4ba5148dbcd6e979" TargetMode="External"/><Relationship Id="rId206" Type="http://schemas.openxmlformats.org/officeDocument/2006/relationships/hyperlink" Target="https://www.dekoruma.com/properti/perumahan-zukha-townhouse-jakarta-timur?srsltid=AfmBOorQqbd5erEKHdHFAvLJEMWlsY2xT18Z4I00nwfsm1yUGaUNv7pI" TargetMode="External"/><Relationship Id="rId327" Type="http://schemas.openxmlformats.org/officeDocument/2006/relationships/hyperlink" Target="https://maps.google.com/?cid=0x0:0x9a6dcf0d5d98edda" TargetMode="External"/><Relationship Id="rId448" Type="http://schemas.openxmlformats.org/officeDocument/2006/relationships/hyperlink" Target="https://maps.google.com/?cid=0x0:0x39f4535405084488" TargetMode="External"/><Relationship Id="rId569" Type="http://schemas.openxmlformats.org/officeDocument/2006/relationships/hyperlink" Target="https://www.99.co/id/komplek-perumahan/14534-d-east-residence/units" TargetMode="External"/><Relationship Id="rId205" Type="http://schemas.openxmlformats.org/officeDocument/2006/relationships/hyperlink" Target="https://maps.google.com/?cid=0x0:0x5b7c06fdcb918421" TargetMode="External"/><Relationship Id="rId326" Type="http://schemas.openxmlformats.org/officeDocument/2006/relationships/hyperlink" Target="https://www.olx.co.id/item/dijual-rumah-baru-2-lantai-di-malaka-cipayung-jakarta-timur-iid-932180759" TargetMode="External"/><Relationship Id="rId447" Type="http://schemas.openxmlformats.org/officeDocument/2006/relationships/hyperlink" Target="https://maps.google.com/?cid=0x0:0x73ca8c0e13ec8c7b" TargetMode="External"/><Relationship Id="rId568" Type="http://schemas.openxmlformats.org/officeDocument/2006/relationships/hyperlink" Target="https://maps.google.com/?cid=0x0:0x901752de5b0c43c5" TargetMode="External"/><Relationship Id="rId204" Type="http://schemas.openxmlformats.org/officeDocument/2006/relationships/hyperlink" Target="https://www.olx.co.id/item/rumah-bagus-bebas-banjir-dan-siap-dihuni-di-pondok-kelapa-iid-931755920" TargetMode="External"/><Relationship Id="rId325" Type="http://schemas.openxmlformats.org/officeDocument/2006/relationships/hyperlink" Target="https://maps.google.com/?cid=0x0:0xdea74202d71230c3" TargetMode="External"/><Relationship Id="rId446" Type="http://schemas.openxmlformats.org/officeDocument/2006/relationships/hyperlink" Target="https://maps.google.com/?cid=0x0:0xecaede583d68e186" TargetMode="External"/><Relationship Id="rId567" Type="http://schemas.openxmlformats.org/officeDocument/2006/relationships/hyperlink" Target="https://rumah.trovit.co.id/listing/rumah-taman-buaran-indah-jakarta-timur.0195385b-e380-7117-be95-2aeffed20227" TargetMode="External"/><Relationship Id="rId203" Type="http://schemas.openxmlformats.org/officeDocument/2006/relationships/hyperlink" Target="https://maps.google.com/?cid=0x0:0xa7a4bbfbe95af728" TargetMode="External"/><Relationship Id="rId324" Type="http://schemas.openxmlformats.org/officeDocument/2006/relationships/hyperlink" Target="https://maps.google.com/?cid=0x0:0x3ba13d2afac79b54" TargetMode="External"/><Relationship Id="rId445" Type="http://schemas.openxmlformats.org/officeDocument/2006/relationships/hyperlink" Target="https://maps.google.com/?cid=0x0:0x559d08347e723fb" TargetMode="External"/><Relationship Id="rId566" Type="http://schemas.openxmlformats.org/officeDocument/2006/relationships/hyperlink" Target="https://maps.google.com/?cid=0x0:0x3f53c83cd49ae15a" TargetMode="External"/><Relationship Id="rId209" Type="http://schemas.openxmlformats.org/officeDocument/2006/relationships/hyperlink" Target="https://www.dekoruma.com/properti/dijual-duren-sawit-jakarta-timur-rumah-2-lantai-dijual-oleh-revaldy-muhammad-EATcp8vxj6?srsltid=AfmBOorYxWC_ojdXBlg_9mQCEyf-tcVmFyDB1ZPXu9nKQBE1MrH-WiJi" TargetMode="External"/><Relationship Id="rId208" Type="http://schemas.openxmlformats.org/officeDocument/2006/relationships/hyperlink" Target="https://maps.google.com/?cid=0x0:0x47aa3b450c06da49" TargetMode="External"/><Relationship Id="rId329" Type="http://schemas.openxmlformats.org/officeDocument/2006/relationships/hyperlink" Target="https://maps.google.com/?cid=0x0:0x208075772de37f64" TargetMode="External"/><Relationship Id="rId207" Type="http://schemas.openxmlformats.org/officeDocument/2006/relationships/hyperlink" Target="https://maps.google.com/?cid=0x0:0xa79951462346b680" TargetMode="External"/><Relationship Id="rId328" Type="http://schemas.openxmlformats.org/officeDocument/2006/relationships/hyperlink" Target="https://maps.google.com/?cid=0x0:0x6281d913d8cff64b" TargetMode="External"/><Relationship Id="rId449" Type="http://schemas.openxmlformats.org/officeDocument/2006/relationships/hyperlink" Target="https://maps.google.com/?cid=0x0:0x6852294d0cef06a4" TargetMode="External"/><Relationship Id="rId440" Type="http://schemas.openxmlformats.org/officeDocument/2006/relationships/hyperlink" Target="https://maps.google.com/?cid=0x0:0xa9a918897ceb87" TargetMode="External"/><Relationship Id="rId561" Type="http://schemas.openxmlformats.org/officeDocument/2006/relationships/hyperlink" Target="https://maps.google.com/?cid=0x0:0x40a95b7967770685" TargetMode="External"/><Relationship Id="rId560" Type="http://schemas.openxmlformats.org/officeDocument/2006/relationships/hyperlink" Target="https://www.rumah123.com/perumahan-baru/properti/jakarta-timur/de-lucky-residence/nps3362/" TargetMode="External"/><Relationship Id="rId202" Type="http://schemas.openxmlformats.org/officeDocument/2006/relationships/hyperlink" Target="https://www.olx.co.id/item/s547b-rumah-baru-termurah-di-billymoon-pondok-kelapa-jakarta-timur-iid-932233833" TargetMode="External"/><Relationship Id="rId323" Type="http://schemas.openxmlformats.org/officeDocument/2006/relationships/hyperlink" Target="https://maps.google.com/?cid=0x0:0x6b079ff571ec59cf" TargetMode="External"/><Relationship Id="rId444" Type="http://schemas.openxmlformats.org/officeDocument/2006/relationships/hyperlink" Target="https://lautan-property.com/property/green-view-marapu-cipayung/" TargetMode="External"/><Relationship Id="rId565" Type="http://schemas.openxmlformats.org/officeDocument/2006/relationships/hyperlink" Target="https://rumah.trovit.co.id/listing/rumah-mewah-ada-pool-amp-taman-siap-huni-di-komplek-bina-marga-cipayung.c33eb5ee-d644-4282-b268-80e9dbf4267b" TargetMode="External"/><Relationship Id="rId201" Type="http://schemas.openxmlformats.org/officeDocument/2006/relationships/hyperlink" Target="https://maps.google.com/?cid=0x0:0x23b8e05b30167dba" TargetMode="External"/><Relationship Id="rId322" Type="http://schemas.openxmlformats.org/officeDocument/2006/relationships/hyperlink" Target="https://maps.google.com/?cid=0x0:0xd03bd2898de79e63" TargetMode="External"/><Relationship Id="rId443" Type="http://schemas.openxmlformats.org/officeDocument/2006/relationships/hyperlink" Target="https://maps.google.com/?cid=0x0:0x6ffef94cc3874548" TargetMode="External"/><Relationship Id="rId564" Type="http://schemas.openxmlformats.org/officeDocument/2006/relationships/hyperlink" Target="https://maps.google.com/?cid=0x0:0xd6b17ce0592a6103" TargetMode="External"/><Relationship Id="rId200" Type="http://schemas.openxmlformats.org/officeDocument/2006/relationships/hyperlink" Target="https://rumah.trovit.co.id/listing/palem-indah-pondok-kelapa-jakarta-timur.1i1-1j1ZV121a1_" TargetMode="External"/><Relationship Id="rId321" Type="http://schemas.openxmlformats.org/officeDocument/2006/relationships/hyperlink" Target="https://maps.google.com/?cid=0x0:0x3f476e6289e14bb" TargetMode="External"/><Relationship Id="rId442" Type="http://schemas.openxmlformats.org/officeDocument/2006/relationships/hyperlink" Target="https://maps.google.com/?cid=0x0:0x46d07728a0c84354" TargetMode="External"/><Relationship Id="rId563" Type="http://schemas.openxmlformats.org/officeDocument/2006/relationships/hyperlink" Target="https://maps.google.com/?cid=0x0:0x8e2eba9f017c7d89" TargetMode="External"/><Relationship Id="rId320" Type="http://schemas.openxmlformats.org/officeDocument/2006/relationships/hyperlink" Target="https://maps.google.com/?cid=0x0:0x3b257b397b25b5c3" TargetMode="External"/><Relationship Id="rId441" Type="http://schemas.openxmlformats.org/officeDocument/2006/relationships/hyperlink" Target="https://www.olx.co.id/item/rumah-dijual-taman-pulo-indah-penggilingan-cakung-jakarta-timur-iid-925592591" TargetMode="External"/><Relationship Id="rId562" Type="http://schemas.openxmlformats.org/officeDocument/2006/relationships/hyperlink" Target="https://maps.google.com/?cid=0x0:0x1b6fa8cfb821354d" TargetMode="External"/><Relationship Id="rId316" Type="http://schemas.openxmlformats.org/officeDocument/2006/relationships/hyperlink" Target="https://maps.google.com/?cid=0x0:0xd21e1d00dfd74e49" TargetMode="External"/><Relationship Id="rId437" Type="http://schemas.openxmlformats.org/officeDocument/2006/relationships/hyperlink" Target="https://maps.google.com/?cid=0x0:0x8d617287be5372cb" TargetMode="External"/><Relationship Id="rId558" Type="http://schemas.openxmlformats.org/officeDocument/2006/relationships/hyperlink" Target="https://in.pinterest.com/pin/umah-dijual-di-green-mutiara-munjul-jakarta-timur-in-2024--40462096652978092/" TargetMode="External"/><Relationship Id="rId315" Type="http://schemas.openxmlformats.org/officeDocument/2006/relationships/hyperlink" Target="https://maps.google.com/?cid=0x0:0xe9a95dbef0eef635" TargetMode="External"/><Relationship Id="rId436" Type="http://schemas.openxmlformats.org/officeDocument/2006/relationships/hyperlink" Target="https://maps.google.com/?cid=0x0:0x75b2eabe1738a4c2" TargetMode="External"/><Relationship Id="rId557" Type="http://schemas.openxmlformats.org/officeDocument/2006/relationships/hyperlink" Target="https://maps.google.com/?cid=0x0:0xc9c017451267af7d" TargetMode="External"/><Relationship Id="rId314" Type="http://schemas.openxmlformats.org/officeDocument/2006/relationships/hyperlink" Target="https://m.dekoruma.com/properti/dijual-jatinegara-jakarta-timur-rumah-minimalis-oleh-ade-InD56Uc22Y" TargetMode="External"/><Relationship Id="rId435" Type="http://schemas.openxmlformats.org/officeDocument/2006/relationships/hyperlink" Target="https://www.dekoruma.com/properti/dijual-duren-sawit-jakarta-timur-rumah-2-lantai-mewah-oleh-lien-lee-kEr3q4NOCk?srsltid=AfmBOoobVLHZTb035TMCRnN-16A2qXiNYzANzEXx2VGuUB-CjmnpE9FG" TargetMode="External"/><Relationship Id="rId556" Type="http://schemas.openxmlformats.org/officeDocument/2006/relationships/hyperlink" Target="https://www.99.co/id/komplek-perumahan/138868-ajwa-residence/units" TargetMode="External"/><Relationship Id="rId313" Type="http://schemas.openxmlformats.org/officeDocument/2006/relationships/hyperlink" Target="https://maps.google.com/?cid=0x0:0x4eff6d552edd0d3c" TargetMode="External"/><Relationship Id="rId434" Type="http://schemas.openxmlformats.org/officeDocument/2006/relationships/hyperlink" Target="https://maps.google.com/?cid=0x0:0xb6ff756ca0d9c5d9" TargetMode="External"/><Relationship Id="rId555" Type="http://schemas.openxmlformats.org/officeDocument/2006/relationships/hyperlink" Target="https://maps.google.com/?cid=0x0:0x17c9131d1fd258d" TargetMode="External"/><Relationship Id="rId319" Type="http://schemas.openxmlformats.org/officeDocument/2006/relationships/hyperlink" Target="https://www.pinhome.id/dijual/rumah-baru/green-baraka-townhouse" TargetMode="External"/><Relationship Id="rId318" Type="http://schemas.openxmlformats.org/officeDocument/2006/relationships/hyperlink" Target="https://maps.google.com/?cid=0x0:0x63191a77b3b4dfb0" TargetMode="External"/><Relationship Id="rId439" Type="http://schemas.openxmlformats.org/officeDocument/2006/relationships/hyperlink" Target="https://www.rumah123.com/properti/jakarta-timur/hos12549617/" TargetMode="External"/><Relationship Id="rId317" Type="http://schemas.openxmlformats.org/officeDocument/2006/relationships/hyperlink" Target="https://www.iklanrumah.com/list/detail/31218/cluster-the-8-residence-cipayung-jakarta-timur" TargetMode="External"/><Relationship Id="rId438" Type="http://schemas.openxmlformats.org/officeDocument/2006/relationships/hyperlink" Target="https://maps.google.com/?cid=0x0:0x103b7f954ab84a7f" TargetMode="External"/><Relationship Id="rId559" Type="http://schemas.openxmlformats.org/officeDocument/2006/relationships/hyperlink" Target="https://maps.google.com/?cid=0x0:0xe83a491be900a5b7" TargetMode="External"/><Relationship Id="rId550" Type="http://schemas.openxmlformats.org/officeDocument/2006/relationships/hyperlink" Target="https://maps.google.com/?cid=0x0:0x5ce566dfd158510a" TargetMode="External"/><Relationship Id="rId312" Type="http://schemas.openxmlformats.org/officeDocument/2006/relationships/hyperlink" Target="https://www.facebook.com/groups/529551647202561/posts/2916846418473060/" TargetMode="External"/><Relationship Id="rId433" Type="http://schemas.openxmlformats.org/officeDocument/2006/relationships/hyperlink" Target="https://property.birulangit.info/property/tb-simatupang-residence-town-house-syariah-di-jakarta-timur/" TargetMode="External"/><Relationship Id="rId554" Type="http://schemas.openxmlformats.org/officeDocument/2006/relationships/hyperlink" Target="https://maps.google.com/?cid=0x0:0x44e51168c68acb1" TargetMode="External"/><Relationship Id="rId311" Type="http://schemas.openxmlformats.org/officeDocument/2006/relationships/hyperlink" Target="https://maps.google.com/?cid=0x0:0xaa34c624016b2aca" TargetMode="External"/><Relationship Id="rId432" Type="http://schemas.openxmlformats.org/officeDocument/2006/relationships/hyperlink" Target="https://maps.google.com/?cid=0x0:0x5e308a5860ee3b69" TargetMode="External"/><Relationship Id="rId553" Type="http://schemas.openxmlformats.org/officeDocument/2006/relationships/hyperlink" Target="https://www.rumah123.com/venue/setu-indah-vcm26364/" TargetMode="External"/><Relationship Id="rId310" Type="http://schemas.openxmlformats.org/officeDocument/2006/relationships/hyperlink" Target="https://www.rumah123.com/perumahan-baru/properti/jakarta-timur/azalea-residence/nps1657/" TargetMode="External"/><Relationship Id="rId431" Type="http://schemas.openxmlformats.org/officeDocument/2006/relationships/hyperlink" Target="https://maps.google.com/?cid=0x0:0x8986450c9c7180fc" TargetMode="External"/><Relationship Id="rId552" Type="http://schemas.openxmlformats.org/officeDocument/2006/relationships/hyperlink" Target="https://maps.google.com/?cid=0x0:0xdeac24ba16f54c" TargetMode="External"/><Relationship Id="rId430" Type="http://schemas.openxmlformats.org/officeDocument/2006/relationships/hyperlink" Target="https://www.pinhome.id/dijual/rumah-sekunder/unit/dijual-rumah-bebas-banjir-di-cluster-nirmala-asri-kalisari-cijantung" TargetMode="External"/><Relationship Id="rId551" Type="http://schemas.openxmlformats.org/officeDocument/2006/relationships/hyperlink" Target="https://rumah.trovit.co.id/listing/lelang-rumah-di-perumahan-ceger-residence-cipayung-jakarta-timur.ea0b153b-8bab-48b5-901f-b4ddf60929ea" TargetMode="External"/></Relationships>
</file>

<file path=xl/worksheets/_rels/sheet4.xml.rels><?xml version="1.0" encoding="UTF-8" standalone="yes"?><Relationships xmlns="http://schemas.openxmlformats.org/package/2006/relationships"><Relationship Id="rId190" Type="http://schemas.openxmlformats.org/officeDocument/2006/relationships/hyperlink" Target="https://maps.google.com/?cid=0x0:0xfc1de3ca4d473606" TargetMode="External"/><Relationship Id="rId192" Type="http://schemas.openxmlformats.org/officeDocument/2006/relationships/drawing" Target="../drawings/drawing4.xml"/><Relationship Id="rId191" Type="http://schemas.openxmlformats.org/officeDocument/2006/relationships/hyperlink" Target="http://rumah123.com/" TargetMode="External"/><Relationship Id="rId187" Type="http://schemas.openxmlformats.org/officeDocument/2006/relationships/hyperlink" Target="https://maps.google.com/?cid=0x0:0x3803d22d6354d3de" TargetMode="External"/><Relationship Id="rId186" Type="http://schemas.openxmlformats.org/officeDocument/2006/relationships/hyperlink" Target="http://dekoruma.com/" TargetMode="External"/><Relationship Id="rId185" Type="http://schemas.openxmlformats.org/officeDocument/2006/relationships/hyperlink" Target="https://maps.google.com/?cid=0x0:0x43e1fbfcc212cb79" TargetMode="External"/><Relationship Id="rId184" Type="http://schemas.openxmlformats.org/officeDocument/2006/relationships/hyperlink" Target="https://maps.google.com/?cid=0x0:0x81bc9854865ee641" TargetMode="External"/><Relationship Id="rId189" Type="http://schemas.openxmlformats.org/officeDocument/2006/relationships/hyperlink" Target="http://99.co/" TargetMode="External"/><Relationship Id="rId188" Type="http://schemas.openxmlformats.org/officeDocument/2006/relationships/hyperlink" Target="https://maps.google.com/?cid=0x0:0xc8b5a4626a84435a" TargetMode="External"/><Relationship Id="rId183" Type="http://schemas.openxmlformats.org/officeDocument/2006/relationships/hyperlink" Target="http://dekoruma.com/" TargetMode="External"/><Relationship Id="rId182" Type="http://schemas.openxmlformats.org/officeDocument/2006/relationships/hyperlink" Target="https://maps.google.com/?cid=0x0:0xbf344dbb9316114d" TargetMode="External"/><Relationship Id="rId181" Type="http://schemas.openxmlformats.org/officeDocument/2006/relationships/hyperlink" Target="http://99.co/" TargetMode="External"/><Relationship Id="rId180" Type="http://schemas.openxmlformats.org/officeDocument/2006/relationships/hyperlink" Target="https://maps.google.com/?cid=0x0:0xbd863a241b5fe5df" TargetMode="External"/><Relationship Id="rId176" Type="http://schemas.openxmlformats.org/officeDocument/2006/relationships/hyperlink" Target="http://dekoruma.com/" TargetMode="External"/><Relationship Id="rId175" Type="http://schemas.openxmlformats.org/officeDocument/2006/relationships/hyperlink" Target="https://maps.google.com/?cid=0x0:0xefd030607b4de1bf" TargetMode="External"/><Relationship Id="rId174" Type="http://schemas.openxmlformats.org/officeDocument/2006/relationships/hyperlink" Target="https://maps.google.com/?cid=0x0:0xdca65e3cfff6cc0d" TargetMode="External"/><Relationship Id="rId173" Type="http://schemas.openxmlformats.org/officeDocument/2006/relationships/hyperlink" Target="https://maps.google.com/?cid=0x0:0x7585bb3fbe2c86f" TargetMode="External"/><Relationship Id="rId179" Type="http://schemas.openxmlformats.org/officeDocument/2006/relationships/hyperlink" Target="http://dekoruma.com/" TargetMode="External"/><Relationship Id="rId178" Type="http://schemas.openxmlformats.org/officeDocument/2006/relationships/hyperlink" Target="https://maps.google.com/?cid=0x0:0xc103df1c46628eef" TargetMode="External"/><Relationship Id="rId177" Type="http://schemas.openxmlformats.org/officeDocument/2006/relationships/hyperlink" Target="https://maps.google.com/?cid=0x0:0xdb001a7ea21431f1" TargetMode="External"/><Relationship Id="rId150" Type="http://schemas.openxmlformats.org/officeDocument/2006/relationships/hyperlink" Target="http://rumah123.com/" TargetMode="External"/><Relationship Id="rId1" Type="http://schemas.openxmlformats.org/officeDocument/2006/relationships/hyperlink" Target="https://maps.google.com/?cid=0x0:0x1a9c6b56c04952d9" TargetMode="External"/><Relationship Id="rId2" Type="http://schemas.openxmlformats.org/officeDocument/2006/relationships/hyperlink" Target="http://rumah123.com/" TargetMode="External"/><Relationship Id="rId3" Type="http://schemas.openxmlformats.org/officeDocument/2006/relationships/hyperlink" Target="https://maps.google.com/?cid=0x0:0xdaff97fa521139c3" TargetMode="External"/><Relationship Id="rId149" Type="http://schemas.openxmlformats.org/officeDocument/2006/relationships/hyperlink" Target="https://maps.google.com/?cid=0x0:0x9dc99e4c309560e0" TargetMode="External"/><Relationship Id="rId4" Type="http://schemas.openxmlformats.org/officeDocument/2006/relationships/hyperlink" Target="http://raywhite.co.id/" TargetMode="External"/><Relationship Id="rId148" Type="http://schemas.openxmlformats.org/officeDocument/2006/relationships/hyperlink" Target="http://99.co/" TargetMode="External"/><Relationship Id="rId9" Type="http://schemas.openxmlformats.org/officeDocument/2006/relationships/hyperlink" Target="https://maps.google.com/?cid=0x0:0x54ab9be7a92c81e0" TargetMode="External"/><Relationship Id="rId143" Type="http://schemas.openxmlformats.org/officeDocument/2006/relationships/hyperlink" Target="https://maps.google.com/?cid=0x0:0x4cd920f10fe0521e" TargetMode="External"/><Relationship Id="rId142" Type="http://schemas.openxmlformats.org/officeDocument/2006/relationships/hyperlink" Target="https://maps.google.com/?cid=0x0:0xca26f39a87157d6b" TargetMode="External"/><Relationship Id="rId141" Type="http://schemas.openxmlformats.org/officeDocument/2006/relationships/hyperlink" Target="http://dekoruma.com/" TargetMode="External"/><Relationship Id="rId140" Type="http://schemas.openxmlformats.org/officeDocument/2006/relationships/hyperlink" Target="https://maps.google.com/?cid=0x0:0x701334e347744651" TargetMode="External"/><Relationship Id="rId5" Type="http://schemas.openxmlformats.org/officeDocument/2006/relationships/hyperlink" Target="https://maps.google.com/?cid=0x0:0xcabf5376fbd45344" TargetMode="External"/><Relationship Id="rId147" Type="http://schemas.openxmlformats.org/officeDocument/2006/relationships/hyperlink" Target="https://maps.google.com/?cid=0x0:0x7b1f992900dfeb8" TargetMode="External"/><Relationship Id="rId6" Type="http://schemas.openxmlformats.org/officeDocument/2006/relationships/hyperlink" Target="https://maps.google.com/?cid=0x0:0xd98dd2f6b59ede2f" TargetMode="External"/><Relationship Id="rId146" Type="http://schemas.openxmlformats.org/officeDocument/2006/relationships/hyperlink" Target="http://rumah123.com/" TargetMode="External"/><Relationship Id="rId7" Type="http://schemas.openxmlformats.org/officeDocument/2006/relationships/hyperlink" Target="https://maps.google.com/?cid=0x0:0xae819747c0012e93" TargetMode="External"/><Relationship Id="rId145" Type="http://schemas.openxmlformats.org/officeDocument/2006/relationships/hyperlink" Target="https://maps.google.com/?cid=0x0:0x660cfaeec8681c67" TargetMode="External"/><Relationship Id="rId8" Type="http://schemas.openxmlformats.org/officeDocument/2006/relationships/hyperlink" Target="http://rumah123.com/" TargetMode="External"/><Relationship Id="rId144" Type="http://schemas.openxmlformats.org/officeDocument/2006/relationships/hyperlink" Target="http://rumah123.com/" TargetMode="External"/><Relationship Id="rId139" Type="http://schemas.openxmlformats.org/officeDocument/2006/relationships/hyperlink" Target="http://dekoruma.com/" TargetMode="External"/><Relationship Id="rId138" Type="http://schemas.openxmlformats.org/officeDocument/2006/relationships/hyperlink" Target="https://maps.google.com/?cid=0x0:0x7e279cb0b1e747d9" TargetMode="External"/><Relationship Id="rId137" Type="http://schemas.openxmlformats.org/officeDocument/2006/relationships/hyperlink" Target="http://dekoruma.com/" TargetMode="External"/><Relationship Id="rId132" Type="http://schemas.openxmlformats.org/officeDocument/2006/relationships/hyperlink" Target="https://maps.google.com/?cid=0x0:0xbe20afd0ae5a86e5" TargetMode="External"/><Relationship Id="rId131" Type="http://schemas.openxmlformats.org/officeDocument/2006/relationships/hyperlink" Target="https://maps.google.com/?cid=0x0:0x5fea3a39c3ebfdaf" TargetMode="External"/><Relationship Id="rId130" Type="http://schemas.openxmlformats.org/officeDocument/2006/relationships/hyperlink" Target="http://rumah123.com/" TargetMode="External"/><Relationship Id="rId136" Type="http://schemas.openxmlformats.org/officeDocument/2006/relationships/hyperlink" Target="https://maps.google.com/?cid=0x0:0x1c85d2283a53346f" TargetMode="External"/><Relationship Id="rId135" Type="http://schemas.openxmlformats.org/officeDocument/2006/relationships/hyperlink" Target="http://rumah123.com/" TargetMode="External"/><Relationship Id="rId134" Type="http://schemas.openxmlformats.org/officeDocument/2006/relationships/hyperlink" Target="https://maps.google.com/?cid=0x0:0x41f4c0546cc6a021" TargetMode="External"/><Relationship Id="rId133" Type="http://schemas.openxmlformats.org/officeDocument/2006/relationships/hyperlink" Target="http://99.co/" TargetMode="External"/><Relationship Id="rId172" Type="http://schemas.openxmlformats.org/officeDocument/2006/relationships/hyperlink" Target="https://maps.google.com/?cid=0x0:0x3d9cdd4b1a91978b" TargetMode="External"/><Relationship Id="rId171" Type="http://schemas.openxmlformats.org/officeDocument/2006/relationships/hyperlink" Target="https://maps.google.com/?cid=0x0:0x7ce6f97d733b8866" TargetMode="External"/><Relationship Id="rId170" Type="http://schemas.openxmlformats.org/officeDocument/2006/relationships/hyperlink" Target="https://maps.google.com/?cid=0x0:0x4cbfbd4d2f4042fa" TargetMode="External"/><Relationship Id="rId165" Type="http://schemas.openxmlformats.org/officeDocument/2006/relationships/hyperlink" Target="https://maps.google.com/?cid=0x0:0x3b7cf1daedeb3cc3" TargetMode="External"/><Relationship Id="rId164" Type="http://schemas.openxmlformats.org/officeDocument/2006/relationships/hyperlink" Target="http://99.co/" TargetMode="External"/><Relationship Id="rId163" Type="http://schemas.openxmlformats.org/officeDocument/2006/relationships/hyperlink" Target="https://maps.google.com/?cid=0x0:0xf6f1fcd6244139a7" TargetMode="External"/><Relationship Id="rId162" Type="http://schemas.openxmlformats.org/officeDocument/2006/relationships/hyperlink" Target="http://dekoruma.com/" TargetMode="External"/><Relationship Id="rId169" Type="http://schemas.openxmlformats.org/officeDocument/2006/relationships/hyperlink" Target="http://rumah123.com/" TargetMode="External"/><Relationship Id="rId168" Type="http://schemas.openxmlformats.org/officeDocument/2006/relationships/hyperlink" Target="https://maps.google.com/?cid=0x0:0x5d1aae0aad5f3efd" TargetMode="External"/><Relationship Id="rId167" Type="http://schemas.openxmlformats.org/officeDocument/2006/relationships/hyperlink" Target="http://lamudi.co.id/" TargetMode="External"/><Relationship Id="rId166" Type="http://schemas.openxmlformats.org/officeDocument/2006/relationships/hyperlink" Target="https://maps.google.com/?cid=0x0:0xa4e08f9988b4f001" TargetMode="External"/><Relationship Id="rId161" Type="http://schemas.openxmlformats.org/officeDocument/2006/relationships/hyperlink" Target="https://maps.google.com/?cid=0x0:0x1d71300872a1fc07" TargetMode="External"/><Relationship Id="rId160" Type="http://schemas.openxmlformats.org/officeDocument/2006/relationships/hyperlink" Target="http://rumah123.com/" TargetMode="External"/><Relationship Id="rId159" Type="http://schemas.openxmlformats.org/officeDocument/2006/relationships/hyperlink" Target="https://maps.google.com/?cid=0x0:0xfbe953286904e2b1" TargetMode="External"/><Relationship Id="rId154" Type="http://schemas.openxmlformats.org/officeDocument/2006/relationships/hyperlink" Target="https://maps.google.com/?cid=0x0:0xc8fe357cdd178760" TargetMode="External"/><Relationship Id="rId153" Type="http://schemas.openxmlformats.org/officeDocument/2006/relationships/hyperlink" Target="https://maps.google.com/?cid=0x0:0x6b1ea620292c3d7f" TargetMode="External"/><Relationship Id="rId152" Type="http://schemas.openxmlformats.org/officeDocument/2006/relationships/hyperlink" Target="http://99.co/" TargetMode="External"/><Relationship Id="rId151" Type="http://schemas.openxmlformats.org/officeDocument/2006/relationships/hyperlink" Target="https://maps.google.com/?cid=0x0:0x10ce302db17c1ab9" TargetMode="External"/><Relationship Id="rId158" Type="http://schemas.openxmlformats.org/officeDocument/2006/relationships/hyperlink" Target="http://rumah123.com/" TargetMode="External"/><Relationship Id="rId157" Type="http://schemas.openxmlformats.org/officeDocument/2006/relationships/hyperlink" Target="https://maps.google.com/?cid=0x0:0x3c4c9bc104ec636b" TargetMode="External"/><Relationship Id="rId156" Type="http://schemas.openxmlformats.org/officeDocument/2006/relationships/hyperlink" Target="https://maps.google.com/?cid=0x0:0xa09f75a2741ed726" TargetMode="External"/><Relationship Id="rId155" Type="http://schemas.openxmlformats.org/officeDocument/2006/relationships/hyperlink" Target="http://rumah123.com/" TargetMode="External"/><Relationship Id="rId40" Type="http://schemas.openxmlformats.org/officeDocument/2006/relationships/hyperlink" Target="http://rumah123.com/" TargetMode="External"/><Relationship Id="rId42" Type="http://schemas.openxmlformats.org/officeDocument/2006/relationships/hyperlink" Target="http://dekoruma.com/" TargetMode="External"/><Relationship Id="rId41" Type="http://schemas.openxmlformats.org/officeDocument/2006/relationships/hyperlink" Target="https://maps.google.com/?cid=0x0:0x1185e837066c2757" TargetMode="External"/><Relationship Id="rId44" Type="http://schemas.openxmlformats.org/officeDocument/2006/relationships/hyperlink" Target="http://rumah123.com/" TargetMode="External"/><Relationship Id="rId43" Type="http://schemas.openxmlformats.org/officeDocument/2006/relationships/hyperlink" Target="https://maps.google.com/?cid=0x0:0x773e12a3f9ccfb6" TargetMode="External"/><Relationship Id="rId46" Type="http://schemas.openxmlformats.org/officeDocument/2006/relationships/hyperlink" Target="https://maps.google.com/?cid=0x0:0x9a3db34f9db244ed" TargetMode="External"/><Relationship Id="rId45" Type="http://schemas.openxmlformats.org/officeDocument/2006/relationships/hyperlink" Target="https://maps.google.com/?cid=0x0:0x82080e501057a111" TargetMode="External"/><Relationship Id="rId48" Type="http://schemas.openxmlformats.org/officeDocument/2006/relationships/hyperlink" Target="https://maps.google.com/?cid=0x0:0xf95656f73f9b7d95" TargetMode="External"/><Relationship Id="rId47" Type="http://schemas.openxmlformats.org/officeDocument/2006/relationships/hyperlink" Target="http://rumah123.com/" TargetMode="External"/><Relationship Id="rId49" Type="http://schemas.openxmlformats.org/officeDocument/2006/relationships/hyperlink" Target="http://tribunjualbeli.com/" TargetMode="External"/><Relationship Id="rId31" Type="http://schemas.openxmlformats.org/officeDocument/2006/relationships/hyperlink" Target="http://dekoruma.com/" TargetMode="External"/><Relationship Id="rId30" Type="http://schemas.openxmlformats.org/officeDocument/2006/relationships/hyperlink" Target="https://maps.google.com/?cid=0x0:0xb2c37e3c76c49d6d" TargetMode="External"/><Relationship Id="rId33" Type="http://schemas.openxmlformats.org/officeDocument/2006/relationships/hyperlink" Target="http://dekoruma.com/" TargetMode="External"/><Relationship Id="rId32" Type="http://schemas.openxmlformats.org/officeDocument/2006/relationships/hyperlink" Target="https://maps.google.com/?cid=0x0:0x6d0c01fe619429f1" TargetMode="External"/><Relationship Id="rId35" Type="http://schemas.openxmlformats.org/officeDocument/2006/relationships/hyperlink" Target="http://raywhite.co.id/" TargetMode="External"/><Relationship Id="rId34" Type="http://schemas.openxmlformats.org/officeDocument/2006/relationships/hyperlink" Target="https://maps.google.com/?cid=0x0:0xf58e821fb00b9f4b" TargetMode="External"/><Relationship Id="rId37" Type="http://schemas.openxmlformats.org/officeDocument/2006/relationships/hyperlink" Target="http://dekoruma.com/" TargetMode="External"/><Relationship Id="rId36" Type="http://schemas.openxmlformats.org/officeDocument/2006/relationships/hyperlink" Target="https://maps.google.com/?cid=0x0:0x2e9db5a4dce8309e" TargetMode="External"/><Relationship Id="rId39" Type="http://schemas.openxmlformats.org/officeDocument/2006/relationships/hyperlink" Target="https://maps.google.com/?cid=0x0:0xad6c9762a2ef034c" TargetMode="External"/><Relationship Id="rId38" Type="http://schemas.openxmlformats.org/officeDocument/2006/relationships/hyperlink" Target="https://maps.google.com/?cid=0x0:0x761e698ae22a17a5" TargetMode="External"/><Relationship Id="rId20" Type="http://schemas.openxmlformats.org/officeDocument/2006/relationships/hyperlink" Target="http://rumah123.com/" TargetMode="External"/><Relationship Id="rId22" Type="http://schemas.openxmlformats.org/officeDocument/2006/relationships/hyperlink" Target="http://99.co/" TargetMode="External"/><Relationship Id="rId21" Type="http://schemas.openxmlformats.org/officeDocument/2006/relationships/hyperlink" Target="https://maps.google.com/?cid=0x0:0x999468e7bc68a4e5" TargetMode="External"/><Relationship Id="rId24" Type="http://schemas.openxmlformats.org/officeDocument/2006/relationships/hyperlink" Target="https://maps.google.com/?cid=0x0:0xb9be62f7cbc2985e" TargetMode="External"/><Relationship Id="rId23" Type="http://schemas.openxmlformats.org/officeDocument/2006/relationships/hyperlink" Target="https://maps.google.com/?cid=0x0:0x131b7c4aeaf39811" TargetMode="External"/><Relationship Id="rId26" Type="http://schemas.openxmlformats.org/officeDocument/2006/relationships/hyperlink" Target="https://maps.google.com/?cid=0x0:0x6725830ab22e6de3" TargetMode="External"/><Relationship Id="rId25" Type="http://schemas.openxmlformats.org/officeDocument/2006/relationships/hyperlink" Target="http://rumah123.com/" TargetMode="External"/><Relationship Id="rId28" Type="http://schemas.openxmlformats.org/officeDocument/2006/relationships/hyperlink" Target="https://maps.google.com/?cid=0x0:0xc63170c1d50a16bd" TargetMode="External"/><Relationship Id="rId27" Type="http://schemas.openxmlformats.org/officeDocument/2006/relationships/hyperlink" Target="http://rumah123.com/" TargetMode="External"/><Relationship Id="rId29" Type="http://schemas.openxmlformats.org/officeDocument/2006/relationships/hyperlink" Target="http://rumah123.com/" TargetMode="External"/><Relationship Id="rId11" Type="http://schemas.openxmlformats.org/officeDocument/2006/relationships/hyperlink" Target="https://maps.google.com/?cid=0x0:0xbaf8b4cc91ff518d" TargetMode="External"/><Relationship Id="rId10" Type="http://schemas.openxmlformats.org/officeDocument/2006/relationships/hyperlink" Target="http://rumah123.com/" TargetMode="External"/><Relationship Id="rId13" Type="http://schemas.openxmlformats.org/officeDocument/2006/relationships/hyperlink" Target="https://maps.google.com/?cid=0x0:0x5840ed298c9900cb" TargetMode="External"/><Relationship Id="rId12" Type="http://schemas.openxmlformats.org/officeDocument/2006/relationships/hyperlink" Target="http://dekoruma.com/" TargetMode="External"/><Relationship Id="rId15" Type="http://schemas.openxmlformats.org/officeDocument/2006/relationships/hyperlink" Target="https://maps.google.com/?cid=0x0:0xfc6b0cddb1d6f058" TargetMode="External"/><Relationship Id="rId14" Type="http://schemas.openxmlformats.org/officeDocument/2006/relationships/hyperlink" Target="http://rumah123.com/" TargetMode="External"/><Relationship Id="rId17" Type="http://schemas.openxmlformats.org/officeDocument/2006/relationships/hyperlink" Target="https://maps.google.com/?cid=0x0:0x6a2ca1df4e01e56f" TargetMode="External"/><Relationship Id="rId16" Type="http://schemas.openxmlformats.org/officeDocument/2006/relationships/hyperlink" Target="https://maps.google.com/?cid=0x0:0x2e146ae822a014b2" TargetMode="External"/><Relationship Id="rId19" Type="http://schemas.openxmlformats.org/officeDocument/2006/relationships/hyperlink" Target="https://maps.google.com/?cid=0x0:0x33bfc3f2d19bd1c4" TargetMode="External"/><Relationship Id="rId18" Type="http://schemas.openxmlformats.org/officeDocument/2006/relationships/hyperlink" Target="http://rumah123.com/" TargetMode="External"/><Relationship Id="rId84" Type="http://schemas.openxmlformats.org/officeDocument/2006/relationships/hyperlink" Target="https://maps.google.com/?cid=0x0:0x7556f51c308da240" TargetMode="External"/><Relationship Id="rId83" Type="http://schemas.openxmlformats.org/officeDocument/2006/relationships/hyperlink" Target="http://dekoruma.com/" TargetMode="External"/><Relationship Id="rId86" Type="http://schemas.openxmlformats.org/officeDocument/2006/relationships/hyperlink" Target="http://dekoruma.com/" TargetMode="External"/><Relationship Id="rId85" Type="http://schemas.openxmlformats.org/officeDocument/2006/relationships/hyperlink" Target="https://maps.google.com/?cid=0x0:0xe35196e0866b5767" TargetMode="External"/><Relationship Id="rId88" Type="http://schemas.openxmlformats.org/officeDocument/2006/relationships/hyperlink" Target="https://maps.google.com/?cid=0x0:0xf66236fbd1d13790" TargetMode="External"/><Relationship Id="rId87" Type="http://schemas.openxmlformats.org/officeDocument/2006/relationships/hyperlink" Target="https://maps.google.com/?cid=0x0:0xeec3377fbef3ee2e" TargetMode="External"/><Relationship Id="rId89" Type="http://schemas.openxmlformats.org/officeDocument/2006/relationships/hyperlink" Target="http://rumah123.com/" TargetMode="External"/><Relationship Id="rId80" Type="http://schemas.openxmlformats.org/officeDocument/2006/relationships/hyperlink" Target="https://maps.google.com/?cid=0x0:0x224fcdb17eb6150e" TargetMode="External"/><Relationship Id="rId82" Type="http://schemas.openxmlformats.org/officeDocument/2006/relationships/hyperlink" Target="https://maps.google.com/?cid=0x0:0x305f0f56b25d24bf" TargetMode="External"/><Relationship Id="rId81" Type="http://schemas.openxmlformats.org/officeDocument/2006/relationships/hyperlink" Target="https://maps.google.com/?cid=0x0:0xac853fa6af177b3a" TargetMode="External"/><Relationship Id="rId73" Type="http://schemas.openxmlformats.org/officeDocument/2006/relationships/hyperlink" Target="https://maps.google.com/?cid=0x0:0x93bdb7d4740a90e1" TargetMode="External"/><Relationship Id="rId72" Type="http://schemas.openxmlformats.org/officeDocument/2006/relationships/hyperlink" Target="http://rumah123.com/" TargetMode="External"/><Relationship Id="rId75" Type="http://schemas.openxmlformats.org/officeDocument/2006/relationships/hyperlink" Target="http://rumah123.com/" TargetMode="External"/><Relationship Id="rId74" Type="http://schemas.openxmlformats.org/officeDocument/2006/relationships/hyperlink" Target="https://maps.google.com/?cid=0x0:0x8c83ed077dabe015" TargetMode="External"/><Relationship Id="rId77" Type="http://schemas.openxmlformats.org/officeDocument/2006/relationships/hyperlink" Target="https://maps.google.com/?cid=0x0:0xabfc4ea093a4b565" TargetMode="External"/><Relationship Id="rId76" Type="http://schemas.openxmlformats.org/officeDocument/2006/relationships/hyperlink" Target="https://maps.google.com/?cid=0x0:0x94fc358f5b958266" TargetMode="External"/><Relationship Id="rId79" Type="http://schemas.openxmlformats.org/officeDocument/2006/relationships/hyperlink" Target="https://maps.google.com/?cid=0x0:0x7103bf9b917ec1a4" TargetMode="External"/><Relationship Id="rId78" Type="http://schemas.openxmlformats.org/officeDocument/2006/relationships/hyperlink" Target="http://raywhite.co.id/" TargetMode="External"/><Relationship Id="rId71" Type="http://schemas.openxmlformats.org/officeDocument/2006/relationships/hyperlink" Target="https://maps.google.com/?cid=0x0:0x8c8b834332d74157" TargetMode="External"/><Relationship Id="rId70" Type="http://schemas.openxmlformats.org/officeDocument/2006/relationships/hyperlink" Target="http://dekoruma.com/" TargetMode="External"/><Relationship Id="rId62" Type="http://schemas.openxmlformats.org/officeDocument/2006/relationships/hyperlink" Target="https://maps.google.com/?cid=0x0:0x476c976e43b42b4b" TargetMode="External"/><Relationship Id="rId61" Type="http://schemas.openxmlformats.org/officeDocument/2006/relationships/hyperlink" Target="http://dekoruma.com/" TargetMode="External"/><Relationship Id="rId64" Type="http://schemas.openxmlformats.org/officeDocument/2006/relationships/hyperlink" Target="https://maps.google.com/?cid=0x0:0xa6cf2a36a79cd913" TargetMode="External"/><Relationship Id="rId63" Type="http://schemas.openxmlformats.org/officeDocument/2006/relationships/hyperlink" Target="http://rumah123.com/" TargetMode="External"/><Relationship Id="rId66" Type="http://schemas.openxmlformats.org/officeDocument/2006/relationships/hyperlink" Target="http://rumah123.com/" TargetMode="External"/><Relationship Id="rId65" Type="http://schemas.openxmlformats.org/officeDocument/2006/relationships/hyperlink" Target="https://maps.google.com/?cid=0x0:0xf93cfc53c281f136" TargetMode="External"/><Relationship Id="rId68" Type="http://schemas.openxmlformats.org/officeDocument/2006/relationships/hyperlink" Target="http://rumah123.com/" TargetMode="External"/><Relationship Id="rId67" Type="http://schemas.openxmlformats.org/officeDocument/2006/relationships/hyperlink" Target="https://maps.google.com/?cid=0x0:0xe98fb1e374fcb4db" TargetMode="External"/><Relationship Id="rId60" Type="http://schemas.openxmlformats.org/officeDocument/2006/relationships/hyperlink" Target="https://maps.google.com/?cid=0x0:0xc62b17314c7eea42" TargetMode="External"/><Relationship Id="rId69" Type="http://schemas.openxmlformats.org/officeDocument/2006/relationships/hyperlink" Target="https://maps.google.com/?cid=0x0:0xabf9a6723580161b" TargetMode="External"/><Relationship Id="rId51" Type="http://schemas.openxmlformats.org/officeDocument/2006/relationships/hyperlink" Target="http://rumah123.com/" TargetMode="External"/><Relationship Id="rId50" Type="http://schemas.openxmlformats.org/officeDocument/2006/relationships/hyperlink" Target="https://maps.google.com/?cid=0x0:0xe37900863a72b70e" TargetMode="External"/><Relationship Id="rId53" Type="http://schemas.openxmlformats.org/officeDocument/2006/relationships/hyperlink" Target="http://dekoruma.com/" TargetMode="External"/><Relationship Id="rId52" Type="http://schemas.openxmlformats.org/officeDocument/2006/relationships/hyperlink" Target="https://maps.google.com/?cid=0x0:0xb3de36f4341d4f9" TargetMode="External"/><Relationship Id="rId55" Type="http://schemas.openxmlformats.org/officeDocument/2006/relationships/hyperlink" Target="http://dekoruma.com/" TargetMode="External"/><Relationship Id="rId54" Type="http://schemas.openxmlformats.org/officeDocument/2006/relationships/hyperlink" Target="https://maps.google.com/?cid=0x0:0x3e95736e790e127d" TargetMode="External"/><Relationship Id="rId57" Type="http://schemas.openxmlformats.org/officeDocument/2006/relationships/hyperlink" Target="http://rumah123.com/" TargetMode="External"/><Relationship Id="rId56" Type="http://schemas.openxmlformats.org/officeDocument/2006/relationships/hyperlink" Target="https://maps.google.com/?cid=0x0:0x229a2f055c99374f" TargetMode="External"/><Relationship Id="rId59" Type="http://schemas.openxmlformats.org/officeDocument/2006/relationships/hyperlink" Target="http://rumah123.com/" TargetMode="External"/><Relationship Id="rId58" Type="http://schemas.openxmlformats.org/officeDocument/2006/relationships/hyperlink" Target="https://maps.google.com/?cid=0x0:0xa4fe7a21cdedca63" TargetMode="External"/><Relationship Id="rId107" Type="http://schemas.openxmlformats.org/officeDocument/2006/relationships/hyperlink" Target="https://maps.google.com/?cid=0x0:0x34d798e9aa2e21e5" TargetMode="External"/><Relationship Id="rId106" Type="http://schemas.openxmlformats.org/officeDocument/2006/relationships/hyperlink" Target="https://maps.google.com/?cid=0x0:0xf49a6c00f31f2396" TargetMode="External"/><Relationship Id="rId105" Type="http://schemas.openxmlformats.org/officeDocument/2006/relationships/hyperlink" Target="https://maps.google.com/?cid=0x0:0xd22eeaf72b394938" TargetMode="External"/><Relationship Id="rId104" Type="http://schemas.openxmlformats.org/officeDocument/2006/relationships/hyperlink" Target="https://maps.google.com/?cid=0x0:0x504c51127b75eb9e" TargetMode="External"/><Relationship Id="rId109" Type="http://schemas.openxmlformats.org/officeDocument/2006/relationships/hyperlink" Target="https://maps.google.com/?cid=0x0:0x19a86d54ffdabcd7" TargetMode="External"/><Relationship Id="rId108" Type="http://schemas.openxmlformats.org/officeDocument/2006/relationships/hyperlink" Target="https://maps.google.com/?cid=0x0:0x2c3611d8fa02fb6b" TargetMode="External"/><Relationship Id="rId103" Type="http://schemas.openxmlformats.org/officeDocument/2006/relationships/hyperlink" Target="http://dekoruma.com/" TargetMode="External"/><Relationship Id="rId102" Type="http://schemas.openxmlformats.org/officeDocument/2006/relationships/hyperlink" Target="https://maps.google.com/?cid=0x0:0x105638064a6c8877" TargetMode="External"/><Relationship Id="rId101" Type="http://schemas.openxmlformats.org/officeDocument/2006/relationships/hyperlink" Target="http://rumah123.com/" TargetMode="External"/><Relationship Id="rId100" Type="http://schemas.openxmlformats.org/officeDocument/2006/relationships/hyperlink" Target="https://maps.google.com/?cid=0x0:0x75467dcaf9947df2" TargetMode="External"/><Relationship Id="rId129" Type="http://schemas.openxmlformats.org/officeDocument/2006/relationships/hyperlink" Target="https://maps.google.com/?cid=0x0:0x53be2c03941909bc" TargetMode="External"/><Relationship Id="rId128" Type="http://schemas.openxmlformats.org/officeDocument/2006/relationships/hyperlink" Target="https://maps.google.com/?cid=0x0:0x35167e77b4175fe0" TargetMode="External"/><Relationship Id="rId127" Type="http://schemas.openxmlformats.org/officeDocument/2006/relationships/hyperlink" Target="https://maps.google.com/?cid=0x0:0x89b7f5ecb70fd69f" TargetMode="External"/><Relationship Id="rId126" Type="http://schemas.openxmlformats.org/officeDocument/2006/relationships/hyperlink" Target="https://maps.google.com/?cid=0x0:0xb8d94e6e1a63e86b" TargetMode="External"/><Relationship Id="rId121" Type="http://schemas.openxmlformats.org/officeDocument/2006/relationships/hyperlink" Target="http://dekoruma.com/" TargetMode="External"/><Relationship Id="rId120" Type="http://schemas.openxmlformats.org/officeDocument/2006/relationships/hyperlink" Target="https://maps.google.com/?cid=0x0:0x7d4f60ef9cd79d04" TargetMode="External"/><Relationship Id="rId125" Type="http://schemas.openxmlformats.org/officeDocument/2006/relationships/hyperlink" Target="http://99.co/" TargetMode="External"/><Relationship Id="rId124" Type="http://schemas.openxmlformats.org/officeDocument/2006/relationships/hyperlink" Target="https://maps.google.com/?cid=0x0:0xebc11eb4b2f44f27" TargetMode="External"/><Relationship Id="rId123" Type="http://schemas.openxmlformats.org/officeDocument/2006/relationships/hyperlink" Target="http://99.co/" TargetMode="External"/><Relationship Id="rId122" Type="http://schemas.openxmlformats.org/officeDocument/2006/relationships/hyperlink" Target="https://maps.google.com/?cid=0x0:0x2762d9d7c11f7953" TargetMode="External"/><Relationship Id="rId95" Type="http://schemas.openxmlformats.org/officeDocument/2006/relationships/hyperlink" Target="http://dekoruma.com/" TargetMode="External"/><Relationship Id="rId94" Type="http://schemas.openxmlformats.org/officeDocument/2006/relationships/hyperlink" Target="https://maps.google.com/?cid=0x0:0xf996c75537c5e2e6" TargetMode="External"/><Relationship Id="rId97" Type="http://schemas.openxmlformats.org/officeDocument/2006/relationships/hyperlink" Target="http://99.co/" TargetMode="External"/><Relationship Id="rId96" Type="http://schemas.openxmlformats.org/officeDocument/2006/relationships/hyperlink" Target="https://maps.google.com/?cid=0x0:0x30dce09f7026861a" TargetMode="External"/><Relationship Id="rId99" Type="http://schemas.openxmlformats.org/officeDocument/2006/relationships/hyperlink" Target="http://rumah123.com/" TargetMode="External"/><Relationship Id="rId98" Type="http://schemas.openxmlformats.org/officeDocument/2006/relationships/hyperlink" Target="https://maps.google.com/?cid=0x0:0xb6d59a5965cc38d6" TargetMode="External"/><Relationship Id="rId91" Type="http://schemas.openxmlformats.org/officeDocument/2006/relationships/hyperlink" Target="http://rumah123.com/" TargetMode="External"/><Relationship Id="rId90" Type="http://schemas.openxmlformats.org/officeDocument/2006/relationships/hyperlink" Target="https://maps.google.com/?cid=0x0:0x1975ed0cb56f0813" TargetMode="External"/><Relationship Id="rId93" Type="http://schemas.openxmlformats.org/officeDocument/2006/relationships/hyperlink" Target="http://rumah123.com/" TargetMode="External"/><Relationship Id="rId92" Type="http://schemas.openxmlformats.org/officeDocument/2006/relationships/hyperlink" Target="https://maps.google.com/?cid=0x0:0x802db70db17c8289" TargetMode="External"/><Relationship Id="rId118" Type="http://schemas.openxmlformats.org/officeDocument/2006/relationships/hyperlink" Target="http://rumah123.com/" TargetMode="External"/><Relationship Id="rId117" Type="http://schemas.openxmlformats.org/officeDocument/2006/relationships/hyperlink" Target="https://maps.google.com/?cid=0x0:0xeb524f832f259352" TargetMode="External"/><Relationship Id="rId116" Type="http://schemas.openxmlformats.org/officeDocument/2006/relationships/hyperlink" Target="http://rumah123.com/" TargetMode="External"/><Relationship Id="rId115" Type="http://schemas.openxmlformats.org/officeDocument/2006/relationships/hyperlink" Target="https://maps.google.com/?cid=0x0:0xa3631ea452330aaa" TargetMode="External"/><Relationship Id="rId119" Type="http://schemas.openxmlformats.org/officeDocument/2006/relationships/hyperlink" Target="https://maps.google.com/?cid=0x0:0xc5efae3afd0a7eb" TargetMode="External"/><Relationship Id="rId110" Type="http://schemas.openxmlformats.org/officeDocument/2006/relationships/hyperlink" Target="http://rumah123.com/" TargetMode="External"/><Relationship Id="rId114" Type="http://schemas.openxmlformats.org/officeDocument/2006/relationships/hyperlink" Target="http://rumah123.com/" TargetMode="External"/><Relationship Id="rId113" Type="http://schemas.openxmlformats.org/officeDocument/2006/relationships/hyperlink" Target="https://maps.google.com/?cid=0x0:0x40986ec479c7b671" TargetMode="External"/><Relationship Id="rId112" Type="http://schemas.openxmlformats.org/officeDocument/2006/relationships/hyperlink" Target="http://rumah123.com/" TargetMode="External"/><Relationship Id="rId111" Type="http://schemas.openxmlformats.org/officeDocument/2006/relationships/hyperlink" Target="https://maps.google.com/?cid=0x0:0x700a645ad324464e" TargetMode="External"/></Relationships>
</file>

<file path=xl/worksheets/_rels/sheet5.xml.rels><?xml version="1.0" encoding="UTF-8" standalone="yes"?><Relationships xmlns="http://schemas.openxmlformats.org/package/2006/relationships"><Relationship Id="rId190" Type="http://schemas.openxmlformats.org/officeDocument/2006/relationships/hyperlink" Target="http://raywhite.co.id/" TargetMode="External"/><Relationship Id="rId194" Type="http://schemas.openxmlformats.org/officeDocument/2006/relationships/hyperlink" Target="http://dekoruma.com/" TargetMode="External"/><Relationship Id="rId193" Type="http://schemas.openxmlformats.org/officeDocument/2006/relationships/hyperlink" Target="https://maps.google.com/?cid=0x0:0x34d5e8c570cd65f3" TargetMode="External"/><Relationship Id="rId192" Type="http://schemas.openxmlformats.org/officeDocument/2006/relationships/hyperlink" Target="http://dekoruma.com/" TargetMode="External"/><Relationship Id="rId191" Type="http://schemas.openxmlformats.org/officeDocument/2006/relationships/hyperlink" Target="https://maps.google.com/?cid=0x0:0x572504fece40f702" TargetMode="External"/><Relationship Id="rId187" Type="http://schemas.openxmlformats.org/officeDocument/2006/relationships/hyperlink" Target="https://maps.google.com/?cid=0x0:0xf06d5f222adbe9a5" TargetMode="External"/><Relationship Id="rId186" Type="http://schemas.openxmlformats.org/officeDocument/2006/relationships/hyperlink" Target="https://maps.google.com/?cid=0x0:0x5115af13aacd7782" TargetMode="External"/><Relationship Id="rId185" Type="http://schemas.openxmlformats.org/officeDocument/2006/relationships/hyperlink" Target="https://maps.google.com/?cid=0x0:0xd7ae9bdce2435ead" TargetMode="External"/><Relationship Id="rId184" Type="http://schemas.openxmlformats.org/officeDocument/2006/relationships/hyperlink" Target="http://raywhite.co.id/" TargetMode="External"/><Relationship Id="rId189" Type="http://schemas.openxmlformats.org/officeDocument/2006/relationships/hyperlink" Target="https://maps.google.com/?cid=0x0:0xdc2de952895413ad" TargetMode="External"/><Relationship Id="rId188" Type="http://schemas.openxmlformats.org/officeDocument/2006/relationships/hyperlink" Target="http://dekoruma.com/" TargetMode="External"/><Relationship Id="rId183" Type="http://schemas.openxmlformats.org/officeDocument/2006/relationships/hyperlink" Target="https://maps.google.com/?cid=0x0:0x2f62b6df20bd040e" TargetMode="External"/><Relationship Id="rId182" Type="http://schemas.openxmlformats.org/officeDocument/2006/relationships/hyperlink" Target="http://rumah123.com/" TargetMode="External"/><Relationship Id="rId181" Type="http://schemas.openxmlformats.org/officeDocument/2006/relationships/hyperlink" Target="https://maps.google.com/?cid=0x0:0xc1a54b16a482fedd" TargetMode="External"/><Relationship Id="rId180" Type="http://schemas.openxmlformats.org/officeDocument/2006/relationships/hyperlink" Target="https://maps.google.com/?cid=0x0:0x639c37f390b6ea6a" TargetMode="External"/><Relationship Id="rId176" Type="http://schemas.openxmlformats.org/officeDocument/2006/relationships/hyperlink" Target="https://maps.google.com/?cid=0x0:0xc4ff38db11cd9680" TargetMode="External"/><Relationship Id="rId297" Type="http://schemas.openxmlformats.org/officeDocument/2006/relationships/hyperlink" Target="https://maps.google.com/?cid=0x0:0x61e7dce43702d2f9" TargetMode="External"/><Relationship Id="rId175" Type="http://schemas.openxmlformats.org/officeDocument/2006/relationships/hyperlink" Target="http://raywhite.co.id/" TargetMode="External"/><Relationship Id="rId296" Type="http://schemas.openxmlformats.org/officeDocument/2006/relationships/hyperlink" Target="https://maps.google.com/?cid=0x0:0x38c8302ee28cb6a1" TargetMode="External"/><Relationship Id="rId174" Type="http://schemas.openxmlformats.org/officeDocument/2006/relationships/hyperlink" Target="https://maps.google.com/?cid=0x0:0xec662d51140191a3" TargetMode="External"/><Relationship Id="rId295" Type="http://schemas.openxmlformats.org/officeDocument/2006/relationships/hyperlink" Target="https://maps.google.com/?cid=0x0:0x9323d3b02c85687a" TargetMode="External"/><Relationship Id="rId173" Type="http://schemas.openxmlformats.org/officeDocument/2006/relationships/hyperlink" Target="http://99.co/" TargetMode="External"/><Relationship Id="rId294" Type="http://schemas.openxmlformats.org/officeDocument/2006/relationships/hyperlink" Target="http://dekoruma.com/" TargetMode="External"/><Relationship Id="rId179" Type="http://schemas.openxmlformats.org/officeDocument/2006/relationships/hyperlink" Target="http://raywhite.co.id/" TargetMode="External"/><Relationship Id="rId178" Type="http://schemas.openxmlformats.org/officeDocument/2006/relationships/hyperlink" Target="https://maps.google.com/?cid=0x0:0xcfdf6b3d255bdfee" TargetMode="External"/><Relationship Id="rId299" Type="http://schemas.openxmlformats.org/officeDocument/2006/relationships/hyperlink" Target="http://dekoruma.com/" TargetMode="External"/><Relationship Id="rId177" Type="http://schemas.openxmlformats.org/officeDocument/2006/relationships/hyperlink" Target="http://dekoruma.com/" TargetMode="External"/><Relationship Id="rId298" Type="http://schemas.openxmlformats.org/officeDocument/2006/relationships/hyperlink" Target="https://maps.google.com/?cid=0x0:0xbd2172a989280306" TargetMode="External"/><Relationship Id="rId198" Type="http://schemas.openxmlformats.org/officeDocument/2006/relationships/hyperlink" Target="http://dekoruma.com/" TargetMode="External"/><Relationship Id="rId197" Type="http://schemas.openxmlformats.org/officeDocument/2006/relationships/hyperlink" Target="https://maps.google.com/?cid=0x0:0x6ffca0256b805ebf" TargetMode="External"/><Relationship Id="rId196" Type="http://schemas.openxmlformats.org/officeDocument/2006/relationships/hyperlink" Target="http://pinhome.id/" TargetMode="External"/><Relationship Id="rId195" Type="http://schemas.openxmlformats.org/officeDocument/2006/relationships/hyperlink" Target="https://maps.google.com/?cid=0x0:0xbca1ef5237c8d16d" TargetMode="External"/><Relationship Id="rId199" Type="http://schemas.openxmlformats.org/officeDocument/2006/relationships/hyperlink" Target="https://maps.google.com/?cid=0x0:0xa63dcfe9ad5213e9" TargetMode="External"/><Relationship Id="rId150" Type="http://schemas.openxmlformats.org/officeDocument/2006/relationships/hyperlink" Target="https://maps.google.com/?cid=0x0:0xabc07e7a16fa0bc4" TargetMode="External"/><Relationship Id="rId271" Type="http://schemas.openxmlformats.org/officeDocument/2006/relationships/hyperlink" Target="https://maps.google.com/?cid=0x0:0x78c7ada7e2c9f2ed" TargetMode="External"/><Relationship Id="rId392" Type="http://schemas.openxmlformats.org/officeDocument/2006/relationships/hyperlink" Target="http://rumah123.com/" TargetMode="External"/><Relationship Id="rId270" Type="http://schemas.openxmlformats.org/officeDocument/2006/relationships/hyperlink" Target="http://rumah123.com/" TargetMode="External"/><Relationship Id="rId391" Type="http://schemas.openxmlformats.org/officeDocument/2006/relationships/hyperlink" Target="https://maps.google.com/?cid=0x0:0xe699afc1c00de0e7" TargetMode="External"/><Relationship Id="rId390" Type="http://schemas.openxmlformats.org/officeDocument/2006/relationships/hyperlink" Target="http://rumah123.com/" TargetMode="External"/><Relationship Id="rId1" Type="http://schemas.openxmlformats.org/officeDocument/2006/relationships/hyperlink" Target="https://maps.google.com/?cid=0x0:0x76a01ad925912bc1" TargetMode="External"/><Relationship Id="rId2" Type="http://schemas.openxmlformats.org/officeDocument/2006/relationships/hyperlink" Target="http://rumah123.com/" TargetMode="External"/><Relationship Id="rId3" Type="http://schemas.openxmlformats.org/officeDocument/2006/relationships/hyperlink" Target="https://maps.google.com/?cid=0x0:0x61401873dcca77b3" TargetMode="External"/><Relationship Id="rId149" Type="http://schemas.openxmlformats.org/officeDocument/2006/relationships/hyperlink" Target="https://maps.google.com/?cid=0x0:0x4284e5db5e9904c0" TargetMode="External"/><Relationship Id="rId4" Type="http://schemas.openxmlformats.org/officeDocument/2006/relationships/hyperlink" Target="http://huni.id/" TargetMode="External"/><Relationship Id="rId148" Type="http://schemas.openxmlformats.org/officeDocument/2006/relationships/hyperlink" Target="http://rumah123.com/" TargetMode="External"/><Relationship Id="rId269" Type="http://schemas.openxmlformats.org/officeDocument/2006/relationships/hyperlink" Target="https://maps.google.com/?cid=0x0:0x8cb45fcfa28e94be" TargetMode="External"/><Relationship Id="rId9" Type="http://schemas.openxmlformats.org/officeDocument/2006/relationships/hyperlink" Target="https://maps.google.com/?cid=0x0:0x718533191328a242" TargetMode="External"/><Relationship Id="rId143" Type="http://schemas.openxmlformats.org/officeDocument/2006/relationships/hyperlink" Target="https://maps.google.com/?cid=0x0:0xfc606f28cb23f899" TargetMode="External"/><Relationship Id="rId264" Type="http://schemas.openxmlformats.org/officeDocument/2006/relationships/hyperlink" Target="http://rumah123.com/" TargetMode="External"/><Relationship Id="rId385" Type="http://schemas.openxmlformats.org/officeDocument/2006/relationships/hyperlink" Target="https://maps.google.com/?cid=0x0:0x7d994a6250dfef42" TargetMode="External"/><Relationship Id="rId142" Type="http://schemas.openxmlformats.org/officeDocument/2006/relationships/hyperlink" Target="http://rumah123.com/" TargetMode="External"/><Relationship Id="rId263" Type="http://schemas.openxmlformats.org/officeDocument/2006/relationships/hyperlink" Target="https://maps.google.com/?cid=0x0:0xcc8cd293e3a72403" TargetMode="External"/><Relationship Id="rId384" Type="http://schemas.openxmlformats.org/officeDocument/2006/relationships/hyperlink" Target="http://dekoruma.com/" TargetMode="External"/><Relationship Id="rId141" Type="http://schemas.openxmlformats.org/officeDocument/2006/relationships/hyperlink" Target="https://maps.google.com/?cid=0x0:0xf8fe1aab5e5e19e9" TargetMode="External"/><Relationship Id="rId262" Type="http://schemas.openxmlformats.org/officeDocument/2006/relationships/hyperlink" Target="http://rumah123.com/" TargetMode="External"/><Relationship Id="rId383" Type="http://schemas.openxmlformats.org/officeDocument/2006/relationships/hyperlink" Target="https://maps.google.com/?cid=0x0:0x73b01fa92382b46c" TargetMode="External"/><Relationship Id="rId140" Type="http://schemas.openxmlformats.org/officeDocument/2006/relationships/hyperlink" Target="https://maps.google.com/?cid=0x0:0x348de638a44cd27f" TargetMode="External"/><Relationship Id="rId261" Type="http://schemas.openxmlformats.org/officeDocument/2006/relationships/hyperlink" Target="https://maps.google.com/?cid=0x0:0xac2fc451b4c7d6df" TargetMode="External"/><Relationship Id="rId382" Type="http://schemas.openxmlformats.org/officeDocument/2006/relationships/hyperlink" Target="http://rumah123.com/" TargetMode="External"/><Relationship Id="rId5" Type="http://schemas.openxmlformats.org/officeDocument/2006/relationships/hyperlink" Target="https://maps.google.com/?cid=0x0:0xa7bcb18ecf3b63b0" TargetMode="External"/><Relationship Id="rId147" Type="http://schemas.openxmlformats.org/officeDocument/2006/relationships/hyperlink" Target="https://maps.google.com/?cid=0x0:0x9e1cb6cc66893331" TargetMode="External"/><Relationship Id="rId268" Type="http://schemas.openxmlformats.org/officeDocument/2006/relationships/hyperlink" Target="http://rumah123.com/" TargetMode="External"/><Relationship Id="rId389" Type="http://schemas.openxmlformats.org/officeDocument/2006/relationships/hyperlink" Target="https://maps.google.com/?cid=0x0:0x4de3843d91e90caf" TargetMode="External"/><Relationship Id="rId6" Type="http://schemas.openxmlformats.org/officeDocument/2006/relationships/hyperlink" Target="http://rumah123.com/" TargetMode="External"/><Relationship Id="rId146" Type="http://schemas.openxmlformats.org/officeDocument/2006/relationships/hyperlink" Target="https://maps.google.com/?cid=0x0:0x73c6bad4ea0d6829" TargetMode="External"/><Relationship Id="rId267" Type="http://schemas.openxmlformats.org/officeDocument/2006/relationships/hyperlink" Target="https://maps.google.com/?cid=0x0:0x613a53234e67ab8b" TargetMode="External"/><Relationship Id="rId388" Type="http://schemas.openxmlformats.org/officeDocument/2006/relationships/hyperlink" Target="https://maps.google.com/?cid=0x0:0xf6c6125b09a7caa6" TargetMode="External"/><Relationship Id="rId7" Type="http://schemas.openxmlformats.org/officeDocument/2006/relationships/hyperlink" Target="https://maps.google.com/?cid=0x0:0xbb9493aabba88a75" TargetMode="External"/><Relationship Id="rId145" Type="http://schemas.openxmlformats.org/officeDocument/2006/relationships/hyperlink" Target="https://maps.google.com/?cid=0x0:0xcbb49ea89cf09f5" TargetMode="External"/><Relationship Id="rId266" Type="http://schemas.openxmlformats.org/officeDocument/2006/relationships/hyperlink" Target="http://raywhite.co.id/" TargetMode="External"/><Relationship Id="rId387" Type="http://schemas.openxmlformats.org/officeDocument/2006/relationships/hyperlink" Target="https://maps.google.com/?cid=0x0:0xbae49c2ad3299bf0" TargetMode="External"/><Relationship Id="rId8" Type="http://schemas.openxmlformats.org/officeDocument/2006/relationships/hyperlink" Target="https://maps.google.com/?cid=0x0:0x74b9d64f4d41e266" TargetMode="External"/><Relationship Id="rId144" Type="http://schemas.openxmlformats.org/officeDocument/2006/relationships/hyperlink" Target="https://maps.google.com/?cid=0x0:0x9aa78eaa7f28927e" TargetMode="External"/><Relationship Id="rId265" Type="http://schemas.openxmlformats.org/officeDocument/2006/relationships/hyperlink" Target="https://maps.google.com/?cid=0x0:0x5fbbf7799ac267d1" TargetMode="External"/><Relationship Id="rId386" Type="http://schemas.openxmlformats.org/officeDocument/2006/relationships/hyperlink" Target="http://dekoruma.com/" TargetMode="External"/><Relationship Id="rId260" Type="http://schemas.openxmlformats.org/officeDocument/2006/relationships/hyperlink" Target="http://dekoruma.com/" TargetMode="External"/><Relationship Id="rId381" Type="http://schemas.openxmlformats.org/officeDocument/2006/relationships/hyperlink" Target="https://maps.google.com/?cid=0x0:0x81f22432f43e95a" TargetMode="External"/><Relationship Id="rId380" Type="http://schemas.openxmlformats.org/officeDocument/2006/relationships/hyperlink" Target="http://dekoruma.com/" TargetMode="External"/><Relationship Id="rId139" Type="http://schemas.openxmlformats.org/officeDocument/2006/relationships/hyperlink" Target="http://rumah123.com/" TargetMode="External"/><Relationship Id="rId138" Type="http://schemas.openxmlformats.org/officeDocument/2006/relationships/hyperlink" Target="https://maps.google.com/?cid=0x0:0x80276e2685d28b68" TargetMode="External"/><Relationship Id="rId259" Type="http://schemas.openxmlformats.org/officeDocument/2006/relationships/hyperlink" Target="https://maps.google.com/?cid=0x0:0x70b125cddd00adcd" TargetMode="External"/><Relationship Id="rId137" Type="http://schemas.openxmlformats.org/officeDocument/2006/relationships/hyperlink" Target="http://dekoruma.com/" TargetMode="External"/><Relationship Id="rId258" Type="http://schemas.openxmlformats.org/officeDocument/2006/relationships/hyperlink" Target="http://raywhite.co.id/" TargetMode="External"/><Relationship Id="rId379" Type="http://schemas.openxmlformats.org/officeDocument/2006/relationships/hyperlink" Target="https://maps.google.com/?cid=0x0:0xc67708fc96f2792e" TargetMode="External"/><Relationship Id="rId132" Type="http://schemas.openxmlformats.org/officeDocument/2006/relationships/hyperlink" Target="http://99.co/" TargetMode="External"/><Relationship Id="rId253" Type="http://schemas.openxmlformats.org/officeDocument/2006/relationships/hyperlink" Target="http://rumah123.com/" TargetMode="External"/><Relationship Id="rId374" Type="http://schemas.openxmlformats.org/officeDocument/2006/relationships/hyperlink" Target="http://rumah123.com/" TargetMode="External"/><Relationship Id="rId131" Type="http://schemas.openxmlformats.org/officeDocument/2006/relationships/hyperlink" Target="https://maps.google.com/?cid=0x0:0xa4f80ac5d6fab659" TargetMode="External"/><Relationship Id="rId252" Type="http://schemas.openxmlformats.org/officeDocument/2006/relationships/hyperlink" Target="https://maps.google.com/?cid=0x0:0x85b1ff46edd4593d" TargetMode="External"/><Relationship Id="rId373" Type="http://schemas.openxmlformats.org/officeDocument/2006/relationships/hyperlink" Target="https://maps.google.com/?cid=0x0:0xcabd0c06e5eae879" TargetMode="External"/><Relationship Id="rId130" Type="http://schemas.openxmlformats.org/officeDocument/2006/relationships/hyperlink" Target="https://maps.google.com/?cid=0x0:0x214fdebf3bb498f2" TargetMode="External"/><Relationship Id="rId251" Type="http://schemas.openxmlformats.org/officeDocument/2006/relationships/hyperlink" Target="http://dekoruma.com/" TargetMode="External"/><Relationship Id="rId372" Type="http://schemas.openxmlformats.org/officeDocument/2006/relationships/hyperlink" Target="http://rumah123.com/" TargetMode="External"/><Relationship Id="rId250" Type="http://schemas.openxmlformats.org/officeDocument/2006/relationships/hyperlink" Target="https://maps.google.com/?cid=0x0:0x6fe25525de77c230" TargetMode="External"/><Relationship Id="rId371" Type="http://schemas.openxmlformats.org/officeDocument/2006/relationships/hyperlink" Target="https://maps.google.com/?cid=0x0:0x646e58b9152ee148" TargetMode="External"/><Relationship Id="rId136" Type="http://schemas.openxmlformats.org/officeDocument/2006/relationships/hyperlink" Target="https://maps.google.com/?cid=0x0:0x77a289dfc30179e7" TargetMode="External"/><Relationship Id="rId257" Type="http://schemas.openxmlformats.org/officeDocument/2006/relationships/hyperlink" Target="https://maps.google.com/?cid=0x0:0xad76022f5d936dba" TargetMode="External"/><Relationship Id="rId378" Type="http://schemas.openxmlformats.org/officeDocument/2006/relationships/hyperlink" Target="http://dekoruma.com/" TargetMode="External"/><Relationship Id="rId135" Type="http://schemas.openxmlformats.org/officeDocument/2006/relationships/hyperlink" Target="http://raywhite.co.id/" TargetMode="External"/><Relationship Id="rId256" Type="http://schemas.openxmlformats.org/officeDocument/2006/relationships/hyperlink" Target="http://rumah123.com/" TargetMode="External"/><Relationship Id="rId377" Type="http://schemas.openxmlformats.org/officeDocument/2006/relationships/hyperlink" Target="https://maps.google.com/?cid=0x0:0x840b48132ed6c88d" TargetMode="External"/><Relationship Id="rId134" Type="http://schemas.openxmlformats.org/officeDocument/2006/relationships/hyperlink" Target="https://maps.google.com/?cid=0x0:0xb94cac4db6d248c5" TargetMode="External"/><Relationship Id="rId255" Type="http://schemas.openxmlformats.org/officeDocument/2006/relationships/hyperlink" Target="https://maps.google.com/?cid=0x0:0xaf8de13451eecdcb" TargetMode="External"/><Relationship Id="rId376" Type="http://schemas.openxmlformats.org/officeDocument/2006/relationships/hyperlink" Target="http://dekoruma.com/" TargetMode="External"/><Relationship Id="rId133" Type="http://schemas.openxmlformats.org/officeDocument/2006/relationships/hyperlink" Target="https://maps.google.com/?cid=0x0:0x63bcf792a172bf00" TargetMode="External"/><Relationship Id="rId254" Type="http://schemas.openxmlformats.org/officeDocument/2006/relationships/hyperlink" Target="https://maps.google.com/?cid=0x0:0x2ffdafcfb98be682" TargetMode="External"/><Relationship Id="rId375" Type="http://schemas.openxmlformats.org/officeDocument/2006/relationships/hyperlink" Target="https://maps.google.com/?cid=0x0:0xdf35eed31199726d" TargetMode="External"/><Relationship Id="rId172" Type="http://schemas.openxmlformats.org/officeDocument/2006/relationships/hyperlink" Target="https://maps.google.com/?cid=0x0:0x2c98b6db154ba09b" TargetMode="External"/><Relationship Id="rId293" Type="http://schemas.openxmlformats.org/officeDocument/2006/relationships/hyperlink" Target="https://maps.google.com/?cid=0x0:0x2f86c9fbefee99f9" TargetMode="External"/><Relationship Id="rId171" Type="http://schemas.openxmlformats.org/officeDocument/2006/relationships/hyperlink" Target="http://rumah123.com/" TargetMode="External"/><Relationship Id="rId292" Type="http://schemas.openxmlformats.org/officeDocument/2006/relationships/hyperlink" Target="http://balivillashub.com/" TargetMode="External"/><Relationship Id="rId170" Type="http://schemas.openxmlformats.org/officeDocument/2006/relationships/hyperlink" Target="https://maps.google.com/?cid=0x0:0x36695c6f600f8317" TargetMode="External"/><Relationship Id="rId291" Type="http://schemas.openxmlformats.org/officeDocument/2006/relationships/hyperlink" Target="https://maps.google.com/?cid=0x0:0x9996a593a4445ee" TargetMode="External"/><Relationship Id="rId290" Type="http://schemas.openxmlformats.org/officeDocument/2006/relationships/hyperlink" Target="https://maps.google.com/?cid=0x0:0xdcd3df5c93ed0555" TargetMode="External"/><Relationship Id="rId165" Type="http://schemas.openxmlformats.org/officeDocument/2006/relationships/hyperlink" Target="https://maps.google.com/?cid=0x0:0x4017060aea1215e5" TargetMode="External"/><Relationship Id="rId286" Type="http://schemas.openxmlformats.org/officeDocument/2006/relationships/hyperlink" Target="http://dekoruma.com/" TargetMode="External"/><Relationship Id="rId164" Type="http://schemas.openxmlformats.org/officeDocument/2006/relationships/hyperlink" Target="http://rumah123.com/" TargetMode="External"/><Relationship Id="rId285" Type="http://schemas.openxmlformats.org/officeDocument/2006/relationships/hyperlink" Target="https://maps.google.com/?cid=0x0:0x8704aa535211f89c" TargetMode="External"/><Relationship Id="rId163" Type="http://schemas.openxmlformats.org/officeDocument/2006/relationships/hyperlink" Target="https://maps.google.com/?cid=0x0:0xd219e2f32eeabec1" TargetMode="External"/><Relationship Id="rId284" Type="http://schemas.openxmlformats.org/officeDocument/2006/relationships/hyperlink" Target="http://huni.id/" TargetMode="External"/><Relationship Id="rId162" Type="http://schemas.openxmlformats.org/officeDocument/2006/relationships/hyperlink" Target="http://99.co/" TargetMode="External"/><Relationship Id="rId283" Type="http://schemas.openxmlformats.org/officeDocument/2006/relationships/hyperlink" Target="https://maps.google.com/?cid=0x0:0x16388bfba11b678c" TargetMode="External"/><Relationship Id="rId169" Type="http://schemas.openxmlformats.org/officeDocument/2006/relationships/hyperlink" Target="https://maps.google.com/?cid=0x0:0xe3ec59e417a218c" TargetMode="External"/><Relationship Id="rId168" Type="http://schemas.openxmlformats.org/officeDocument/2006/relationships/hyperlink" Target="http://dekoruma.com/" TargetMode="External"/><Relationship Id="rId289" Type="http://schemas.openxmlformats.org/officeDocument/2006/relationships/hyperlink" Target="http://rumah123.com/" TargetMode="External"/><Relationship Id="rId167" Type="http://schemas.openxmlformats.org/officeDocument/2006/relationships/hyperlink" Target="https://maps.google.com/?cid=0x0:0xf6a50cac12aab671" TargetMode="External"/><Relationship Id="rId288" Type="http://schemas.openxmlformats.org/officeDocument/2006/relationships/hyperlink" Target="https://maps.google.com/?cid=0x0:0x5bfa9ec2e9e8bb9" TargetMode="External"/><Relationship Id="rId166" Type="http://schemas.openxmlformats.org/officeDocument/2006/relationships/hyperlink" Target="http://raywhite.co.id/" TargetMode="External"/><Relationship Id="rId287" Type="http://schemas.openxmlformats.org/officeDocument/2006/relationships/hyperlink" Target="https://maps.google.com/?cid=0x0:0x8516956c8bbbe237" TargetMode="External"/><Relationship Id="rId161" Type="http://schemas.openxmlformats.org/officeDocument/2006/relationships/hyperlink" Target="https://maps.google.com/?cid=0x0:0xe484eacf26fc0154" TargetMode="External"/><Relationship Id="rId282" Type="http://schemas.openxmlformats.org/officeDocument/2006/relationships/hyperlink" Target="http://lamudi.co.id/" TargetMode="External"/><Relationship Id="rId160" Type="http://schemas.openxmlformats.org/officeDocument/2006/relationships/hyperlink" Target="https://maps.google.com/?cid=0x0:0xe837155cb01fbf8f" TargetMode="External"/><Relationship Id="rId281" Type="http://schemas.openxmlformats.org/officeDocument/2006/relationships/hyperlink" Target="https://maps.google.com/?cid=0x0:0xfe735c4b40608546" TargetMode="External"/><Relationship Id="rId280" Type="http://schemas.openxmlformats.org/officeDocument/2006/relationships/hyperlink" Target="http://raywhite.co.id/" TargetMode="External"/><Relationship Id="rId159" Type="http://schemas.openxmlformats.org/officeDocument/2006/relationships/hyperlink" Target="http://raywhite.co.id/" TargetMode="External"/><Relationship Id="rId154" Type="http://schemas.openxmlformats.org/officeDocument/2006/relationships/hyperlink" Target="https://maps.google.com/?cid=0x0:0xd605eb43aedfb2f8" TargetMode="External"/><Relationship Id="rId275" Type="http://schemas.openxmlformats.org/officeDocument/2006/relationships/hyperlink" Target="https://maps.google.com/?cid=0x0:0x3261da2a8f90cbda" TargetMode="External"/><Relationship Id="rId396" Type="http://schemas.openxmlformats.org/officeDocument/2006/relationships/hyperlink" Target="https://maps.google.com/?cid=0x0:0xa2b6b7fc2be35a7d" TargetMode="External"/><Relationship Id="rId153" Type="http://schemas.openxmlformats.org/officeDocument/2006/relationships/hyperlink" Target="http://raywhite.co.id/" TargetMode="External"/><Relationship Id="rId274" Type="http://schemas.openxmlformats.org/officeDocument/2006/relationships/hyperlink" Target="http://raywhite.co.id/" TargetMode="External"/><Relationship Id="rId395" Type="http://schemas.openxmlformats.org/officeDocument/2006/relationships/hyperlink" Target="http://dekoruma.com/" TargetMode="External"/><Relationship Id="rId152" Type="http://schemas.openxmlformats.org/officeDocument/2006/relationships/hyperlink" Target="https://maps.google.com/?cid=0x0:0x4191c2a8605aaaa4" TargetMode="External"/><Relationship Id="rId273" Type="http://schemas.openxmlformats.org/officeDocument/2006/relationships/hyperlink" Target="https://maps.google.com/?cid=0x0:0xcd2706320fa6427f" TargetMode="External"/><Relationship Id="rId394" Type="http://schemas.openxmlformats.org/officeDocument/2006/relationships/hyperlink" Target="https://maps.google.com/?cid=0x0:0xd849b5814d65682e" TargetMode="External"/><Relationship Id="rId151" Type="http://schemas.openxmlformats.org/officeDocument/2006/relationships/hyperlink" Target="http://rumah123.com/" TargetMode="External"/><Relationship Id="rId272" Type="http://schemas.openxmlformats.org/officeDocument/2006/relationships/hyperlink" Target="http://dekoruma.com/" TargetMode="External"/><Relationship Id="rId393" Type="http://schemas.openxmlformats.org/officeDocument/2006/relationships/hyperlink" Target="https://maps.google.com/?cid=0x0:0x50cf5e532abf6aae" TargetMode="External"/><Relationship Id="rId158" Type="http://schemas.openxmlformats.org/officeDocument/2006/relationships/hyperlink" Target="https://maps.google.com/?cid=0x0:0xef04fa228b5363f3" TargetMode="External"/><Relationship Id="rId279" Type="http://schemas.openxmlformats.org/officeDocument/2006/relationships/hyperlink" Target="https://maps.google.com/?cid=0x0:0xe740a0c9ced531dc" TargetMode="External"/><Relationship Id="rId157" Type="http://schemas.openxmlformats.org/officeDocument/2006/relationships/hyperlink" Target="http://dekoruma.com/" TargetMode="External"/><Relationship Id="rId278" Type="http://schemas.openxmlformats.org/officeDocument/2006/relationships/hyperlink" Target="https://maps.google.com/?cid=0x0:0x3937dc336ebf2f74" TargetMode="External"/><Relationship Id="rId399" Type="http://schemas.openxmlformats.org/officeDocument/2006/relationships/hyperlink" Target="http://dekoruma.com/" TargetMode="External"/><Relationship Id="rId156" Type="http://schemas.openxmlformats.org/officeDocument/2006/relationships/hyperlink" Target="https://maps.google.com/?cid=0x0:0xcfa6a847cdeca4f" TargetMode="External"/><Relationship Id="rId277" Type="http://schemas.openxmlformats.org/officeDocument/2006/relationships/hyperlink" Target="https://maps.google.com/?cid=0x0:0xc9683d0edf1b3085" TargetMode="External"/><Relationship Id="rId398" Type="http://schemas.openxmlformats.org/officeDocument/2006/relationships/hyperlink" Target="https://maps.google.com/?cid=0x0:0x64314ce96c8638ba" TargetMode="External"/><Relationship Id="rId155" Type="http://schemas.openxmlformats.org/officeDocument/2006/relationships/hyperlink" Target="http://99.co/" TargetMode="External"/><Relationship Id="rId276" Type="http://schemas.openxmlformats.org/officeDocument/2006/relationships/hyperlink" Target="http://lamudi.co.id/" TargetMode="External"/><Relationship Id="rId397" Type="http://schemas.openxmlformats.org/officeDocument/2006/relationships/hyperlink" Target="https://maps.google.com/?cid=0x0:0x49ef2cc586cbae01" TargetMode="External"/><Relationship Id="rId40" Type="http://schemas.openxmlformats.org/officeDocument/2006/relationships/hyperlink" Target="https://maps.google.com/?cid=0x0:0x78dcc5a18c21955a" TargetMode="External"/><Relationship Id="rId42" Type="http://schemas.openxmlformats.org/officeDocument/2006/relationships/hyperlink" Target="http://99.co/" TargetMode="External"/><Relationship Id="rId41" Type="http://schemas.openxmlformats.org/officeDocument/2006/relationships/hyperlink" Target="https://maps.google.com/?cid=0x0:0x84a2ca1f13844bb2" TargetMode="External"/><Relationship Id="rId44" Type="http://schemas.openxmlformats.org/officeDocument/2006/relationships/hyperlink" Target="https://maps.google.com/?cid=0x0:0xaa3f67c6d9374c9a" TargetMode="External"/><Relationship Id="rId43" Type="http://schemas.openxmlformats.org/officeDocument/2006/relationships/hyperlink" Target="https://maps.google.com/?cid=0x0:0x49f10b2a49c835bc" TargetMode="External"/><Relationship Id="rId46" Type="http://schemas.openxmlformats.org/officeDocument/2006/relationships/hyperlink" Target="https://maps.google.com/?cid=0x0:0x69b6e0f078740ee9" TargetMode="External"/><Relationship Id="rId45" Type="http://schemas.openxmlformats.org/officeDocument/2006/relationships/hyperlink" Target="https://maps.google.com/?cid=0x0:0xdc54d684eded85a8" TargetMode="External"/><Relationship Id="rId48" Type="http://schemas.openxmlformats.org/officeDocument/2006/relationships/hyperlink" Target="https://maps.google.com/?cid=0x0:0x15713262bce41f12" TargetMode="External"/><Relationship Id="rId47" Type="http://schemas.openxmlformats.org/officeDocument/2006/relationships/hyperlink" Target="https://maps.google.com/?cid=0x0:0xa9e73e8379f66730" TargetMode="External"/><Relationship Id="rId49" Type="http://schemas.openxmlformats.org/officeDocument/2006/relationships/hyperlink" Target="https://maps.google.com/?cid=0x0:0xed5e0818831c9922" TargetMode="External"/><Relationship Id="rId31" Type="http://schemas.openxmlformats.org/officeDocument/2006/relationships/hyperlink" Target="https://maps.google.com/?cid=0x0:0xa17ef068bef453cc" TargetMode="External"/><Relationship Id="rId30" Type="http://schemas.openxmlformats.org/officeDocument/2006/relationships/hyperlink" Target="http://rumah123.com/" TargetMode="External"/><Relationship Id="rId33" Type="http://schemas.openxmlformats.org/officeDocument/2006/relationships/hyperlink" Target="https://maps.google.com/?cid=0x0:0xbdc9c6422016093e" TargetMode="External"/><Relationship Id="rId32" Type="http://schemas.openxmlformats.org/officeDocument/2006/relationships/hyperlink" Target="http://permatahijaumansion.co.id/" TargetMode="External"/><Relationship Id="rId35" Type="http://schemas.openxmlformats.org/officeDocument/2006/relationships/hyperlink" Target="http://rumah123.com/" TargetMode="External"/><Relationship Id="rId34" Type="http://schemas.openxmlformats.org/officeDocument/2006/relationships/hyperlink" Target="https://maps.google.com/?cid=0x0:0x1a7d485408314040" TargetMode="External"/><Relationship Id="rId37" Type="http://schemas.openxmlformats.org/officeDocument/2006/relationships/hyperlink" Target="https://maps.google.com/?cid=0x0:0xf4dc8e65a9a825be" TargetMode="External"/><Relationship Id="rId36" Type="http://schemas.openxmlformats.org/officeDocument/2006/relationships/hyperlink" Target="https://maps.google.com/?cid=0x0:0xb5fdc38a43d993e9" TargetMode="External"/><Relationship Id="rId39" Type="http://schemas.openxmlformats.org/officeDocument/2006/relationships/hyperlink" Target="https://maps.google.com/?cid=0x0:0xb504c8b9362f0166" TargetMode="External"/><Relationship Id="rId38" Type="http://schemas.openxmlformats.org/officeDocument/2006/relationships/hyperlink" Target="https://maps.google.com/?cid=0x0:0xd4fede2ea27d2e4d" TargetMode="External"/><Relationship Id="rId20" Type="http://schemas.openxmlformats.org/officeDocument/2006/relationships/hyperlink" Target="https://maps.google.com/?cid=0x0:0x3343c8034928d5d0" TargetMode="External"/><Relationship Id="rId22" Type="http://schemas.openxmlformats.org/officeDocument/2006/relationships/hyperlink" Target="http://rumah123.com/" TargetMode="External"/><Relationship Id="rId21" Type="http://schemas.openxmlformats.org/officeDocument/2006/relationships/hyperlink" Target="https://maps.google.com/?cid=0x0:0xdf3b95db7d7b17f0" TargetMode="External"/><Relationship Id="rId24" Type="http://schemas.openxmlformats.org/officeDocument/2006/relationships/hyperlink" Target="https://maps.google.com/?cid=0x0:0x2d191101fe00f5d1" TargetMode="External"/><Relationship Id="rId23" Type="http://schemas.openxmlformats.org/officeDocument/2006/relationships/hyperlink" Target="https://maps.google.com/?cid=0x0:0x308ce0044d4d09c9" TargetMode="External"/><Relationship Id="rId409" Type="http://schemas.openxmlformats.org/officeDocument/2006/relationships/hyperlink" Target="https://maps.google.com/?cid=0x0:0xdf25aa267edceb8e" TargetMode="External"/><Relationship Id="rId404" Type="http://schemas.openxmlformats.org/officeDocument/2006/relationships/hyperlink" Target="https://maps.google.com/?cid=0x0:0xfe615d2972c2191a" TargetMode="External"/><Relationship Id="rId403" Type="http://schemas.openxmlformats.org/officeDocument/2006/relationships/hyperlink" Target="http://raywhite.co.id/" TargetMode="External"/><Relationship Id="rId402" Type="http://schemas.openxmlformats.org/officeDocument/2006/relationships/hyperlink" Target="https://maps.google.com/?cid=0x0:0xc2c326488632d29a" TargetMode="External"/><Relationship Id="rId401" Type="http://schemas.openxmlformats.org/officeDocument/2006/relationships/hyperlink" Target="http://raywhite.co.id/" TargetMode="External"/><Relationship Id="rId408" Type="http://schemas.openxmlformats.org/officeDocument/2006/relationships/hyperlink" Target="http://rumah123.com/" TargetMode="External"/><Relationship Id="rId407" Type="http://schemas.openxmlformats.org/officeDocument/2006/relationships/hyperlink" Target="https://maps.google.com/?cid=0x0:0x5b84232751a507f7" TargetMode="External"/><Relationship Id="rId406" Type="http://schemas.openxmlformats.org/officeDocument/2006/relationships/hyperlink" Target="http://rumah123.com/" TargetMode="External"/><Relationship Id="rId405" Type="http://schemas.openxmlformats.org/officeDocument/2006/relationships/hyperlink" Target="https://maps.google.com/?cid=0x0:0xf47d730ce97d2692" TargetMode="External"/><Relationship Id="rId26" Type="http://schemas.openxmlformats.org/officeDocument/2006/relationships/hyperlink" Target="https://maps.google.com/?cid=0x0:0xc6793a199b66becd" TargetMode="External"/><Relationship Id="rId25" Type="http://schemas.openxmlformats.org/officeDocument/2006/relationships/hyperlink" Target="http://rumah123.com/" TargetMode="External"/><Relationship Id="rId28" Type="http://schemas.openxmlformats.org/officeDocument/2006/relationships/hyperlink" Target="https://maps.google.com/?cid=0x0:0xd3f4496a3004a20d" TargetMode="External"/><Relationship Id="rId27" Type="http://schemas.openxmlformats.org/officeDocument/2006/relationships/hyperlink" Target="http://raywhite.co.id/" TargetMode="External"/><Relationship Id="rId400" Type="http://schemas.openxmlformats.org/officeDocument/2006/relationships/hyperlink" Target="https://maps.google.com/?cid=0x0:0xad3cb50d5174a2d3" TargetMode="External"/><Relationship Id="rId29" Type="http://schemas.openxmlformats.org/officeDocument/2006/relationships/hyperlink" Target="https://maps.google.com/?cid=0x0:0x21f2cf3125612dd9" TargetMode="External"/><Relationship Id="rId11" Type="http://schemas.openxmlformats.org/officeDocument/2006/relationships/hyperlink" Target="https://maps.google.com/?cid=0x0:0xefc65afd132ee48c" TargetMode="External"/><Relationship Id="rId10" Type="http://schemas.openxmlformats.org/officeDocument/2006/relationships/hyperlink" Target="http://99.co/" TargetMode="External"/><Relationship Id="rId13" Type="http://schemas.openxmlformats.org/officeDocument/2006/relationships/hyperlink" Target="http://rumah123.com/" TargetMode="External"/><Relationship Id="rId12" Type="http://schemas.openxmlformats.org/officeDocument/2006/relationships/hyperlink" Target="https://maps.google.com/?cid=0x0:0xb1f67eccd4d4474b" TargetMode="External"/><Relationship Id="rId15" Type="http://schemas.openxmlformats.org/officeDocument/2006/relationships/hyperlink" Target="https://maps.google.com/?cid=0x0:0x2f85bf1dd3341995" TargetMode="External"/><Relationship Id="rId14" Type="http://schemas.openxmlformats.org/officeDocument/2006/relationships/hyperlink" Target="https://maps.google.com/?cid=0x0:0x9502f47eb8381d75" TargetMode="External"/><Relationship Id="rId17" Type="http://schemas.openxmlformats.org/officeDocument/2006/relationships/hyperlink" Target="https://maps.google.com/?cid=0x0:0x6eaf17ea930dff10" TargetMode="External"/><Relationship Id="rId16" Type="http://schemas.openxmlformats.org/officeDocument/2006/relationships/hyperlink" Target="https://maps.google.com/?cid=0x0:0x2e8ddc0ba471ecb1" TargetMode="External"/><Relationship Id="rId19" Type="http://schemas.openxmlformats.org/officeDocument/2006/relationships/hyperlink" Target="https://maps.google.com/?cid=0x0:0x25fd3e1448e378dd" TargetMode="External"/><Relationship Id="rId18" Type="http://schemas.openxmlformats.org/officeDocument/2006/relationships/hyperlink" Target="https://maps.google.com/?cid=0x0:0x6f5e73c022ed3b66" TargetMode="External"/><Relationship Id="rId84" Type="http://schemas.openxmlformats.org/officeDocument/2006/relationships/hyperlink" Target="https://maps.google.com/?cid=0x0:0xf84bff7ecefdc4b9" TargetMode="External"/><Relationship Id="rId83" Type="http://schemas.openxmlformats.org/officeDocument/2006/relationships/hyperlink" Target="http://dekoruma.com/" TargetMode="External"/><Relationship Id="rId86" Type="http://schemas.openxmlformats.org/officeDocument/2006/relationships/hyperlink" Target="https://maps.google.com/?cid=0x0:0x1fe8ecd1c9eb1c3d" TargetMode="External"/><Relationship Id="rId85" Type="http://schemas.openxmlformats.org/officeDocument/2006/relationships/hyperlink" Target="http://rumah123.com/" TargetMode="External"/><Relationship Id="rId88" Type="http://schemas.openxmlformats.org/officeDocument/2006/relationships/hyperlink" Target="https://maps.google.com/?cid=0x0:0x312ec1bc0ea0726c" TargetMode="External"/><Relationship Id="rId87" Type="http://schemas.openxmlformats.org/officeDocument/2006/relationships/hyperlink" Target="http://rumah123.com/" TargetMode="External"/><Relationship Id="rId89" Type="http://schemas.openxmlformats.org/officeDocument/2006/relationships/hyperlink" Target="https://maps.google.com/?cid=0x0:0x8c12f065eb0d9a22" TargetMode="External"/><Relationship Id="rId80" Type="http://schemas.openxmlformats.org/officeDocument/2006/relationships/hyperlink" Target="https://maps.google.com/?cid=0x0:0xa8f886af3933c9f0" TargetMode="External"/><Relationship Id="rId82" Type="http://schemas.openxmlformats.org/officeDocument/2006/relationships/hyperlink" Target="https://maps.google.com/?cid=0x0:0xcc28f8ef49abccdf" TargetMode="External"/><Relationship Id="rId81" Type="http://schemas.openxmlformats.org/officeDocument/2006/relationships/hyperlink" Target="https://maps.google.com/?cid=0x0:0xf0d9a42d60126067" TargetMode="External"/><Relationship Id="rId73" Type="http://schemas.openxmlformats.org/officeDocument/2006/relationships/hyperlink" Target="http://raywhite.co.id/" TargetMode="External"/><Relationship Id="rId72" Type="http://schemas.openxmlformats.org/officeDocument/2006/relationships/hyperlink" Target="https://maps.google.com/?cid=0x0:0x784243d5218a05ba" TargetMode="External"/><Relationship Id="rId75" Type="http://schemas.openxmlformats.org/officeDocument/2006/relationships/hyperlink" Target="http://rumah123.com/" TargetMode="External"/><Relationship Id="rId74" Type="http://schemas.openxmlformats.org/officeDocument/2006/relationships/hyperlink" Target="https://maps.google.com/?cid=0x0:0x1713fcb914bae64d" TargetMode="External"/><Relationship Id="rId77" Type="http://schemas.openxmlformats.org/officeDocument/2006/relationships/hyperlink" Target="http://rumah123.com/" TargetMode="External"/><Relationship Id="rId76" Type="http://schemas.openxmlformats.org/officeDocument/2006/relationships/hyperlink" Target="https://maps.google.com/?cid=0x0:0xfb200a15e3f94503" TargetMode="External"/><Relationship Id="rId79" Type="http://schemas.openxmlformats.org/officeDocument/2006/relationships/hyperlink" Target="http://rumah123.com/" TargetMode="External"/><Relationship Id="rId78" Type="http://schemas.openxmlformats.org/officeDocument/2006/relationships/hyperlink" Target="https://maps.google.com/?cid=0x0:0x29c7063f88ae4897" TargetMode="External"/><Relationship Id="rId71" Type="http://schemas.openxmlformats.org/officeDocument/2006/relationships/hyperlink" Target="https://maps.google.com/?cid=0x0:0xf45b16ab1669fc5d" TargetMode="External"/><Relationship Id="rId70" Type="http://schemas.openxmlformats.org/officeDocument/2006/relationships/hyperlink" Target="http://raywhite.co.id/" TargetMode="External"/><Relationship Id="rId62" Type="http://schemas.openxmlformats.org/officeDocument/2006/relationships/hyperlink" Target="https://maps.google.com/?cid=0x0:0x1fd4a2d058dd8f5c" TargetMode="External"/><Relationship Id="rId61" Type="http://schemas.openxmlformats.org/officeDocument/2006/relationships/hyperlink" Target="http://rumah123.com/" TargetMode="External"/><Relationship Id="rId64" Type="http://schemas.openxmlformats.org/officeDocument/2006/relationships/hyperlink" Target="https://maps.google.com/?cid=0x0:0xc36ebd06a5760f2e" TargetMode="External"/><Relationship Id="rId63" Type="http://schemas.openxmlformats.org/officeDocument/2006/relationships/hyperlink" Target="http://raywhite.co.id/" TargetMode="External"/><Relationship Id="rId66" Type="http://schemas.openxmlformats.org/officeDocument/2006/relationships/hyperlink" Target="https://maps.google.com/?cid=0x0:0xb212fbdd0fca2886" TargetMode="External"/><Relationship Id="rId65" Type="http://schemas.openxmlformats.org/officeDocument/2006/relationships/hyperlink" Target="http://rumah123.com/" TargetMode="External"/><Relationship Id="rId68" Type="http://schemas.openxmlformats.org/officeDocument/2006/relationships/hyperlink" Target="https://maps.google.com/?cid=0x0:0xfac806ede55b747d" TargetMode="External"/><Relationship Id="rId67" Type="http://schemas.openxmlformats.org/officeDocument/2006/relationships/hyperlink" Target="http://rumah123.com/" TargetMode="External"/><Relationship Id="rId60" Type="http://schemas.openxmlformats.org/officeDocument/2006/relationships/hyperlink" Target="https://maps.google.com/?cid=0x0:0xc064ee74022e19a3" TargetMode="External"/><Relationship Id="rId69" Type="http://schemas.openxmlformats.org/officeDocument/2006/relationships/hyperlink" Target="https://maps.google.com/?cid=0x0:0x2725522e541868f7" TargetMode="External"/><Relationship Id="rId51" Type="http://schemas.openxmlformats.org/officeDocument/2006/relationships/hyperlink" Target="https://maps.google.com/?cid=0x0:0xf8c97831e5ddeda7" TargetMode="External"/><Relationship Id="rId50" Type="http://schemas.openxmlformats.org/officeDocument/2006/relationships/hyperlink" Target="https://maps.google.com/?cid=0x0:0xbbaa3be11fbfb99a" TargetMode="External"/><Relationship Id="rId53" Type="http://schemas.openxmlformats.org/officeDocument/2006/relationships/hyperlink" Target="https://maps.google.com/?cid=0x0:0x1d60f0f431d6dae9" TargetMode="External"/><Relationship Id="rId52" Type="http://schemas.openxmlformats.org/officeDocument/2006/relationships/hyperlink" Target="https://maps.google.com/?cid=0x0:0xb175e0da5736be42" TargetMode="External"/><Relationship Id="rId55" Type="http://schemas.openxmlformats.org/officeDocument/2006/relationships/hyperlink" Target="https://maps.google.com/?cid=0x0:0x532b33b01e03127d" TargetMode="External"/><Relationship Id="rId54" Type="http://schemas.openxmlformats.org/officeDocument/2006/relationships/hyperlink" Target="http://lamudi.co.id/" TargetMode="External"/><Relationship Id="rId57" Type="http://schemas.openxmlformats.org/officeDocument/2006/relationships/hyperlink" Target="https://maps.google.com/?cid=0x0:0xfbecfa4f3b96eab7" TargetMode="External"/><Relationship Id="rId56" Type="http://schemas.openxmlformats.org/officeDocument/2006/relationships/hyperlink" Target="https://maps.google.com/?cid=0x0:0x4bd0e1bbd644bee1" TargetMode="External"/><Relationship Id="rId59" Type="http://schemas.openxmlformats.org/officeDocument/2006/relationships/hyperlink" Target="http://rumah123.com/" TargetMode="External"/><Relationship Id="rId58" Type="http://schemas.openxmlformats.org/officeDocument/2006/relationships/hyperlink" Target="https://maps.google.com/?cid=0x0:0xa64afd3a2e6289b3" TargetMode="External"/><Relationship Id="rId107" Type="http://schemas.openxmlformats.org/officeDocument/2006/relationships/hyperlink" Target="http://rumah123.com/" TargetMode="External"/><Relationship Id="rId228" Type="http://schemas.openxmlformats.org/officeDocument/2006/relationships/hyperlink" Target="https://maps.google.com/?cid=0x0:0x623f2879df0578a0" TargetMode="External"/><Relationship Id="rId349" Type="http://schemas.openxmlformats.org/officeDocument/2006/relationships/hyperlink" Target="https://maps.google.com/?cid=0x0:0x3d94c7a689259e4d" TargetMode="External"/><Relationship Id="rId106" Type="http://schemas.openxmlformats.org/officeDocument/2006/relationships/hyperlink" Target="https://maps.google.com/?cid=0x0:0xe5b04f64d183119a" TargetMode="External"/><Relationship Id="rId227" Type="http://schemas.openxmlformats.org/officeDocument/2006/relationships/hyperlink" Target="http://dekoruma.com/" TargetMode="External"/><Relationship Id="rId348" Type="http://schemas.openxmlformats.org/officeDocument/2006/relationships/hyperlink" Target="https://maps.google.com/?cid=0x0:0x8eb877ab5adb3db2" TargetMode="External"/><Relationship Id="rId469" Type="http://schemas.openxmlformats.org/officeDocument/2006/relationships/hyperlink" Target="https://maps.google.com/?cid=0x0:0x1a31942dbf4cda93" TargetMode="External"/><Relationship Id="rId105" Type="http://schemas.openxmlformats.org/officeDocument/2006/relationships/hyperlink" Target="https://maps.google.com/?cid=0x0:0xb69963340570f294" TargetMode="External"/><Relationship Id="rId226" Type="http://schemas.openxmlformats.org/officeDocument/2006/relationships/hyperlink" Target="https://maps.google.com/?cid=0x0:0xae9fb872025cb20" TargetMode="External"/><Relationship Id="rId347" Type="http://schemas.openxmlformats.org/officeDocument/2006/relationships/hyperlink" Target="http://rumah123.com/" TargetMode="External"/><Relationship Id="rId468" Type="http://schemas.openxmlformats.org/officeDocument/2006/relationships/hyperlink" Target="https://maps.google.com/?cid=0x0:0xb182269d48c12e2c" TargetMode="External"/><Relationship Id="rId104" Type="http://schemas.openxmlformats.org/officeDocument/2006/relationships/hyperlink" Target="http://rumah123.com/" TargetMode="External"/><Relationship Id="rId225" Type="http://schemas.openxmlformats.org/officeDocument/2006/relationships/hyperlink" Target="http://rumah123.com/" TargetMode="External"/><Relationship Id="rId346" Type="http://schemas.openxmlformats.org/officeDocument/2006/relationships/hyperlink" Target="https://maps.google.com/?cid=0x0:0x11e471c63b9c06e4" TargetMode="External"/><Relationship Id="rId467" Type="http://schemas.openxmlformats.org/officeDocument/2006/relationships/hyperlink" Target="https://maps.google.com/?cid=0x0:0xb1654d14ccbf419b" TargetMode="External"/><Relationship Id="rId109" Type="http://schemas.openxmlformats.org/officeDocument/2006/relationships/hyperlink" Target="http://huni.id/" TargetMode="External"/><Relationship Id="rId108" Type="http://schemas.openxmlformats.org/officeDocument/2006/relationships/hyperlink" Target="https://maps.google.com/?cid=0x0:0x1a009d141037b188" TargetMode="External"/><Relationship Id="rId229" Type="http://schemas.openxmlformats.org/officeDocument/2006/relationships/hyperlink" Target="http://dekoruma.com/" TargetMode="External"/><Relationship Id="rId220" Type="http://schemas.openxmlformats.org/officeDocument/2006/relationships/hyperlink" Target="https://maps.google.com/?cid=0x0:0x14fbd8aae1179c16" TargetMode="External"/><Relationship Id="rId341" Type="http://schemas.openxmlformats.org/officeDocument/2006/relationships/hyperlink" Target="https://maps.google.com/?cid=0x0:0xaca6a9194241662f" TargetMode="External"/><Relationship Id="rId462" Type="http://schemas.openxmlformats.org/officeDocument/2006/relationships/hyperlink" Target="http://rumah123.com/" TargetMode="External"/><Relationship Id="rId340" Type="http://schemas.openxmlformats.org/officeDocument/2006/relationships/hyperlink" Target="https://maps.google.com/?cid=0x0:0xc412d0b61b0a2fef" TargetMode="External"/><Relationship Id="rId461" Type="http://schemas.openxmlformats.org/officeDocument/2006/relationships/hyperlink" Target="https://maps.google.com/?cid=0x0:0xa6004802951e447e" TargetMode="External"/><Relationship Id="rId460" Type="http://schemas.openxmlformats.org/officeDocument/2006/relationships/hyperlink" Target="http://lamudi.co.id/" TargetMode="External"/><Relationship Id="rId103" Type="http://schemas.openxmlformats.org/officeDocument/2006/relationships/hyperlink" Target="https://maps.google.com/?cid=0x0:0x6961628d04f0de42" TargetMode="External"/><Relationship Id="rId224" Type="http://schemas.openxmlformats.org/officeDocument/2006/relationships/hyperlink" Target="https://maps.google.com/?cid=0x0:0x392b5e989cc75b7a" TargetMode="External"/><Relationship Id="rId345" Type="http://schemas.openxmlformats.org/officeDocument/2006/relationships/hyperlink" Target="https://maps.google.com/?cid=0x0:0xeb3076ef11dd105a" TargetMode="External"/><Relationship Id="rId466" Type="http://schemas.openxmlformats.org/officeDocument/2006/relationships/hyperlink" Target="http://rumah123.com/" TargetMode="External"/><Relationship Id="rId102" Type="http://schemas.openxmlformats.org/officeDocument/2006/relationships/hyperlink" Target="http://pinhome.id/" TargetMode="External"/><Relationship Id="rId223" Type="http://schemas.openxmlformats.org/officeDocument/2006/relationships/hyperlink" Target="http://dekoruma.com/" TargetMode="External"/><Relationship Id="rId344" Type="http://schemas.openxmlformats.org/officeDocument/2006/relationships/hyperlink" Target="https://maps.google.com/?cid=0x0:0xa8aeb37e67168b68" TargetMode="External"/><Relationship Id="rId465" Type="http://schemas.openxmlformats.org/officeDocument/2006/relationships/hyperlink" Target="https://maps.google.com/?cid=0x0:0x50da32d9cf2e5c14" TargetMode="External"/><Relationship Id="rId101" Type="http://schemas.openxmlformats.org/officeDocument/2006/relationships/hyperlink" Target="https://maps.google.com/?cid=0x0:0x7954717ade90d347" TargetMode="External"/><Relationship Id="rId222" Type="http://schemas.openxmlformats.org/officeDocument/2006/relationships/hyperlink" Target="https://maps.google.com/?cid=0x0:0xd5229ff53fded4a0" TargetMode="External"/><Relationship Id="rId343" Type="http://schemas.openxmlformats.org/officeDocument/2006/relationships/hyperlink" Target="https://maps.google.com/?cid=0x0:0x5c854688feceaae" TargetMode="External"/><Relationship Id="rId464" Type="http://schemas.openxmlformats.org/officeDocument/2006/relationships/hyperlink" Target="http://dekoruma.com/" TargetMode="External"/><Relationship Id="rId100" Type="http://schemas.openxmlformats.org/officeDocument/2006/relationships/hyperlink" Target="http://dekoruma.com/" TargetMode="External"/><Relationship Id="rId221" Type="http://schemas.openxmlformats.org/officeDocument/2006/relationships/hyperlink" Target="https://maps.google.com/?cid=0x0:0xb994be67b5045cd0" TargetMode="External"/><Relationship Id="rId342" Type="http://schemas.openxmlformats.org/officeDocument/2006/relationships/hyperlink" Target="http://rumah123.com/" TargetMode="External"/><Relationship Id="rId463" Type="http://schemas.openxmlformats.org/officeDocument/2006/relationships/hyperlink" Target="https://maps.google.com/?cid=0x0:0x61bf4daa0eb7f969" TargetMode="External"/><Relationship Id="rId217" Type="http://schemas.openxmlformats.org/officeDocument/2006/relationships/hyperlink" Target="http://rumah123.com/" TargetMode="External"/><Relationship Id="rId338" Type="http://schemas.openxmlformats.org/officeDocument/2006/relationships/hyperlink" Target="http://rumah123.com/" TargetMode="External"/><Relationship Id="rId459" Type="http://schemas.openxmlformats.org/officeDocument/2006/relationships/hyperlink" Target="https://maps.google.com/?cid=0x0:0x3382e1a7a36c0b13" TargetMode="External"/><Relationship Id="rId216" Type="http://schemas.openxmlformats.org/officeDocument/2006/relationships/hyperlink" Target="https://maps.google.com/?cid=0x0:0x7cbec4ca3e4b0f52" TargetMode="External"/><Relationship Id="rId337" Type="http://schemas.openxmlformats.org/officeDocument/2006/relationships/hyperlink" Target="https://maps.google.com/?cid=0x0:0x6548773869ff84a9" TargetMode="External"/><Relationship Id="rId458" Type="http://schemas.openxmlformats.org/officeDocument/2006/relationships/hyperlink" Target="https://maps.google.com/?cid=0x0:0xcc766635fbef6856" TargetMode="External"/><Relationship Id="rId215" Type="http://schemas.openxmlformats.org/officeDocument/2006/relationships/hyperlink" Target="http://dekoruma.com/" TargetMode="External"/><Relationship Id="rId336" Type="http://schemas.openxmlformats.org/officeDocument/2006/relationships/hyperlink" Target="http://rumah123.com/" TargetMode="External"/><Relationship Id="rId457" Type="http://schemas.openxmlformats.org/officeDocument/2006/relationships/hyperlink" Target="http://rumah123.com/" TargetMode="External"/><Relationship Id="rId214" Type="http://schemas.openxmlformats.org/officeDocument/2006/relationships/hyperlink" Target="https://maps.google.com/?cid=0x0:0xc1ba688b2c58cf1c" TargetMode="External"/><Relationship Id="rId335" Type="http://schemas.openxmlformats.org/officeDocument/2006/relationships/hyperlink" Target="https://maps.google.com/?cid=0x0:0xf64427797d7f7eee" TargetMode="External"/><Relationship Id="rId456" Type="http://schemas.openxmlformats.org/officeDocument/2006/relationships/hyperlink" Target="https://maps.google.com/?cid=0x0:0xe7727d4aef69e5b9" TargetMode="External"/><Relationship Id="rId219" Type="http://schemas.openxmlformats.org/officeDocument/2006/relationships/hyperlink" Target="http://dekoruma.com/" TargetMode="External"/><Relationship Id="rId218" Type="http://schemas.openxmlformats.org/officeDocument/2006/relationships/hyperlink" Target="https://maps.google.com/?cid=0x0:0x84d92ab450dd1785" TargetMode="External"/><Relationship Id="rId339" Type="http://schemas.openxmlformats.org/officeDocument/2006/relationships/hyperlink" Target="https://maps.google.com/?cid=0x0:0xfd43366b8cc7fd6a" TargetMode="External"/><Relationship Id="rId330" Type="http://schemas.openxmlformats.org/officeDocument/2006/relationships/hyperlink" Target="http://rumah123.com/" TargetMode="External"/><Relationship Id="rId451" Type="http://schemas.openxmlformats.org/officeDocument/2006/relationships/hyperlink" Target="https://maps.google.com/?cid=0x0:0xec024474a3ae0c60" TargetMode="External"/><Relationship Id="rId450" Type="http://schemas.openxmlformats.org/officeDocument/2006/relationships/hyperlink" Target="http://rumah123.com/" TargetMode="External"/><Relationship Id="rId213" Type="http://schemas.openxmlformats.org/officeDocument/2006/relationships/hyperlink" Target="https://maps.google.com/?cid=0x0:0x3066e82f8c2b0111" TargetMode="External"/><Relationship Id="rId334" Type="http://schemas.openxmlformats.org/officeDocument/2006/relationships/hyperlink" Target="http://rumah123.com/" TargetMode="External"/><Relationship Id="rId455" Type="http://schemas.openxmlformats.org/officeDocument/2006/relationships/hyperlink" Target="http://rumah123.com/" TargetMode="External"/><Relationship Id="rId212" Type="http://schemas.openxmlformats.org/officeDocument/2006/relationships/hyperlink" Target="https://maps.google.com/?cid=0x0:0x3883622ba111d273" TargetMode="External"/><Relationship Id="rId333" Type="http://schemas.openxmlformats.org/officeDocument/2006/relationships/hyperlink" Target="https://maps.google.com/?cid=0x0:0xe8c74322bb83e890" TargetMode="External"/><Relationship Id="rId454" Type="http://schemas.openxmlformats.org/officeDocument/2006/relationships/hyperlink" Target="https://maps.google.com/?cid=0x0:0xf6417c2fbbe57867" TargetMode="External"/><Relationship Id="rId211" Type="http://schemas.openxmlformats.org/officeDocument/2006/relationships/hyperlink" Target="http://raywhite.co.id/" TargetMode="External"/><Relationship Id="rId332" Type="http://schemas.openxmlformats.org/officeDocument/2006/relationships/hyperlink" Target="http://99.co/" TargetMode="External"/><Relationship Id="rId453" Type="http://schemas.openxmlformats.org/officeDocument/2006/relationships/hyperlink" Target="https://maps.google.com/?cid=0x0:0x2bc1394ee388380a" TargetMode="External"/><Relationship Id="rId210" Type="http://schemas.openxmlformats.org/officeDocument/2006/relationships/hyperlink" Target="https://maps.google.com/?cid=0x0:0x725518dce1331832" TargetMode="External"/><Relationship Id="rId331" Type="http://schemas.openxmlformats.org/officeDocument/2006/relationships/hyperlink" Target="https://maps.google.com/?cid=0x0:0xb71eb437cf55f3d8" TargetMode="External"/><Relationship Id="rId452" Type="http://schemas.openxmlformats.org/officeDocument/2006/relationships/hyperlink" Target="http://huni.id/" TargetMode="External"/><Relationship Id="rId370" Type="http://schemas.openxmlformats.org/officeDocument/2006/relationships/hyperlink" Target="http://dekoruma.com/" TargetMode="External"/><Relationship Id="rId129" Type="http://schemas.openxmlformats.org/officeDocument/2006/relationships/hyperlink" Target="http://99.co/" TargetMode="External"/><Relationship Id="rId128" Type="http://schemas.openxmlformats.org/officeDocument/2006/relationships/hyperlink" Target="https://maps.google.com/?cid=0x0:0x92c90df6d43064f3" TargetMode="External"/><Relationship Id="rId249" Type="http://schemas.openxmlformats.org/officeDocument/2006/relationships/hyperlink" Target="http://raywhite.co.id/" TargetMode="External"/><Relationship Id="rId127" Type="http://schemas.openxmlformats.org/officeDocument/2006/relationships/hyperlink" Target="https://maps.google.com/?cid=0x0:0xeb0d992f76eef2ce" TargetMode="External"/><Relationship Id="rId248" Type="http://schemas.openxmlformats.org/officeDocument/2006/relationships/hyperlink" Target="https://maps.google.com/?cid=0x0:0xef242dc80611f76d" TargetMode="External"/><Relationship Id="rId369" Type="http://schemas.openxmlformats.org/officeDocument/2006/relationships/hyperlink" Target="https://maps.google.com/?cid=0x0:0x395e455ec4185bdd" TargetMode="External"/><Relationship Id="rId126" Type="http://schemas.openxmlformats.org/officeDocument/2006/relationships/hyperlink" Target="https://maps.google.com/?cid=0x0:0xda5c9e400d946d58" TargetMode="External"/><Relationship Id="rId247" Type="http://schemas.openxmlformats.org/officeDocument/2006/relationships/hyperlink" Target="http://raywhite.co.id/" TargetMode="External"/><Relationship Id="rId368" Type="http://schemas.openxmlformats.org/officeDocument/2006/relationships/hyperlink" Target="https://maps.google.com/?cid=0x0:0xb72c44039b4ee089" TargetMode="External"/><Relationship Id="rId121" Type="http://schemas.openxmlformats.org/officeDocument/2006/relationships/hyperlink" Target="https://maps.google.com/?cid=0x0:0x30293a177c623fe1" TargetMode="External"/><Relationship Id="rId242" Type="http://schemas.openxmlformats.org/officeDocument/2006/relationships/hyperlink" Target="https://maps.google.com/?cid=0x0:0x4897b359272232e5" TargetMode="External"/><Relationship Id="rId363" Type="http://schemas.openxmlformats.org/officeDocument/2006/relationships/hyperlink" Target="http://huni.id/" TargetMode="External"/><Relationship Id="rId120" Type="http://schemas.openxmlformats.org/officeDocument/2006/relationships/hyperlink" Target="https://maps.google.com/?cid=0x0:0x376b5f0ae09f88c4" TargetMode="External"/><Relationship Id="rId241" Type="http://schemas.openxmlformats.org/officeDocument/2006/relationships/hyperlink" Target="https://maps.google.com/?cid=0x0:0xb8569c10d50e563b" TargetMode="External"/><Relationship Id="rId362" Type="http://schemas.openxmlformats.org/officeDocument/2006/relationships/hyperlink" Target="https://maps.google.com/?cid=0x0:0x232aed4268346d6f" TargetMode="External"/><Relationship Id="rId240" Type="http://schemas.openxmlformats.org/officeDocument/2006/relationships/hyperlink" Target="http://dekoruma.com/" TargetMode="External"/><Relationship Id="rId361" Type="http://schemas.openxmlformats.org/officeDocument/2006/relationships/hyperlink" Target="http://dekoruma.com/" TargetMode="External"/><Relationship Id="rId360" Type="http://schemas.openxmlformats.org/officeDocument/2006/relationships/hyperlink" Target="https://maps.google.com/?cid=0x0:0x492c50af770a8e92" TargetMode="External"/><Relationship Id="rId125" Type="http://schemas.openxmlformats.org/officeDocument/2006/relationships/hyperlink" Target="http://raywhite.co.id/" TargetMode="External"/><Relationship Id="rId246" Type="http://schemas.openxmlformats.org/officeDocument/2006/relationships/hyperlink" Target="https://maps.google.com/?cid=0x0:0x694e412725129635" TargetMode="External"/><Relationship Id="rId367" Type="http://schemas.openxmlformats.org/officeDocument/2006/relationships/hyperlink" Target="http://rumah123.com/" TargetMode="External"/><Relationship Id="rId124" Type="http://schemas.openxmlformats.org/officeDocument/2006/relationships/hyperlink" Target="https://maps.google.com/?cid=0x0:0xddea6d9463376d08" TargetMode="External"/><Relationship Id="rId245" Type="http://schemas.openxmlformats.org/officeDocument/2006/relationships/hyperlink" Target="http://rumah123.com/" TargetMode="External"/><Relationship Id="rId366" Type="http://schemas.openxmlformats.org/officeDocument/2006/relationships/hyperlink" Target="https://maps.google.com/?cid=0x0:0x74a017cc7434705f" TargetMode="External"/><Relationship Id="rId123" Type="http://schemas.openxmlformats.org/officeDocument/2006/relationships/hyperlink" Target="https://maps.google.com/?cid=0x0:0x4a125379a6761527" TargetMode="External"/><Relationship Id="rId244" Type="http://schemas.openxmlformats.org/officeDocument/2006/relationships/hyperlink" Target="https://maps.google.com/?cid=0x0:0x9c4a0cba21248caa" TargetMode="External"/><Relationship Id="rId365" Type="http://schemas.openxmlformats.org/officeDocument/2006/relationships/hyperlink" Target="http://dekoruma.com/" TargetMode="External"/><Relationship Id="rId122" Type="http://schemas.openxmlformats.org/officeDocument/2006/relationships/hyperlink" Target="https://maps.google.com/?cid=0x0:0x80462fdb4132d185" TargetMode="External"/><Relationship Id="rId243" Type="http://schemas.openxmlformats.org/officeDocument/2006/relationships/hyperlink" Target="http://99.co/" TargetMode="External"/><Relationship Id="rId364" Type="http://schemas.openxmlformats.org/officeDocument/2006/relationships/hyperlink" Target="https://maps.google.com/?cid=0x0:0xa241ac88176cfa1d" TargetMode="External"/><Relationship Id="rId95" Type="http://schemas.openxmlformats.org/officeDocument/2006/relationships/hyperlink" Target="https://maps.google.com/?cid=0x0:0xfe52621e1544cf5f" TargetMode="External"/><Relationship Id="rId94" Type="http://schemas.openxmlformats.org/officeDocument/2006/relationships/hyperlink" Target="https://maps.google.com/?cid=0x0:0x33be303326ff3468" TargetMode="External"/><Relationship Id="rId97" Type="http://schemas.openxmlformats.org/officeDocument/2006/relationships/hyperlink" Target="https://maps.google.com/?cid=0x0:0x9e971ae324fe390e" TargetMode="External"/><Relationship Id="rId96" Type="http://schemas.openxmlformats.org/officeDocument/2006/relationships/hyperlink" Target="http://rumah123.com/" TargetMode="External"/><Relationship Id="rId99" Type="http://schemas.openxmlformats.org/officeDocument/2006/relationships/hyperlink" Target="https://maps.google.com/?cid=0x0:0x859a2bc382175e7a" TargetMode="External"/><Relationship Id="rId98" Type="http://schemas.openxmlformats.org/officeDocument/2006/relationships/hyperlink" Target="http://rumah123.com/" TargetMode="External"/><Relationship Id="rId91" Type="http://schemas.openxmlformats.org/officeDocument/2006/relationships/hyperlink" Target="http://dekoruma.com/" TargetMode="External"/><Relationship Id="rId90" Type="http://schemas.openxmlformats.org/officeDocument/2006/relationships/hyperlink" Target="https://maps.google.com/?cid=0x0:0x50554dbe379e2d07" TargetMode="External"/><Relationship Id="rId93" Type="http://schemas.openxmlformats.org/officeDocument/2006/relationships/hyperlink" Target="https://maps.google.com/?cid=0x0:0xa5a7a1b6754355a0" TargetMode="External"/><Relationship Id="rId92" Type="http://schemas.openxmlformats.org/officeDocument/2006/relationships/hyperlink" Target="https://maps.google.com/?cid=0x0:0x4dba5abcb6942b67" TargetMode="External"/><Relationship Id="rId118" Type="http://schemas.openxmlformats.org/officeDocument/2006/relationships/hyperlink" Target="https://maps.google.com/?cid=0x0:0x7b3b4fb9dd71cfaf" TargetMode="External"/><Relationship Id="rId239" Type="http://schemas.openxmlformats.org/officeDocument/2006/relationships/hyperlink" Target="https://maps.google.com/?cid=0x0:0x9fe67bad0a9c429" TargetMode="External"/><Relationship Id="rId117" Type="http://schemas.openxmlformats.org/officeDocument/2006/relationships/hyperlink" Target="http://pinhome.id/" TargetMode="External"/><Relationship Id="rId238" Type="http://schemas.openxmlformats.org/officeDocument/2006/relationships/hyperlink" Target="https://maps.google.com/?cid=0x0:0xca657dc84d8e777c" TargetMode="External"/><Relationship Id="rId359" Type="http://schemas.openxmlformats.org/officeDocument/2006/relationships/hyperlink" Target="http://huni.id/" TargetMode="External"/><Relationship Id="rId116" Type="http://schemas.openxmlformats.org/officeDocument/2006/relationships/hyperlink" Target="https://maps.google.com/?cid=0x0:0xff88e6efea1ca58f" TargetMode="External"/><Relationship Id="rId237" Type="http://schemas.openxmlformats.org/officeDocument/2006/relationships/hyperlink" Target="http://rumah123.com/" TargetMode="External"/><Relationship Id="rId358" Type="http://schemas.openxmlformats.org/officeDocument/2006/relationships/hyperlink" Target="https://maps.google.com/?cid=0x0:0xfd1b5dffba4a9be2" TargetMode="External"/><Relationship Id="rId115" Type="http://schemas.openxmlformats.org/officeDocument/2006/relationships/hyperlink" Target="https://maps.google.com/?cid=0x0:0xac33abf8e8518ae8" TargetMode="External"/><Relationship Id="rId236" Type="http://schemas.openxmlformats.org/officeDocument/2006/relationships/hyperlink" Target="https://maps.google.com/?cid=0x0:0x60234e03449c7b86" TargetMode="External"/><Relationship Id="rId357" Type="http://schemas.openxmlformats.org/officeDocument/2006/relationships/hyperlink" Target="http://raywhite.co.id/" TargetMode="External"/><Relationship Id="rId119" Type="http://schemas.openxmlformats.org/officeDocument/2006/relationships/hyperlink" Target="https://maps.google.com/?cid=0x0:0x7c617d664bdd3fa" TargetMode="External"/><Relationship Id="rId110" Type="http://schemas.openxmlformats.org/officeDocument/2006/relationships/hyperlink" Target="https://maps.google.com/?cid=0x0:0xd01c7852ea735b05" TargetMode="External"/><Relationship Id="rId231" Type="http://schemas.openxmlformats.org/officeDocument/2006/relationships/hyperlink" Target="http://rumah123.com/" TargetMode="External"/><Relationship Id="rId352" Type="http://schemas.openxmlformats.org/officeDocument/2006/relationships/hyperlink" Target="http://rumah123.com/" TargetMode="External"/><Relationship Id="rId473" Type="http://schemas.openxmlformats.org/officeDocument/2006/relationships/drawing" Target="../drawings/drawing5.xml"/><Relationship Id="rId230" Type="http://schemas.openxmlformats.org/officeDocument/2006/relationships/hyperlink" Target="https://maps.google.com/?cid=0x0:0x7ad34db86bf2e9ec" TargetMode="External"/><Relationship Id="rId351" Type="http://schemas.openxmlformats.org/officeDocument/2006/relationships/hyperlink" Target="https://maps.google.com/?cid=0x0:0xaf36308999ea8510" TargetMode="External"/><Relationship Id="rId472" Type="http://schemas.openxmlformats.org/officeDocument/2006/relationships/hyperlink" Target="https://maps.google.com/?cid=0x0:0xa78d9ef8cb562a9e" TargetMode="External"/><Relationship Id="rId350" Type="http://schemas.openxmlformats.org/officeDocument/2006/relationships/hyperlink" Target="http://rumah123.com/" TargetMode="External"/><Relationship Id="rId471" Type="http://schemas.openxmlformats.org/officeDocument/2006/relationships/hyperlink" Target="https://maps.google.com/?cid=0x0:0xc7005b3143089771" TargetMode="External"/><Relationship Id="rId470" Type="http://schemas.openxmlformats.org/officeDocument/2006/relationships/hyperlink" Target="http://raywhite.co.id/" TargetMode="External"/><Relationship Id="rId114" Type="http://schemas.openxmlformats.org/officeDocument/2006/relationships/hyperlink" Target="http://rumah123.com/" TargetMode="External"/><Relationship Id="rId235" Type="http://schemas.openxmlformats.org/officeDocument/2006/relationships/hyperlink" Target="http://raywhite.co.id/" TargetMode="External"/><Relationship Id="rId356" Type="http://schemas.openxmlformats.org/officeDocument/2006/relationships/hyperlink" Target="https://maps.google.com/?cid=0x0:0x96a8c74ebdef9dfa" TargetMode="External"/><Relationship Id="rId113" Type="http://schemas.openxmlformats.org/officeDocument/2006/relationships/hyperlink" Target="https://maps.google.com/?cid=0x0:0x87b18b75f6ff3145" TargetMode="External"/><Relationship Id="rId234" Type="http://schemas.openxmlformats.org/officeDocument/2006/relationships/hyperlink" Target="https://maps.google.com/?cid=0x0:0x3b7dd12d292b1c73" TargetMode="External"/><Relationship Id="rId355" Type="http://schemas.openxmlformats.org/officeDocument/2006/relationships/hyperlink" Target="http://rumah123.com/" TargetMode="External"/><Relationship Id="rId112" Type="http://schemas.openxmlformats.org/officeDocument/2006/relationships/hyperlink" Target="https://maps.google.com/?cid=0x0:0x49bccdc60103ac4a" TargetMode="External"/><Relationship Id="rId233" Type="http://schemas.openxmlformats.org/officeDocument/2006/relationships/hyperlink" Target="http://99.co/" TargetMode="External"/><Relationship Id="rId354" Type="http://schemas.openxmlformats.org/officeDocument/2006/relationships/hyperlink" Target="https://maps.google.com/?cid=0x0:0x4b8083b560171b73" TargetMode="External"/><Relationship Id="rId111" Type="http://schemas.openxmlformats.org/officeDocument/2006/relationships/hyperlink" Target="https://maps.google.com/?cid=0x0:0x323222e3d83c8c4c" TargetMode="External"/><Relationship Id="rId232" Type="http://schemas.openxmlformats.org/officeDocument/2006/relationships/hyperlink" Target="https://maps.google.com/?cid=0x0:0x7434810604e7199d" TargetMode="External"/><Relationship Id="rId353" Type="http://schemas.openxmlformats.org/officeDocument/2006/relationships/hyperlink" Target="https://maps.google.com/?cid=0x0:0x35d4b2b2fbdf43a2" TargetMode="External"/><Relationship Id="rId305" Type="http://schemas.openxmlformats.org/officeDocument/2006/relationships/hyperlink" Target="https://maps.google.com/?cid=0x0:0x855610d9f1ba8b03" TargetMode="External"/><Relationship Id="rId426" Type="http://schemas.openxmlformats.org/officeDocument/2006/relationships/hyperlink" Target="https://maps.google.com/?cid=0x0:0xdd77b2c382155dd8" TargetMode="External"/><Relationship Id="rId304" Type="http://schemas.openxmlformats.org/officeDocument/2006/relationships/hyperlink" Target="http://interpro.id/" TargetMode="External"/><Relationship Id="rId425" Type="http://schemas.openxmlformats.org/officeDocument/2006/relationships/hyperlink" Target="http://dekoruma.com/" TargetMode="External"/><Relationship Id="rId303" Type="http://schemas.openxmlformats.org/officeDocument/2006/relationships/hyperlink" Target="https://maps.google.com/?cid=0x0:0x3bc832233ea38601" TargetMode="External"/><Relationship Id="rId424" Type="http://schemas.openxmlformats.org/officeDocument/2006/relationships/hyperlink" Target="https://maps.google.com/?cid=0x0:0x3ef5c2c16addf116" TargetMode="External"/><Relationship Id="rId302" Type="http://schemas.openxmlformats.org/officeDocument/2006/relationships/hyperlink" Target="https://maps.google.com/?cid=0x0:0xa8a6c06d934b71f7" TargetMode="External"/><Relationship Id="rId423" Type="http://schemas.openxmlformats.org/officeDocument/2006/relationships/hyperlink" Target="http://rumah123.com/" TargetMode="External"/><Relationship Id="rId309" Type="http://schemas.openxmlformats.org/officeDocument/2006/relationships/hyperlink" Target="https://maps.google.com/?cid=0x0:0xe75943211119973b" TargetMode="External"/><Relationship Id="rId308" Type="http://schemas.openxmlformats.org/officeDocument/2006/relationships/hyperlink" Target="http://rumah123.com/" TargetMode="External"/><Relationship Id="rId429" Type="http://schemas.openxmlformats.org/officeDocument/2006/relationships/hyperlink" Target="https://maps.google.com/?cid=0x0:0xd9da01b775322437" TargetMode="External"/><Relationship Id="rId307" Type="http://schemas.openxmlformats.org/officeDocument/2006/relationships/hyperlink" Target="https://maps.google.com/?cid=0x0:0x529bf20ebe62ef27" TargetMode="External"/><Relationship Id="rId428" Type="http://schemas.openxmlformats.org/officeDocument/2006/relationships/hyperlink" Target="http://rumah123.com/" TargetMode="External"/><Relationship Id="rId306" Type="http://schemas.openxmlformats.org/officeDocument/2006/relationships/hyperlink" Target="http://dekoruma.com/" TargetMode="External"/><Relationship Id="rId427" Type="http://schemas.openxmlformats.org/officeDocument/2006/relationships/hyperlink" Target="https://maps.google.com/?cid=0x0:0x45b3501e6f8cdbd8" TargetMode="External"/><Relationship Id="rId301" Type="http://schemas.openxmlformats.org/officeDocument/2006/relationships/hyperlink" Target="https://maps.google.com/?cid=0x0:0x1507c82262bd611c" TargetMode="External"/><Relationship Id="rId422" Type="http://schemas.openxmlformats.org/officeDocument/2006/relationships/hyperlink" Target="https://maps.google.com/?cid=0x0:0xbb122f329ed7a0c9" TargetMode="External"/><Relationship Id="rId300" Type="http://schemas.openxmlformats.org/officeDocument/2006/relationships/hyperlink" Target="https://maps.google.com/?cid=0x0:0x443d588ae9f56b20" TargetMode="External"/><Relationship Id="rId421" Type="http://schemas.openxmlformats.org/officeDocument/2006/relationships/hyperlink" Target="https://maps.google.com/?cid=0x0:0x9abe518ce37a7c9a" TargetMode="External"/><Relationship Id="rId420" Type="http://schemas.openxmlformats.org/officeDocument/2006/relationships/hyperlink" Target="https://maps.google.com/?cid=0x0:0x8c6c4b5108ce1db7" TargetMode="External"/><Relationship Id="rId415" Type="http://schemas.openxmlformats.org/officeDocument/2006/relationships/hyperlink" Target="http://dekoruma.com/" TargetMode="External"/><Relationship Id="rId414" Type="http://schemas.openxmlformats.org/officeDocument/2006/relationships/hyperlink" Target="https://maps.google.com/?cid=0x0:0x19c18bcc84ab5cc1" TargetMode="External"/><Relationship Id="rId413" Type="http://schemas.openxmlformats.org/officeDocument/2006/relationships/hyperlink" Target="http://dekoruma.com/" TargetMode="External"/><Relationship Id="rId412" Type="http://schemas.openxmlformats.org/officeDocument/2006/relationships/hyperlink" Target="https://maps.google.com/?cid=0x0:0x251e837557f9690a" TargetMode="External"/><Relationship Id="rId419" Type="http://schemas.openxmlformats.org/officeDocument/2006/relationships/hyperlink" Target="http://rumah123.com/" TargetMode="External"/><Relationship Id="rId418" Type="http://schemas.openxmlformats.org/officeDocument/2006/relationships/hyperlink" Target="https://maps.google.com/?cid=0x0:0x4201dbee947c39a2" TargetMode="External"/><Relationship Id="rId417" Type="http://schemas.openxmlformats.org/officeDocument/2006/relationships/hyperlink" Target="http://raywhite.co.id/" TargetMode="External"/><Relationship Id="rId416" Type="http://schemas.openxmlformats.org/officeDocument/2006/relationships/hyperlink" Target="https://maps.google.com/?cid=0x0:0x242301ed5c7dd5ee" TargetMode="External"/><Relationship Id="rId411" Type="http://schemas.openxmlformats.org/officeDocument/2006/relationships/hyperlink" Target="https://maps.google.com/?cid=0x0:0x7cf15d9e1159e972" TargetMode="External"/><Relationship Id="rId410" Type="http://schemas.openxmlformats.org/officeDocument/2006/relationships/hyperlink" Target="http://raywhite.co.id/" TargetMode="External"/><Relationship Id="rId206" Type="http://schemas.openxmlformats.org/officeDocument/2006/relationships/hyperlink" Target="https://maps.google.com/?cid=0x0:0x69c84b759545324f" TargetMode="External"/><Relationship Id="rId327" Type="http://schemas.openxmlformats.org/officeDocument/2006/relationships/hyperlink" Target="https://maps.google.com/?cid=0x0:0x8699bde3e9b2500a" TargetMode="External"/><Relationship Id="rId448" Type="http://schemas.openxmlformats.org/officeDocument/2006/relationships/hyperlink" Target="http://raywhite.co.id/" TargetMode="External"/><Relationship Id="rId205" Type="http://schemas.openxmlformats.org/officeDocument/2006/relationships/hyperlink" Target="https://maps.google.com/?cid=0x0:0xe08d45ea5f9ff2b4" TargetMode="External"/><Relationship Id="rId326" Type="http://schemas.openxmlformats.org/officeDocument/2006/relationships/hyperlink" Target="http://rumah123.com/" TargetMode="External"/><Relationship Id="rId447" Type="http://schemas.openxmlformats.org/officeDocument/2006/relationships/hyperlink" Target="https://maps.google.com/?cid=0x0:0x1bc86daee0d43ba6" TargetMode="External"/><Relationship Id="rId204" Type="http://schemas.openxmlformats.org/officeDocument/2006/relationships/hyperlink" Target="http://dekoruma.com/" TargetMode="External"/><Relationship Id="rId325" Type="http://schemas.openxmlformats.org/officeDocument/2006/relationships/hyperlink" Target="https://maps.google.com/?cid=0x0:0x6902b762da5ce07d" TargetMode="External"/><Relationship Id="rId446" Type="http://schemas.openxmlformats.org/officeDocument/2006/relationships/hyperlink" Target="http://raywhite.co.id/" TargetMode="External"/><Relationship Id="rId203" Type="http://schemas.openxmlformats.org/officeDocument/2006/relationships/hyperlink" Target="https://maps.google.com/?cid=0x0:0x72666df2ffcdb27c" TargetMode="External"/><Relationship Id="rId324" Type="http://schemas.openxmlformats.org/officeDocument/2006/relationships/hyperlink" Target="http://rumah123.com/" TargetMode="External"/><Relationship Id="rId445" Type="http://schemas.openxmlformats.org/officeDocument/2006/relationships/hyperlink" Target="https://maps.google.com/?cid=0x0:0xd019f31a823e5245" TargetMode="External"/><Relationship Id="rId209" Type="http://schemas.openxmlformats.org/officeDocument/2006/relationships/hyperlink" Target="http://rumah123.com/" TargetMode="External"/><Relationship Id="rId208" Type="http://schemas.openxmlformats.org/officeDocument/2006/relationships/hyperlink" Target="https://maps.google.com/?cid=0x0:0x3421b7825c34cae5" TargetMode="External"/><Relationship Id="rId329" Type="http://schemas.openxmlformats.org/officeDocument/2006/relationships/hyperlink" Target="https://maps.google.com/?cid=0x0:0x5ccc29c4685a032f" TargetMode="External"/><Relationship Id="rId207" Type="http://schemas.openxmlformats.org/officeDocument/2006/relationships/hyperlink" Target="http://dekoruma.com/" TargetMode="External"/><Relationship Id="rId328" Type="http://schemas.openxmlformats.org/officeDocument/2006/relationships/hyperlink" Target="http://dekoruma.com/" TargetMode="External"/><Relationship Id="rId449" Type="http://schemas.openxmlformats.org/officeDocument/2006/relationships/hyperlink" Target="https://maps.google.com/?cid=0x0:0xfedd3b61300e01c2" TargetMode="External"/><Relationship Id="rId440" Type="http://schemas.openxmlformats.org/officeDocument/2006/relationships/hyperlink" Target="https://maps.google.com/?cid=0x0:0x7f73f60a317822fa" TargetMode="External"/><Relationship Id="rId202" Type="http://schemas.openxmlformats.org/officeDocument/2006/relationships/hyperlink" Target="http://lamudi.co.id/" TargetMode="External"/><Relationship Id="rId323" Type="http://schemas.openxmlformats.org/officeDocument/2006/relationships/hyperlink" Target="https://maps.google.com/?cid=0x0:0x9db5d48074d8f988" TargetMode="External"/><Relationship Id="rId444" Type="http://schemas.openxmlformats.org/officeDocument/2006/relationships/hyperlink" Target="http://rumah123.com/" TargetMode="External"/><Relationship Id="rId201" Type="http://schemas.openxmlformats.org/officeDocument/2006/relationships/hyperlink" Target="https://maps.google.com/?cid=0x0:0xef37307e6aee82a7" TargetMode="External"/><Relationship Id="rId322" Type="http://schemas.openxmlformats.org/officeDocument/2006/relationships/hyperlink" Target="http://rumah123.com/" TargetMode="External"/><Relationship Id="rId443" Type="http://schemas.openxmlformats.org/officeDocument/2006/relationships/hyperlink" Target="https://maps.google.com/?cid=0x0:0x6944f22596ff7865" TargetMode="External"/><Relationship Id="rId200" Type="http://schemas.openxmlformats.org/officeDocument/2006/relationships/hyperlink" Target="http://rumah123.com/" TargetMode="External"/><Relationship Id="rId321" Type="http://schemas.openxmlformats.org/officeDocument/2006/relationships/hyperlink" Target="https://maps.google.com/?cid=0x0:0x1b42504d40e26569" TargetMode="External"/><Relationship Id="rId442" Type="http://schemas.openxmlformats.org/officeDocument/2006/relationships/hyperlink" Target="https://maps.google.com/?cid=0x0:0x77df7a9416182d2" TargetMode="External"/><Relationship Id="rId320" Type="http://schemas.openxmlformats.org/officeDocument/2006/relationships/hyperlink" Target="http://99.co/" TargetMode="External"/><Relationship Id="rId441" Type="http://schemas.openxmlformats.org/officeDocument/2006/relationships/hyperlink" Target="https://maps.google.com/?cid=0x0:0x5560ba0282c11601" TargetMode="External"/><Relationship Id="rId316" Type="http://schemas.openxmlformats.org/officeDocument/2006/relationships/hyperlink" Target="https://maps.google.com/?cid=0x0:0xce616e7520d6bebb" TargetMode="External"/><Relationship Id="rId437" Type="http://schemas.openxmlformats.org/officeDocument/2006/relationships/hyperlink" Target="http://dekoruma.com/" TargetMode="External"/><Relationship Id="rId315" Type="http://schemas.openxmlformats.org/officeDocument/2006/relationships/hyperlink" Target="https://maps.google.com/?cid=0x0:0xa7039a005c134de9" TargetMode="External"/><Relationship Id="rId436" Type="http://schemas.openxmlformats.org/officeDocument/2006/relationships/hyperlink" Target="https://maps.google.com/?cid=0x0:0x9315ebd48b2d6efc" TargetMode="External"/><Relationship Id="rId314" Type="http://schemas.openxmlformats.org/officeDocument/2006/relationships/hyperlink" Target="http://dekoruma.com/" TargetMode="External"/><Relationship Id="rId435" Type="http://schemas.openxmlformats.org/officeDocument/2006/relationships/hyperlink" Target="http://rumah123.com/" TargetMode="External"/><Relationship Id="rId313" Type="http://schemas.openxmlformats.org/officeDocument/2006/relationships/hyperlink" Target="https://maps.google.com/?cid=0x0:0x94e4a1d32dc32409" TargetMode="External"/><Relationship Id="rId434" Type="http://schemas.openxmlformats.org/officeDocument/2006/relationships/hyperlink" Target="https://maps.google.com/?cid=0x0:0xb9f9d9a89eaf83b8" TargetMode="External"/><Relationship Id="rId319" Type="http://schemas.openxmlformats.org/officeDocument/2006/relationships/hyperlink" Target="https://maps.google.com/?cid=0x0:0x82bab68caf21fa50" TargetMode="External"/><Relationship Id="rId318" Type="http://schemas.openxmlformats.org/officeDocument/2006/relationships/hyperlink" Target="http://raywhite.co.id/" TargetMode="External"/><Relationship Id="rId439" Type="http://schemas.openxmlformats.org/officeDocument/2006/relationships/hyperlink" Target="https://maps.google.com/?cid=0x0:0x3fcf3e9a7a2653ec" TargetMode="External"/><Relationship Id="rId317" Type="http://schemas.openxmlformats.org/officeDocument/2006/relationships/hyperlink" Target="https://maps.google.com/?cid=0x0:0xb239baa519e0146e" TargetMode="External"/><Relationship Id="rId438" Type="http://schemas.openxmlformats.org/officeDocument/2006/relationships/hyperlink" Target="https://maps.google.com/?cid=0x0:0xd7bf36f31e7eb4cb" TargetMode="External"/><Relationship Id="rId312" Type="http://schemas.openxmlformats.org/officeDocument/2006/relationships/hyperlink" Target="https://maps.google.com/?cid=0x0:0xce4696bf4d656bc6" TargetMode="External"/><Relationship Id="rId433" Type="http://schemas.openxmlformats.org/officeDocument/2006/relationships/hyperlink" Target="https://maps.google.com/?cid=0x0:0x4ba7bd30e9caa416" TargetMode="External"/><Relationship Id="rId311" Type="http://schemas.openxmlformats.org/officeDocument/2006/relationships/hyperlink" Target="https://maps.google.com/?cid=0x0:0xba53e430d7260c0d" TargetMode="External"/><Relationship Id="rId432" Type="http://schemas.openxmlformats.org/officeDocument/2006/relationships/hyperlink" Target="http://rumah123.com/" TargetMode="External"/><Relationship Id="rId310" Type="http://schemas.openxmlformats.org/officeDocument/2006/relationships/hyperlink" Target="http://dekoruma.com/" TargetMode="External"/><Relationship Id="rId431" Type="http://schemas.openxmlformats.org/officeDocument/2006/relationships/hyperlink" Target="https://maps.google.com/?cid=0x0:0x5f1c298e6be483f" TargetMode="External"/><Relationship Id="rId430" Type="http://schemas.openxmlformats.org/officeDocument/2006/relationships/hyperlink" Target="https://maps.google.com/?cid=0x0:0x9b889820b1efe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42.88"/>
    <col customWidth="1" min="8" max="8" width="1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26</v>
      </c>
      <c r="B2" s="4" t="s">
        <v>27</v>
      </c>
      <c r="C2" s="1" t="s">
        <v>28</v>
      </c>
      <c r="D2" s="3" t="s">
        <v>29</v>
      </c>
      <c r="E2" s="1" t="s">
        <v>30</v>
      </c>
      <c r="F2" s="5">
        <v>10140.0</v>
      </c>
      <c r="G2" s="1" t="s">
        <v>31</v>
      </c>
      <c r="H2" s="3" t="s">
        <v>32</v>
      </c>
      <c r="I2" s="1">
        <v>-6.1635589</v>
      </c>
      <c r="J2" s="3">
        <v>106.807949</v>
      </c>
      <c r="K2" s="6" t="s">
        <v>33</v>
      </c>
      <c r="L2" s="7" t="str">
        <f t="shared" ref="L2:L52" si="1">IFERROR(MEDIAN(M2:Y2),"")</f>
        <v/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" t="s">
        <v>34</v>
      </c>
    </row>
    <row r="3">
      <c r="A3" s="3" t="s">
        <v>35</v>
      </c>
      <c r="B3" s="3" t="s">
        <v>36</v>
      </c>
      <c r="C3" s="1" t="s">
        <v>37</v>
      </c>
      <c r="D3" s="3" t="s">
        <v>38</v>
      </c>
      <c r="E3" s="1" t="s">
        <v>30</v>
      </c>
      <c r="F3" s="5">
        <v>10610.0</v>
      </c>
      <c r="G3" s="1" t="s">
        <v>31</v>
      </c>
      <c r="H3" s="3" t="s">
        <v>32</v>
      </c>
      <c r="I3" s="1">
        <v>-6.1624314</v>
      </c>
      <c r="J3" s="3">
        <v>106.842386</v>
      </c>
      <c r="K3" s="6" t="s">
        <v>39</v>
      </c>
      <c r="L3" s="7" t="str">
        <f t="shared" si="1"/>
        <v/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34</v>
      </c>
    </row>
    <row r="4">
      <c r="A4" s="3" t="s">
        <v>35</v>
      </c>
      <c r="B4" s="3" t="s">
        <v>40</v>
      </c>
      <c r="C4" s="1" t="s">
        <v>41</v>
      </c>
      <c r="D4" s="3" t="s">
        <v>42</v>
      </c>
      <c r="E4" s="1" t="s">
        <v>30</v>
      </c>
      <c r="F4" s="5">
        <v>10520.0</v>
      </c>
      <c r="G4" s="1" t="s">
        <v>31</v>
      </c>
      <c r="H4" s="3" t="s">
        <v>32</v>
      </c>
      <c r="I4" s="1">
        <v>-6.1729733</v>
      </c>
      <c r="J4" s="3">
        <v>106.865844</v>
      </c>
      <c r="K4" s="6" t="s">
        <v>43</v>
      </c>
      <c r="L4" s="7" t="str">
        <f t="shared" si="1"/>
        <v/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" t="s">
        <v>34</v>
      </c>
    </row>
    <row r="5">
      <c r="A5" s="3" t="s">
        <v>35</v>
      </c>
      <c r="B5" s="3" t="s">
        <v>44</v>
      </c>
      <c r="C5" s="1" t="s">
        <v>45</v>
      </c>
      <c r="D5" s="3" t="s">
        <v>46</v>
      </c>
      <c r="E5" s="1" t="s">
        <v>30</v>
      </c>
      <c r="F5" s="5">
        <v>10520.0</v>
      </c>
      <c r="G5" s="1" t="s">
        <v>31</v>
      </c>
      <c r="H5" s="3" t="s">
        <v>32</v>
      </c>
      <c r="I5" s="1">
        <v>-6.1832081</v>
      </c>
      <c r="J5" s="3">
        <v>106.866435</v>
      </c>
      <c r="K5" s="6" t="s">
        <v>47</v>
      </c>
      <c r="L5" s="7" t="str">
        <f t="shared" si="1"/>
        <v/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" t="s">
        <v>34</v>
      </c>
    </row>
    <row r="6">
      <c r="A6" s="3" t="s">
        <v>48</v>
      </c>
      <c r="B6" s="4" t="s">
        <v>49</v>
      </c>
      <c r="C6" s="1" t="s">
        <v>50</v>
      </c>
      <c r="D6" s="3" t="s">
        <v>51</v>
      </c>
      <c r="E6" s="1" t="s">
        <v>30</v>
      </c>
      <c r="F6" s="5">
        <v>10520.0</v>
      </c>
      <c r="G6" s="1" t="s">
        <v>31</v>
      </c>
      <c r="H6" s="3" t="s">
        <v>32</v>
      </c>
      <c r="I6" s="1">
        <v>-6.1786038</v>
      </c>
      <c r="J6" s="3">
        <v>106.8647727</v>
      </c>
      <c r="K6" s="6" t="s">
        <v>52</v>
      </c>
      <c r="L6" s="7" t="str">
        <f t="shared" si="1"/>
        <v/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2" t="s">
        <v>34</v>
      </c>
    </row>
    <row r="7">
      <c r="A7" s="3" t="s">
        <v>48</v>
      </c>
      <c r="B7" s="4" t="s">
        <v>53</v>
      </c>
      <c r="C7" s="1" t="s">
        <v>54</v>
      </c>
      <c r="D7" s="3" t="s">
        <v>55</v>
      </c>
      <c r="E7" s="1" t="s">
        <v>30</v>
      </c>
      <c r="F7" s="5">
        <v>10510.0</v>
      </c>
      <c r="G7" s="1" t="s">
        <v>31</v>
      </c>
      <c r="H7" s="3" t="s">
        <v>32</v>
      </c>
      <c r="I7" s="1">
        <v>-6.1727064</v>
      </c>
      <c r="J7" s="3">
        <v>106.8670546</v>
      </c>
      <c r="K7" s="6" t="s">
        <v>56</v>
      </c>
      <c r="L7" s="7">
        <f t="shared" si="1"/>
        <v>38235294.12</v>
      </c>
      <c r="M7" s="7">
        <f>1300000000/34</f>
        <v>38235294.12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57</v>
      </c>
    </row>
    <row r="8">
      <c r="A8" s="3" t="s">
        <v>48</v>
      </c>
      <c r="B8" s="4" t="s">
        <v>58</v>
      </c>
      <c r="C8" s="1" t="s">
        <v>59</v>
      </c>
      <c r="D8" s="3" t="s">
        <v>60</v>
      </c>
      <c r="E8" s="1" t="s">
        <v>30</v>
      </c>
      <c r="F8" s="5">
        <v>10570.0</v>
      </c>
      <c r="G8" s="1" t="s">
        <v>31</v>
      </c>
      <c r="H8" s="3" t="s">
        <v>32</v>
      </c>
      <c r="I8" s="1">
        <v>-6.1896133</v>
      </c>
      <c r="J8" s="3">
        <v>106.8644646</v>
      </c>
      <c r="K8" s="6" t="s">
        <v>61</v>
      </c>
      <c r="L8" s="7" t="str">
        <f t="shared" si="1"/>
        <v/>
      </c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2" t="s">
        <v>34</v>
      </c>
    </row>
    <row r="9">
      <c r="A9" s="3" t="s">
        <v>48</v>
      </c>
      <c r="B9" s="4" t="s">
        <v>62</v>
      </c>
      <c r="C9" s="1" t="s">
        <v>63</v>
      </c>
      <c r="D9" s="3" t="s">
        <v>64</v>
      </c>
      <c r="E9" s="1" t="s">
        <v>30</v>
      </c>
      <c r="F9" s="5">
        <v>10570.0</v>
      </c>
      <c r="G9" s="1" t="s">
        <v>31</v>
      </c>
      <c r="H9" s="3" t="s">
        <v>32</v>
      </c>
      <c r="I9" s="1">
        <v>-6.190891</v>
      </c>
      <c r="J9" s="3">
        <v>106.8707396</v>
      </c>
      <c r="K9" s="6" t="s">
        <v>65</v>
      </c>
      <c r="L9" s="7" t="str">
        <f t="shared" si="1"/>
        <v/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2" t="s">
        <v>34</v>
      </c>
    </row>
    <row r="10">
      <c r="A10" s="3" t="s">
        <v>48</v>
      </c>
      <c r="B10" s="4" t="s">
        <v>66</v>
      </c>
      <c r="C10" s="1" t="s">
        <v>67</v>
      </c>
      <c r="D10" s="3" t="s">
        <v>68</v>
      </c>
      <c r="E10" s="1" t="s">
        <v>30</v>
      </c>
      <c r="F10" s="5">
        <v>10570.0</v>
      </c>
      <c r="G10" s="1" t="s">
        <v>31</v>
      </c>
      <c r="H10" s="3" t="s">
        <v>32</v>
      </c>
      <c r="I10" s="1">
        <v>-6.1931303</v>
      </c>
      <c r="J10" s="3">
        <v>106.8590926</v>
      </c>
      <c r="K10" s="6" t="s">
        <v>69</v>
      </c>
      <c r="L10" s="7">
        <f t="shared" si="1"/>
        <v>26942857.14</v>
      </c>
      <c r="M10" s="7">
        <f>650400000/25</f>
        <v>26016000</v>
      </c>
      <c r="N10" s="7">
        <f>729600000/27</f>
        <v>27022222.22</v>
      </c>
      <c r="O10" s="7">
        <f>754400000/28</f>
        <v>26942857.14</v>
      </c>
      <c r="P10" s="7">
        <f>781600000/29</f>
        <v>26951724.14</v>
      </c>
      <c r="Q10" s="7">
        <f>860800000/32</f>
        <v>26900000</v>
      </c>
      <c r="R10" s="7">
        <f>836000000/31</f>
        <v>26967741.94</v>
      </c>
      <c r="S10" s="7">
        <f>625000000/24</f>
        <v>26041666.67</v>
      </c>
      <c r="T10" s="7"/>
      <c r="U10" s="7"/>
      <c r="V10" s="7"/>
      <c r="W10" s="7"/>
      <c r="X10" s="7"/>
      <c r="Y10" s="7"/>
      <c r="Z10" s="8" t="s">
        <v>70</v>
      </c>
    </row>
    <row r="11">
      <c r="A11" s="3" t="s">
        <v>48</v>
      </c>
      <c r="B11" s="4" t="s">
        <v>71</v>
      </c>
      <c r="C11" s="1" t="s">
        <v>72</v>
      </c>
      <c r="D11" s="3" t="s">
        <v>73</v>
      </c>
      <c r="E11" s="1" t="s">
        <v>30</v>
      </c>
      <c r="F11" s="5">
        <v>10570.0</v>
      </c>
      <c r="G11" s="1" t="s">
        <v>31</v>
      </c>
      <c r="H11" s="3" t="s">
        <v>32</v>
      </c>
      <c r="I11" s="1">
        <v>-6.1928839</v>
      </c>
      <c r="J11" s="3">
        <v>106.8574882</v>
      </c>
      <c r="K11" s="6" t="s">
        <v>74</v>
      </c>
      <c r="L11" s="7" t="str">
        <f t="shared" si="1"/>
        <v/>
      </c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2" t="s">
        <v>34</v>
      </c>
    </row>
    <row r="12">
      <c r="A12" s="3" t="s">
        <v>48</v>
      </c>
      <c r="B12" s="4" t="s">
        <v>75</v>
      </c>
      <c r="C12" s="1" t="s">
        <v>76</v>
      </c>
      <c r="D12" s="3" t="s">
        <v>77</v>
      </c>
      <c r="E12" s="1" t="s">
        <v>30</v>
      </c>
      <c r="F12" s="5">
        <v>10130.0</v>
      </c>
      <c r="G12" s="1" t="s">
        <v>31</v>
      </c>
      <c r="H12" s="3" t="s">
        <v>32</v>
      </c>
      <c r="I12" s="1">
        <v>-6.1669399</v>
      </c>
      <c r="J12" s="3">
        <v>106.8179491</v>
      </c>
      <c r="K12" s="6" t="s">
        <v>78</v>
      </c>
      <c r="L12" s="7" t="str">
        <f t="shared" si="1"/>
        <v/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2" t="s">
        <v>34</v>
      </c>
    </row>
    <row r="13">
      <c r="A13" s="3" t="s">
        <v>48</v>
      </c>
      <c r="B13" s="4" t="s">
        <v>79</v>
      </c>
      <c r="C13" s="1" t="s">
        <v>80</v>
      </c>
      <c r="D13" s="3" t="s">
        <v>81</v>
      </c>
      <c r="E13" s="1" t="s">
        <v>30</v>
      </c>
      <c r="F13" s="5">
        <v>10130.0</v>
      </c>
      <c r="G13" s="1" t="s">
        <v>31</v>
      </c>
      <c r="H13" s="3" t="s">
        <v>32</v>
      </c>
      <c r="I13" s="1">
        <v>-6.1641143</v>
      </c>
      <c r="J13" s="3">
        <v>106.8118771</v>
      </c>
      <c r="K13" s="6" t="s">
        <v>82</v>
      </c>
      <c r="L13" s="7" t="str">
        <f t="shared" si="1"/>
        <v/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" t="s">
        <v>34</v>
      </c>
    </row>
    <row r="14">
      <c r="A14" s="3" t="s">
        <v>48</v>
      </c>
      <c r="B14" s="4" t="s">
        <v>83</v>
      </c>
      <c r="C14" s="1" t="s">
        <v>84</v>
      </c>
      <c r="D14" s="3" t="s">
        <v>85</v>
      </c>
      <c r="E14" s="1" t="s">
        <v>30</v>
      </c>
      <c r="F14" s="5">
        <v>10140.0</v>
      </c>
      <c r="G14" s="1" t="s">
        <v>31</v>
      </c>
      <c r="H14" s="3" t="s">
        <v>32</v>
      </c>
      <c r="I14" s="1">
        <v>-6.1642184</v>
      </c>
      <c r="J14" s="3">
        <v>106.8008854</v>
      </c>
      <c r="K14" s="6" t="s">
        <v>86</v>
      </c>
      <c r="L14" s="7" t="str">
        <f t="shared" si="1"/>
        <v/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2" t="s">
        <v>34</v>
      </c>
    </row>
    <row r="15">
      <c r="A15" s="3" t="s">
        <v>48</v>
      </c>
      <c r="B15" s="4" t="s">
        <v>87</v>
      </c>
      <c r="C15" s="1" t="s">
        <v>88</v>
      </c>
      <c r="D15" s="3" t="s">
        <v>89</v>
      </c>
      <c r="E15" s="1" t="s">
        <v>30</v>
      </c>
      <c r="F15" s="5">
        <v>10550.0</v>
      </c>
      <c r="G15" s="1" t="s">
        <v>31</v>
      </c>
      <c r="H15" s="3" t="s">
        <v>32</v>
      </c>
      <c r="I15" s="1">
        <v>-6.1783073</v>
      </c>
      <c r="J15" s="3">
        <v>106.8524369</v>
      </c>
      <c r="K15" s="6" t="s">
        <v>90</v>
      </c>
      <c r="L15" s="7" t="str">
        <f t="shared" si="1"/>
        <v/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2" t="s">
        <v>34</v>
      </c>
    </row>
    <row r="16">
      <c r="A16" s="3" t="s">
        <v>48</v>
      </c>
      <c r="B16" s="4" t="s">
        <v>91</v>
      </c>
      <c r="C16" s="1" t="s">
        <v>92</v>
      </c>
      <c r="D16" s="3" t="s">
        <v>93</v>
      </c>
      <c r="E16" s="1" t="s">
        <v>30</v>
      </c>
      <c r="F16" s="5">
        <v>10560.0</v>
      </c>
      <c r="G16" s="1" t="s">
        <v>31</v>
      </c>
      <c r="H16" s="3" t="s">
        <v>32</v>
      </c>
      <c r="I16" s="1">
        <v>-6.1864656</v>
      </c>
      <c r="J16" s="3">
        <v>106.8613746</v>
      </c>
      <c r="K16" s="6" t="s">
        <v>94</v>
      </c>
      <c r="L16" s="7" t="str">
        <f t="shared" si="1"/>
        <v/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2" t="s">
        <v>34</v>
      </c>
    </row>
    <row r="17">
      <c r="A17" s="3" t="s">
        <v>48</v>
      </c>
      <c r="B17" s="4" t="s">
        <v>95</v>
      </c>
      <c r="C17" s="1" t="s">
        <v>96</v>
      </c>
      <c r="D17" s="3" t="s">
        <v>97</v>
      </c>
      <c r="E17" s="1" t="s">
        <v>30</v>
      </c>
      <c r="F17" s="5">
        <v>10630.0</v>
      </c>
      <c r="G17" s="1" t="s">
        <v>31</v>
      </c>
      <c r="H17" s="9">
        <v>2.17E8</v>
      </c>
      <c r="I17" s="1">
        <v>-6.1576742</v>
      </c>
      <c r="J17" s="3">
        <v>106.8530491</v>
      </c>
      <c r="K17" s="6" t="s">
        <v>98</v>
      </c>
      <c r="L17" s="7">
        <f t="shared" si="1"/>
        <v>27272727.27</v>
      </c>
      <c r="M17" s="7">
        <f>7500000000/240</f>
        <v>31250000</v>
      </c>
      <c r="N17" s="7">
        <f>3900000000/150</f>
        <v>26000000</v>
      </c>
      <c r="O17" s="7">
        <f>6500000000/230</f>
        <v>28260869.57</v>
      </c>
      <c r="P17" s="7">
        <f>3900000000/150</f>
        <v>26000000</v>
      </c>
      <c r="Q17" s="7">
        <f t="shared" ref="Q17:R17" si="2">4800000000/176</f>
        <v>27272727.27</v>
      </c>
      <c r="R17" s="7">
        <f t="shared" si="2"/>
        <v>27272727.27</v>
      </c>
      <c r="S17" s="7">
        <f>3300000000/105</f>
        <v>31428571.43</v>
      </c>
      <c r="T17" s="7">
        <f>10500000000/242</f>
        <v>43388429.75</v>
      </c>
      <c r="U17" s="7">
        <f>475000000/21</f>
        <v>22619047.62</v>
      </c>
      <c r="V17" s="7">
        <f>498000000/22</f>
        <v>22636363.64</v>
      </c>
      <c r="W17" s="7"/>
      <c r="X17" s="7"/>
      <c r="Y17" s="7"/>
      <c r="Z17" s="8" t="s">
        <v>99</v>
      </c>
    </row>
    <row r="18">
      <c r="A18" s="3" t="s">
        <v>48</v>
      </c>
      <c r="B18" s="4" t="s">
        <v>100</v>
      </c>
      <c r="C18" s="1" t="s">
        <v>101</v>
      </c>
      <c r="D18" s="3" t="s">
        <v>102</v>
      </c>
      <c r="E18" s="1" t="s">
        <v>30</v>
      </c>
      <c r="F18" s="5">
        <v>10720.0</v>
      </c>
      <c r="G18" s="1" t="s">
        <v>31</v>
      </c>
      <c r="H18" s="3" t="s">
        <v>32</v>
      </c>
      <c r="I18" s="1">
        <v>-6.1534142</v>
      </c>
      <c r="J18" s="3">
        <v>106.8409187</v>
      </c>
      <c r="K18" s="6" t="s">
        <v>103</v>
      </c>
      <c r="L18" s="7">
        <f t="shared" si="1"/>
        <v>29629629.63</v>
      </c>
      <c r="M18" s="7">
        <f t="shared" ref="M18:N18" si="3">8000000000/270</f>
        <v>29629629.63</v>
      </c>
      <c r="N18" s="7">
        <f t="shared" si="3"/>
        <v>29629629.63</v>
      </c>
      <c r="O18" s="7">
        <f>5500000000/264</f>
        <v>20833333.33</v>
      </c>
      <c r="P18" s="7"/>
      <c r="Q18" s="7"/>
      <c r="R18" s="7"/>
      <c r="S18" s="7"/>
      <c r="T18" s="7"/>
      <c r="U18" s="7"/>
      <c r="V18" s="7"/>
      <c r="W18" s="7"/>
      <c r="X18" s="7"/>
      <c r="Y18" s="7"/>
      <c r="Z18" s="8" t="s">
        <v>104</v>
      </c>
    </row>
    <row r="19">
      <c r="A19" s="3" t="s">
        <v>48</v>
      </c>
      <c r="B19" s="4" t="s">
        <v>105</v>
      </c>
      <c r="C19" s="1" t="s">
        <v>106</v>
      </c>
      <c r="D19" s="3" t="s">
        <v>107</v>
      </c>
      <c r="E19" s="1" t="s">
        <v>30</v>
      </c>
      <c r="F19" s="5">
        <v>10720.0</v>
      </c>
      <c r="G19" s="1" t="s">
        <v>31</v>
      </c>
      <c r="H19" s="9">
        <v>2.17E9</v>
      </c>
      <c r="I19" s="1">
        <v>-6.1504992</v>
      </c>
      <c r="J19" s="3">
        <v>106.8407428</v>
      </c>
      <c r="K19" s="6" t="s">
        <v>108</v>
      </c>
      <c r="L19" s="7">
        <f t="shared" si="1"/>
        <v>41250000</v>
      </c>
      <c r="M19" s="7">
        <f>9500000000/200</f>
        <v>47500000</v>
      </c>
      <c r="N19" s="7">
        <f>8000000000/200</f>
        <v>40000000</v>
      </c>
      <c r="O19" s="7">
        <f t="shared" ref="O19:P19" si="4">8500000000/200</f>
        <v>42500000</v>
      </c>
      <c r="P19" s="7">
        <f t="shared" si="4"/>
        <v>42500000</v>
      </c>
      <c r="Q19" s="7">
        <f>7500000000/200</f>
        <v>37500000</v>
      </c>
      <c r="R19" s="7">
        <f>8000000000/200</f>
        <v>40000000</v>
      </c>
      <c r="S19" s="7"/>
      <c r="T19" s="7"/>
      <c r="U19" s="7"/>
      <c r="V19" s="7"/>
      <c r="W19" s="7"/>
      <c r="X19" s="7"/>
      <c r="Y19" s="7"/>
      <c r="Z19" s="8" t="s">
        <v>109</v>
      </c>
    </row>
    <row r="20">
      <c r="A20" s="3" t="s">
        <v>48</v>
      </c>
      <c r="B20" s="4" t="s">
        <v>110</v>
      </c>
      <c r="C20" s="1" t="s">
        <v>111</v>
      </c>
      <c r="D20" s="3" t="s">
        <v>112</v>
      </c>
      <c r="E20" s="1" t="s">
        <v>30</v>
      </c>
      <c r="F20" s="5">
        <v>10650.0</v>
      </c>
      <c r="G20" s="1" t="s">
        <v>31</v>
      </c>
      <c r="H20" s="3" t="s">
        <v>32</v>
      </c>
      <c r="I20" s="1">
        <v>-6.1590755</v>
      </c>
      <c r="J20" s="3">
        <v>106.8573966</v>
      </c>
      <c r="K20" s="6" t="s">
        <v>113</v>
      </c>
      <c r="L20" s="7" t="str">
        <f t="shared" si="1"/>
        <v/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" t="s">
        <v>34</v>
      </c>
    </row>
    <row r="21">
      <c r="A21" s="3" t="s">
        <v>48</v>
      </c>
      <c r="B21" s="4" t="s">
        <v>114</v>
      </c>
      <c r="C21" s="1" t="s">
        <v>115</v>
      </c>
      <c r="D21" s="3" t="s">
        <v>116</v>
      </c>
      <c r="E21" s="1" t="s">
        <v>30</v>
      </c>
      <c r="F21" s="5">
        <v>10630.0</v>
      </c>
      <c r="G21" s="1" t="s">
        <v>31</v>
      </c>
      <c r="H21" s="3" t="s">
        <v>32</v>
      </c>
      <c r="I21" s="1">
        <v>-6.1542222</v>
      </c>
      <c r="J21" s="3">
        <v>106.8578699</v>
      </c>
      <c r="K21" s="6" t="s">
        <v>117</v>
      </c>
      <c r="L21" s="7">
        <f t="shared" si="1"/>
        <v>7000000</v>
      </c>
      <c r="M21" s="7">
        <f>1890000000/270</f>
        <v>7000000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8" t="s">
        <v>118</v>
      </c>
    </row>
    <row r="22">
      <c r="A22" s="3" t="s">
        <v>119</v>
      </c>
      <c r="B22" s="4" t="s">
        <v>120</v>
      </c>
      <c r="C22" s="1" t="s">
        <v>121</v>
      </c>
      <c r="D22" s="3" t="s">
        <v>122</v>
      </c>
      <c r="E22" s="1" t="s">
        <v>30</v>
      </c>
      <c r="F22" s="5">
        <v>10640.0</v>
      </c>
      <c r="G22" s="1" t="s">
        <v>31</v>
      </c>
      <c r="H22" s="3" t="s">
        <v>32</v>
      </c>
      <c r="I22" s="1">
        <v>-6.1679958</v>
      </c>
      <c r="J22" s="3">
        <v>106.8675647</v>
      </c>
      <c r="K22" s="6" t="s">
        <v>123</v>
      </c>
      <c r="L22" s="7">
        <f t="shared" si="1"/>
        <v>25000000</v>
      </c>
      <c r="M22" s="7">
        <f>5590000000/497</f>
        <v>11247484.91</v>
      </c>
      <c r="N22" s="7">
        <f>3500000000/180</f>
        <v>19444444.44</v>
      </c>
      <c r="O22" s="7">
        <f>3400000000/180</f>
        <v>18888888.89</v>
      </c>
      <c r="P22" s="7">
        <f t="shared" ref="P22:Q22" si="5">5000000000/200</f>
        <v>25000000</v>
      </c>
      <c r="Q22" s="7">
        <f t="shared" si="5"/>
        <v>25000000</v>
      </c>
      <c r="R22" s="7">
        <f>5500000000/200</f>
        <v>27500000</v>
      </c>
      <c r="S22" s="7">
        <f>5000000000/200</f>
        <v>25000000</v>
      </c>
      <c r="T22" s="7">
        <f t="shared" ref="T22:V22" si="6">5500000000/200</f>
        <v>27500000</v>
      </c>
      <c r="U22" s="7">
        <f t="shared" si="6"/>
        <v>27500000</v>
      </c>
      <c r="V22" s="7">
        <f t="shared" si="6"/>
        <v>27500000</v>
      </c>
      <c r="W22" s="7">
        <f>5600000000/276</f>
        <v>20289855.07</v>
      </c>
      <c r="X22" s="7">
        <f>5590000000/497</f>
        <v>11247484.91</v>
      </c>
      <c r="Y22" s="7">
        <f>5600000000/276</f>
        <v>20289855.07</v>
      </c>
      <c r="Z22" s="8" t="s">
        <v>124</v>
      </c>
    </row>
    <row r="23">
      <c r="A23" s="3" t="s">
        <v>125</v>
      </c>
      <c r="B23" s="4" t="s">
        <v>126</v>
      </c>
      <c r="C23" s="1" t="s">
        <v>127</v>
      </c>
      <c r="D23" s="3" t="s">
        <v>128</v>
      </c>
      <c r="E23" s="1" t="s">
        <v>30</v>
      </c>
      <c r="F23" s="5">
        <v>10130.0</v>
      </c>
      <c r="G23" s="1" t="s">
        <v>31</v>
      </c>
      <c r="H23" s="3" t="s">
        <v>32</v>
      </c>
      <c r="I23" s="1">
        <v>-6.1633165</v>
      </c>
      <c r="J23" s="3">
        <v>106.817473</v>
      </c>
      <c r="K23" s="6" t="s">
        <v>129</v>
      </c>
      <c r="L23" s="7" t="str">
        <f t="shared" si="1"/>
        <v/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2" t="s">
        <v>34</v>
      </c>
    </row>
    <row r="24">
      <c r="A24" s="3" t="s">
        <v>35</v>
      </c>
      <c r="B24" s="4" t="s">
        <v>130</v>
      </c>
      <c r="C24" s="1" t="s">
        <v>131</v>
      </c>
      <c r="D24" s="3" t="s">
        <v>132</v>
      </c>
      <c r="E24" s="1" t="s">
        <v>30</v>
      </c>
      <c r="F24" s="5">
        <v>10570.0</v>
      </c>
      <c r="G24" s="1" t="s">
        <v>31</v>
      </c>
      <c r="H24" s="3" t="s">
        <v>32</v>
      </c>
      <c r="I24" s="1">
        <v>-6.1893937</v>
      </c>
      <c r="J24" s="3">
        <v>106.8715956</v>
      </c>
      <c r="K24" s="6" t="s">
        <v>133</v>
      </c>
      <c r="L24" s="7" t="str">
        <f t="shared" si="1"/>
        <v/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2" t="s">
        <v>34</v>
      </c>
    </row>
    <row r="25">
      <c r="A25" s="3" t="s">
        <v>134</v>
      </c>
      <c r="B25" s="4" t="s">
        <v>135</v>
      </c>
      <c r="C25" s="1" t="s">
        <v>136</v>
      </c>
      <c r="D25" s="3" t="s">
        <v>137</v>
      </c>
      <c r="E25" s="1" t="s">
        <v>30</v>
      </c>
      <c r="F25" s="5">
        <v>10320.0</v>
      </c>
      <c r="G25" s="1" t="s">
        <v>31</v>
      </c>
      <c r="H25" s="3" t="s">
        <v>32</v>
      </c>
      <c r="I25" s="1">
        <v>-6.2046058</v>
      </c>
      <c r="J25" s="3">
        <v>106.8477966</v>
      </c>
      <c r="K25" s="6" t="s">
        <v>138</v>
      </c>
      <c r="L25" s="7" t="str">
        <f t="shared" si="1"/>
        <v/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2" t="s">
        <v>34</v>
      </c>
    </row>
    <row r="26">
      <c r="A26" s="3" t="s">
        <v>35</v>
      </c>
      <c r="B26" s="4" t="s">
        <v>139</v>
      </c>
      <c r="C26" s="1" t="s">
        <v>140</v>
      </c>
      <c r="D26" s="3" t="s">
        <v>141</v>
      </c>
      <c r="E26" s="1" t="s">
        <v>30</v>
      </c>
      <c r="F26" s="5">
        <v>10330.0</v>
      </c>
      <c r="G26" s="1" t="s">
        <v>31</v>
      </c>
      <c r="H26" s="3" t="s">
        <v>32</v>
      </c>
      <c r="I26" s="1">
        <v>-6.1883427</v>
      </c>
      <c r="J26" s="3">
        <v>106.8396235</v>
      </c>
      <c r="K26" s="6" t="s">
        <v>142</v>
      </c>
      <c r="L26" s="7" t="str">
        <f t="shared" si="1"/>
        <v/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2" t="s">
        <v>34</v>
      </c>
    </row>
    <row r="27">
      <c r="A27" s="3" t="s">
        <v>48</v>
      </c>
      <c r="B27" s="4" t="s">
        <v>143</v>
      </c>
      <c r="C27" s="1" t="s">
        <v>144</v>
      </c>
      <c r="D27" s="3" t="s">
        <v>145</v>
      </c>
      <c r="E27" s="1" t="s">
        <v>30</v>
      </c>
      <c r="F27" s="5">
        <v>10310.0</v>
      </c>
      <c r="G27" s="1" t="s">
        <v>31</v>
      </c>
      <c r="H27" s="9">
        <v>8.12E8</v>
      </c>
      <c r="I27" s="1">
        <v>-6.202318</v>
      </c>
      <c r="J27" s="3">
        <v>106.832001</v>
      </c>
      <c r="K27" s="6" t="s">
        <v>146</v>
      </c>
      <c r="L27" s="7" t="str">
        <f t="shared" si="1"/>
        <v/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2" t="s">
        <v>34</v>
      </c>
    </row>
    <row r="28">
      <c r="A28" s="3" t="s">
        <v>35</v>
      </c>
      <c r="B28" s="4" t="s">
        <v>147</v>
      </c>
      <c r="C28" s="1" t="s">
        <v>148</v>
      </c>
      <c r="D28" s="3" t="s">
        <v>149</v>
      </c>
      <c r="E28" s="1" t="s">
        <v>30</v>
      </c>
      <c r="F28" s="5">
        <v>10320.0</v>
      </c>
      <c r="G28" s="1" t="s">
        <v>31</v>
      </c>
      <c r="H28" s="3" t="s">
        <v>32</v>
      </c>
      <c r="I28" s="1">
        <v>-6.2058283</v>
      </c>
      <c r="J28" s="3">
        <v>106.8536182</v>
      </c>
      <c r="K28" s="6" t="s">
        <v>150</v>
      </c>
      <c r="L28" s="7">
        <f t="shared" si="1"/>
        <v>40000000</v>
      </c>
      <c r="M28" s="7">
        <f>1000000000/25</f>
        <v>40000000</v>
      </c>
      <c r="N28" s="7">
        <f>1900000000/42</f>
        <v>45238095.24</v>
      </c>
      <c r="O28" s="7">
        <f>900000000/26</f>
        <v>34615384.62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8" t="s">
        <v>151</v>
      </c>
    </row>
    <row r="29">
      <c r="A29" s="3" t="s">
        <v>35</v>
      </c>
      <c r="B29" s="3" t="s">
        <v>152</v>
      </c>
      <c r="C29" s="1" t="s">
        <v>153</v>
      </c>
      <c r="D29" s="3" t="s">
        <v>154</v>
      </c>
      <c r="E29" s="1" t="s">
        <v>30</v>
      </c>
      <c r="F29" s="5">
        <v>10710.0</v>
      </c>
      <c r="G29" s="1" t="s">
        <v>31</v>
      </c>
      <c r="H29" s="3" t="s">
        <v>32</v>
      </c>
      <c r="I29" s="1">
        <v>-6.1592033</v>
      </c>
      <c r="J29" s="3">
        <v>106.8339152</v>
      </c>
      <c r="K29" s="6" t="s">
        <v>155</v>
      </c>
      <c r="L29" s="7">
        <f t="shared" si="1"/>
        <v>33854166.67</v>
      </c>
      <c r="M29" s="7">
        <f>3110000000/112</f>
        <v>27767857.14</v>
      </c>
      <c r="N29" s="7">
        <f t="shared" ref="N29:O29" si="7">6500000000/192</f>
        <v>33854166.67</v>
      </c>
      <c r="O29" s="7">
        <f t="shared" si="7"/>
        <v>33854166.67</v>
      </c>
      <c r="P29" s="7">
        <f>6900000000/192</f>
        <v>35937500</v>
      </c>
      <c r="Q29" s="7">
        <f>2900000000/112</f>
        <v>25892857.14</v>
      </c>
      <c r="R29" s="7"/>
      <c r="S29" s="7"/>
      <c r="T29" s="7"/>
      <c r="U29" s="7"/>
      <c r="V29" s="7"/>
      <c r="W29" s="7"/>
      <c r="X29" s="7"/>
      <c r="Y29" s="7"/>
      <c r="Z29" s="8" t="s">
        <v>156</v>
      </c>
    </row>
    <row r="30">
      <c r="A30" s="3" t="s">
        <v>35</v>
      </c>
      <c r="B30" s="4" t="s">
        <v>157</v>
      </c>
      <c r="C30" s="1" t="s">
        <v>158</v>
      </c>
      <c r="D30" s="3" t="s">
        <v>159</v>
      </c>
      <c r="E30" s="1" t="s">
        <v>30</v>
      </c>
      <c r="F30" s="5">
        <v>10750.0</v>
      </c>
      <c r="G30" s="1" t="s">
        <v>31</v>
      </c>
      <c r="H30" s="3" t="s">
        <v>32</v>
      </c>
      <c r="I30" s="1">
        <v>-6.14998</v>
      </c>
      <c r="J30" s="3">
        <v>106.832618</v>
      </c>
      <c r="K30" s="6" t="s">
        <v>160</v>
      </c>
      <c r="L30" s="7" t="str">
        <f t="shared" si="1"/>
        <v/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2" t="s">
        <v>34</v>
      </c>
    </row>
    <row r="31">
      <c r="A31" s="3" t="s">
        <v>161</v>
      </c>
      <c r="B31" s="4" t="s">
        <v>162</v>
      </c>
      <c r="C31" s="1" t="s">
        <v>163</v>
      </c>
      <c r="D31" s="3" t="s">
        <v>164</v>
      </c>
      <c r="E31" s="1" t="s">
        <v>30</v>
      </c>
      <c r="F31" s="5">
        <v>10740.0</v>
      </c>
      <c r="G31" s="1" t="s">
        <v>31</v>
      </c>
      <c r="H31" s="3" t="s">
        <v>32</v>
      </c>
      <c r="I31" s="1">
        <v>-6.1545293</v>
      </c>
      <c r="J31" s="3">
        <v>106.8282544</v>
      </c>
      <c r="K31" s="6" t="s">
        <v>165</v>
      </c>
      <c r="L31" s="7" t="str">
        <f t="shared" si="1"/>
        <v/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2" t="s">
        <v>34</v>
      </c>
    </row>
    <row r="32">
      <c r="A32" s="3" t="s">
        <v>48</v>
      </c>
      <c r="B32" s="4" t="s">
        <v>166</v>
      </c>
      <c r="C32" s="1" t="s">
        <v>167</v>
      </c>
      <c r="D32" s="3" t="s">
        <v>168</v>
      </c>
      <c r="E32" s="1" t="s">
        <v>30</v>
      </c>
      <c r="F32" s="5">
        <v>10720.0</v>
      </c>
      <c r="G32" s="1" t="s">
        <v>31</v>
      </c>
      <c r="H32" s="3" t="s">
        <v>32</v>
      </c>
      <c r="I32" s="1">
        <v>-6.1491914</v>
      </c>
      <c r="J32" s="3">
        <v>106.8390742</v>
      </c>
      <c r="K32" s="6" t="s">
        <v>169</v>
      </c>
      <c r="L32" s="7">
        <f t="shared" si="1"/>
        <v>26162790.7</v>
      </c>
      <c r="M32" s="7">
        <f>4500000000/243</f>
        <v>18518518.52</v>
      </c>
      <c r="N32" s="7">
        <f>4500000000/231</f>
        <v>19480519.48</v>
      </c>
      <c r="O32" s="7">
        <f t="shared" ref="O32:Q32" si="8">4500000000/172</f>
        <v>26162790.7</v>
      </c>
      <c r="P32" s="7">
        <f t="shared" si="8"/>
        <v>26162790.7</v>
      </c>
      <c r="Q32" s="7">
        <f t="shared" si="8"/>
        <v>26162790.7</v>
      </c>
      <c r="R32" s="7"/>
      <c r="S32" s="7"/>
      <c r="T32" s="7"/>
      <c r="U32" s="7"/>
      <c r="V32" s="7"/>
      <c r="W32" s="7"/>
      <c r="X32" s="7"/>
      <c r="Y32" s="7"/>
      <c r="Z32" s="8" t="s">
        <v>170</v>
      </c>
    </row>
    <row r="33">
      <c r="A33" s="3" t="s">
        <v>48</v>
      </c>
      <c r="B33" s="4" t="s">
        <v>171</v>
      </c>
      <c r="C33" s="1" t="s">
        <v>172</v>
      </c>
      <c r="D33" s="3" t="s">
        <v>173</v>
      </c>
      <c r="E33" s="1" t="s">
        <v>30</v>
      </c>
      <c r="F33" s="5">
        <v>10730.0</v>
      </c>
      <c r="G33" s="1" t="s">
        <v>31</v>
      </c>
      <c r="H33" s="3" t="s">
        <v>32</v>
      </c>
      <c r="I33" s="1">
        <v>-6.1387175</v>
      </c>
      <c r="J33" s="3">
        <v>106.8300381</v>
      </c>
      <c r="K33" s="6" t="s">
        <v>174</v>
      </c>
      <c r="L33" s="7">
        <f t="shared" si="1"/>
        <v>32434895.83</v>
      </c>
      <c r="M33" s="7">
        <f>3800000000/120</f>
        <v>31666666.67</v>
      </c>
      <c r="N33" s="7">
        <f>4250000000/128</f>
        <v>33203125</v>
      </c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10" t="s">
        <v>175</v>
      </c>
    </row>
    <row r="34">
      <c r="A34" s="3" t="s">
        <v>48</v>
      </c>
      <c r="B34" s="4" t="s">
        <v>176</v>
      </c>
      <c r="C34" s="1" t="s">
        <v>177</v>
      </c>
      <c r="D34" s="3" t="s">
        <v>178</v>
      </c>
      <c r="E34" s="1" t="s">
        <v>30</v>
      </c>
      <c r="F34" s="5">
        <v>10730.0</v>
      </c>
      <c r="G34" s="1" t="s">
        <v>31</v>
      </c>
      <c r="H34" s="3" t="s">
        <v>32</v>
      </c>
      <c r="I34" s="1">
        <v>-6.1390593</v>
      </c>
      <c r="J34" s="3">
        <v>106.8234006</v>
      </c>
      <c r="K34" s="6" t="s">
        <v>179</v>
      </c>
      <c r="L34" s="7" t="str">
        <f t="shared" si="1"/>
        <v/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2" t="s">
        <v>34</v>
      </c>
    </row>
    <row r="35">
      <c r="A35" s="3" t="s">
        <v>180</v>
      </c>
      <c r="B35" s="4" t="s">
        <v>181</v>
      </c>
      <c r="C35" s="1" t="s">
        <v>182</v>
      </c>
      <c r="D35" s="3" t="s">
        <v>183</v>
      </c>
      <c r="E35" s="1" t="s">
        <v>30</v>
      </c>
      <c r="F35" s="5">
        <v>10430.0</v>
      </c>
      <c r="G35" s="1" t="s">
        <v>31</v>
      </c>
      <c r="H35" s="3" t="s">
        <v>32</v>
      </c>
      <c r="I35" s="1">
        <v>-6.185912</v>
      </c>
      <c r="J35" s="3">
        <v>106.843606</v>
      </c>
      <c r="K35" s="6" t="s">
        <v>184</v>
      </c>
      <c r="L35" s="7" t="str">
        <f t="shared" si="1"/>
        <v/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2" t="s">
        <v>34</v>
      </c>
    </row>
    <row r="36">
      <c r="A36" s="3" t="s">
        <v>185</v>
      </c>
      <c r="B36" s="4" t="s">
        <v>186</v>
      </c>
      <c r="C36" s="1" t="s">
        <v>187</v>
      </c>
      <c r="D36" s="3" t="s">
        <v>188</v>
      </c>
      <c r="E36" s="1" t="s">
        <v>30</v>
      </c>
      <c r="F36" s="3" t="s">
        <v>32</v>
      </c>
      <c r="G36" s="1" t="s">
        <v>31</v>
      </c>
      <c r="H36" s="3" t="s">
        <v>32</v>
      </c>
      <c r="I36" s="1">
        <v>-6.1953519</v>
      </c>
      <c r="J36" s="3">
        <v>106.8498184</v>
      </c>
      <c r="K36" s="6" t="s">
        <v>189</v>
      </c>
      <c r="L36" s="7" t="str">
        <f t="shared" si="1"/>
        <v/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34</v>
      </c>
    </row>
    <row r="37">
      <c r="A37" s="3" t="s">
        <v>48</v>
      </c>
      <c r="B37" s="4" t="s">
        <v>190</v>
      </c>
      <c r="C37" s="1" t="s">
        <v>191</v>
      </c>
      <c r="D37" s="3" t="s">
        <v>192</v>
      </c>
      <c r="E37" s="1" t="s">
        <v>30</v>
      </c>
      <c r="F37" s="5">
        <v>10450.0</v>
      </c>
      <c r="G37" s="1" t="s">
        <v>31</v>
      </c>
      <c r="H37" s="3" t="s">
        <v>32</v>
      </c>
      <c r="I37" s="1">
        <v>-6.1832581</v>
      </c>
      <c r="J37" s="3">
        <v>106.8474299</v>
      </c>
      <c r="K37" s="6" t="s">
        <v>193</v>
      </c>
      <c r="L37" s="7" t="str">
        <f t="shared" si="1"/>
        <v/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2" t="s">
        <v>34</v>
      </c>
    </row>
    <row r="38">
      <c r="A38" s="3" t="s">
        <v>194</v>
      </c>
      <c r="B38" s="4" t="s">
        <v>195</v>
      </c>
      <c r="C38" s="1" t="s">
        <v>196</v>
      </c>
      <c r="D38" s="3" t="s">
        <v>197</v>
      </c>
      <c r="E38" s="1" t="s">
        <v>30</v>
      </c>
      <c r="F38" s="5">
        <v>10270.0</v>
      </c>
      <c r="G38" s="1" t="s">
        <v>31</v>
      </c>
      <c r="H38" s="9">
        <v>2.16E8</v>
      </c>
      <c r="I38" s="1">
        <v>-6.2185912</v>
      </c>
      <c r="J38" s="3">
        <v>106.8026347</v>
      </c>
      <c r="K38" s="6" t="s">
        <v>198</v>
      </c>
      <c r="L38" s="7" t="str">
        <f t="shared" si="1"/>
        <v/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2" t="s">
        <v>34</v>
      </c>
    </row>
    <row r="39">
      <c r="A39" s="3" t="s">
        <v>48</v>
      </c>
      <c r="B39" s="4" t="s">
        <v>199</v>
      </c>
      <c r="C39" s="1" t="s">
        <v>200</v>
      </c>
      <c r="D39" s="3" t="s">
        <v>201</v>
      </c>
      <c r="E39" s="1" t="s">
        <v>30</v>
      </c>
      <c r="F39" s="5">
        <v>10260.0</v>
      </c>
      <c r="G39" s="1" t="s">
        <v>31</v>
      </c>
      <c r="H39" s="9">
        <v>8.96E10</v>
      </c>
      <c r="I39" s="1">
        <v>-6.1889487</v>
      </c>
      <c r="J39" s="3">
        <v>106.8102122</v>
      </c>
      <c r="K39" s="6" t="s">
        <v>202</v>
      </c>
      <c r="L39" s="7" t="str">
        <f t="shared" si="1"/>
        <v/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2" t="s">
        <v>34</v>
      </c>
    </row>
    <row r="40">
      <c r="A40" s="3" t="s">
        <v>125</v>
      </c>
      <c r="B40" s="4" t="s">
        <v>203</v>
      </c>
      <c r="C40" s="1" t="s">
        <v>204</v>
      </c>
      <c r="D40" s="3" t="s">
        <v>205</v>
      </c>
      <c r="E40" s="1" t="s">
        <v>30</v>
      </c>
      <c r="F40" s="5">
        <v>10260.0</v>
      </c>
      <c r="G40" s="1" t="s">
        <v>31</v>
      </c>
      <c r="H40" s="3" t="s">
        <v>32</v>
      </c>
      <c r="I40" s="1">
        <v>-6.1898113</v>
      </c>
      <c r="J40" s="3">
        <v>106.8074965</v>
      </c>
      <c r="K40" s="6" t="s">
        <v>206</v>
      </c>
      <c r="L40" s="7" t="str">
        <f t="shared" si="1"/>
        <v/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2" t="s">
        <v>34</v>
      </c>
    </row>
    <row r="41">
      <c r="A41" s="3" t="s">
        <v>207</v>
      </c>
      <c r="B41" s="4" t="s">
        <v>208</v>
      </c>
      <c r="C41" s="1" t="s">
        <v>209</v>
      </c>
      <c r="D41" s="3" t="s">
        <v>210</v>
      </c>
      <c r="E41" s="1" t="s">
        <v>30</v>
      </c>
      <c r="F41" s="5">
        <v>10210.0</v>
      </c>
      <c r="G41" s="1" t="s">
        <v>31</v>
      </c>
      <c r="H41" s="9">
        <v>2.14E9</v>
      </c>
      <c r="I41" s="1">
        <v>-6.209366</v>
      </c>
      <c r="J41" s="3">
        <v>106.8074328</v>
      </c>
      <c r="K41" s="6" t="s">
        <v>211</v>
      </c>
      <c r="L41" s="7" t="str">
        <f t="shared" si="1"/>
        <v/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" t="s">
        <v>34</v>
      </c>
    </row>
    <row r="42">
      <c r="A42" s="3" t="s">
        <v>35</v>
      </c>
      <c r="B42" s="3" t="s">
        <v>212</v>
      </c>
      <c r="C42" s="1" t="s">
        <v>213</v>
      </c>
      <c r="D42" s="3" t="s">
        <v>214</v>
      </c>
      <c r="E42" s="1" t="s">
        <v>30</v>
      </c>
      <c r="F42" s="5">
        <v>10270.0</v>
      </c>
      <c r="G42" s="1" t="s">
        <v>31</v>
      </c>
      <c r="H42" s="3" t="s">
        <v>32</v>
      </c>
      <c r="I42" s="1">
        <v>-6.2123263</v>
      </c>
      <c r="J42" s="3">
        <v>106.7972178</v>
      </c>
      <c r="K42" s="6" t="s">
        <v>215</v>
      </c>
      <c r="L42" s="7" t="str">
        <f t="shared" si="1"/>
        <v/>
      </c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2" t="s">
        <v>34</v>
      </c>
    </row>
    <row r="43">
      <c r="A43" s="3" t="s">
        <v>48</v>
      </c>
      <c r="B43" s="4" t="s">
        <v>216</v>
      </c>
      <c r="C43" s="1" t="s">
        <v>217</v>
      </c>
      <c r="D43" s="3" t="s">
        <v>218</v>
      </c>
      <c r="E43" s="1" t="s">
        <v>30</v>
      </c>
      <c r="F43" s="5">
        <v>10350.0</v>
      </c>
      <c r="G43" s="1" t="s">
        <v>31</v>
      </c>
      <c r="H43" s="3" t="s">
        <v>32</v>
      </c>
      <c r="I43" s="1">
        <v>-6.1929585</v>
      </c>
      <c r="J43" s="3">
        <v>106.8316202</v>
      </c>
      <c r="K43" s="6" t="s">
        <v>219</v>
      </c>
      <c r="L43" s="7" t="str">
        <f t="shared" si="1"/>
        <v/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2" t="s">
        <v>34</v>
      </c>
    </row>
    <row r="44">
      <c r="A44" s="3" t="s">
        <v>48</v>
      </c>
      <c r="B44" s="4" t="s">
        <v>220</v>
      </c>
      <c r="C44" s="1" t="s">
        <v>221</v>
      </c>
      <c r="D44" s="3" t="s">
        <v>222</v>
      </c>
      <c r="E44" s="1" t="s">
        <v>30</v>
      </c>
      <c r="F44" s="5">
        <v>10310.0</v>
      </c>
      <c r="G44" s="1" t="s">
        <v>31</v>
      </c>
      <c r="H44" s="3" t="s">
        <v>32</v>
      </c>
      <c r="I44" s="1">
        <v>-6.2007662</v>
      </c>
      <c r="J44" s="3">
        <v>106.8389482</v>
      </c>
      <c r="K44" s="6" t="s">
        <v>223</v>
      </c>
      <c r="L44" s="7" t="str">
        <f t="shared" si="1"/>
        <v/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2" t="s">
        <v>34</v>
      </c>
    </row>
    <row r="45">
      <c r="A45" s="3" t="s">
        <v>48</v>
      </c>
      <c r="B45" s="4" t="s">
        <v>224</v>
      </c>
      <c r="C45" s="1" t="s">
        <v>225</v>
      </c>
      <c r="D45" s="3" t="s">
        <v>226</v>
      </c>
      <c r="E45" s="1" t="s">
        <v>30</v>
      </c>
      <c r="F45" s="5">
        <v>10320.0</v>
      </c>
      <c r="G45" s="1" t="s">
        <v>31</v>
      </c>
      <c r="H45" s="3" t="s">
        <v>32</v>
      </c>
      <c r="I45" s="1">
        <v>-6.2052376</v>
      </c>
      <c r="J45" s="3">
        <v>106.8526891</v>
      </c>
      <c r="K45" s="6" t="s">
        <v>227</v>
      </c>
      <c r="L45" s="7" t="str">
        <f t="shared" si="1"/>
        <v/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2" t="s">
        <v>34</v>
      </c>
    </row>
    <row r="46">
      <c r="A46" s="3" t="s">
        <v>48</v>
      </c>
      <c r="B46" s="4" t="s">
        <v>228</v>
      </c>
      <c r="C46" s="1" t="s">
        <v>229</v>
      </c>
      <c r="D46" s="3" t="s">
        <v>188</v>
      </c>
      <c r="E46" s="1" t="s">
        <v>30</v>
      </c>
      <c r="F46" s="3" t="s">
        <v>32</v>
      </c>
      <c r="G46" s="1" t="s">
        <v>31</v>
      </c>
      <c r="H46" s="3" t="s">
        <v>32</v>
      </c>
      <c r="I46" s="1">
        <v>-6.1671806</v>
      </c>
      <c r="J46" s="3">
        <v>106.8340622</v>
      </c>
      <c r="K46" s="6" t="s">
        <v>230</v>
      </c>
      <c r="L46" s="7" t="str">
        <f t="shared" si="1"/>
        <v/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" t="s">
        <v>34</v>
      </c>
    </row>
    <row r="47">
      <c r="A47" s="3" t="s">
        <v>119</v>
      </c>
      <c r="B47" s="4" t="s">
        <v>231</v>
      </c>
      <c r="C47" s="1" t="s">
        <v>232</v>
      </c>
      <c r="D47" s="3" t="s">
        <v>233</v>
      </c>
      <c r="E47" s="1" t="s">
        <v>30</v>
      </c>
      <c r="F47" s="5">
        <v>10730.0</v>
      </c>
      <c r="G47" s="1" t="s">
        <v>31</v>
      </c>
      <c r="H47" s="3" t="s">
        <v>32</v>
      </c>
      <c r="I47" s="1">
        <v>-6.1398108</v>
      </c>
      <c r="J47" s="3">
        <v>106.8299814</v>
      </c>
      <c r="K47" s="6" t="s">
        <v>234</v>
      </c>
      <c r="L47" s="7">
        <f t="shared" si="1"/>
        <v>32936507.94</v>
      </c>
      <c r="M47" s="7">
        <f>4150000000/126</f>
        <v>32936507.94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 t="s">
        <v>235</v>
      </c>
    </row>
    <row r="48">
      <c r="A48" s="3" t="s">
        <v>48</v>
      </c>
      <c r="B48" s="4" t="s">
        <v>236</v>
      </c>
      <c r="C48" s="1" t="s">
        <v>237</v>
      </c>
      <c r="D48" s="3" t="s">
        <v>233</v>
      </c>
      <c r="E48" s="1" t="s">
        <v>30</v>
      </c>
      <c r="F48" s="5">
        <v>10730.0</v>
      </c>
      <c r="G48" s="1" t="s">
        <v>31</v>
      </c>
      <c r="H48" s="3" t="s">
        <v>32</v>
      </c>
      <c r="I48" s="1">
        <v>-6.1382106</v>
      </c>
      <c r="J48" s="3">
        <v>106.8297045</v>
      </c>
      <c r="K48" s="6" t="s">
        <v>238</v>
      </c>
      <c r="L48" s="7" t="str">
        <f t="shared" si="1"/>
        <v/>
      </c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2" t="s">
        <v>34</v>
      </c>
    </row>
    <row r="49">
      <c r="A49" s="3" t="s">
        <v>239</v>
      </c>
      <c r="B49" s="4" t="s">
        <v>240</v>
      </c>
      <c r="C49" s="1" t="s">
        <v>241</v>
      </c>
      <c r="D49" s="3" t="s">
        <v>242</v>
      </c>
      <c r="E49" s="1" t="s">
        <v>30</v>
      </c>
      <c r="F49" s="5">
        <v>10450.0</v>
      </c>
      <c r="G49" s="1" t="s">
        <v>31</v>
      </c>
      <c r="H49" s="3" t="s">
        <v>32</v>
      </c>
      <c r="I49" s="1">
        <v>-6.1814519</v>
      </c>
      <c r="J49" s="3">
        <v>106.8462286</v>
      </c>
      <c r="K49" s="6" t="s">
        <v>243</v>
      </c>
      <c r="L49" s="7">
        <f t="shared" si="1"/>
        <v>34285714.29</v>
      </c>
      <c r="M49" s="7">
        <f>720000000/21</f>
        <v>34285714.29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8" t="s">
        <v>244</v>
      </c>
    </row>
    <row r="50">
      <c r="A50" s="3" t="s">
        <v>26</v>
      </c>
      <c r="B50" s="4" t="s">
        <v>245</v>
      </c>
      <c r="C50" s="1" t="s">
        <v>246</v>
      </c>
      <c r="D50" s="3" t="s">
        <v>247</v>
      </c>
      <c r="E50" s="1" t="s">
        <v>30</v>
      </c>
      <c r="F50" s="5">
        <v>10420.0</v>
      </c>
      <c r="G50" s="1" t="s">
        <v>31</v>
      </c>
      <c r="H50" s="9">
        <v>2.14E9</v>
      </c>
      <c r="I50" s="1">
        <v>-6.1809517</v>
      </c>
      <c r="J50" s="3">
        <v>106.8394504</v>
      </c>
      <c r="K50" s="6" t="s">
        <v>248</v>
      </c>
      <c r="L50" s="7" t="str">
        <f t="shared" si="1"/>
        <v/>
      </c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2" t="s">
        <v>34</v>
      </c>
    </row>
    <row r="51">
      <c r="A51" s="3" t="s">
        <v>48</v>
      </c>
      <c r="B51" s="4" t="s">
        <v>249</v>
      </c>
      <c r="C51" s="1" t="s">
        <v>250</v>
      </c>
      <c r="D51" s="3" t="s">
        <v>251</v>
      </c>
      <c r="E51" s="1" t="s">
        <v>30</v>
      </c>
      <c r="F51" s="5">
        <v>10450.0</v>
      </c>
      <c r="G51" s="1" t="s">
        <v>31</v>
      </c>
      <c r="H51" s="3" t="s">
        <v>32</v>
      </c>
      <c r="I51" s="1">
        <v>-6.1810791</v>
      </c>
      <c r="J51" s="3">
        <v>106.8458394</v>
      </c>
      <c r="K51" s="6" t="s">
        <v>252</v>
      </c>
      <c r="L51" s="7" t="str">
        <f t="shared" si="1"/>
        <v/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" t="s">
        <v>34</v>
      </c>
    </row>
    <row r="52">
      <c r="A52" s="3" t="s">
        <v>253</v>
      </c>
      <c r="B52" s="4" t="s">
        <v>254</v>
      </c>
      <c r="C52" s="1" t="s">
        <v>255</v>
      </c>
      <c r="D52" s="3" t="s">
        <v>256</v>
      </c>
      <c r="E52" s="1" t="s">
        <v>30</v>
      </c>
      <c r="F52" s="5">
        <v>10440.0</v>
      </c>
      <c r="G52" s="1" t="s">
        <v>31</v>
      </c>
      <c r="H52" s="3" t="s">
        <v>32</v>
      </c>
      <c r="I52" s="1">
        <v>-6.1887636</v>
      </c>
      <c r="J52" s="3">
        <v>106.851956</v>
      </c>
      <c r="K52" s="6" t="s">
        <v>257</v>
      </c>
      <c r="L52" s="7" t="str">
        <f t="shared" si="1"/>
        <v/>
      </c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2" t="s">
        <v>34</v>
      </c>
    </row>
    <row r="53">
      <c r="J53" s="11">
        <f>sum(K53:Y53)</f>
        <v>109</v>
      </c>
      <c r="K53" s="11">
        <f>counta(K2:K52)</f>
        <v>51</v>
      </c>
      <c r="M53" s="11">
        <f t="shared" ref="M53:Y53" si="9">counta(M2:M52)</f>
        <v>13</v>
      </c>
      <c r="N53" s="11">
        <f t="shared" si="9"/>
        <v>9</v>
      </c>
      <c r="O53" s="11">
        <f t="shared" si="9"/>
        <v>8</v>
      </c>
      <c r="P53" s="11">
        <f t="shared" si="9"/>
        <v>6</v>
      </c>
      <c r="Q53" s="11">
        <f t="shared" si="9"/>
        <v>6</v>
      </c>
      <c r="R53" s="11">
        <f t="shared" si="9"/>
        <v>4</v>
      </c>
      <c r="S53" s="11">
        <f t="shared" si="9"/>
        <v>3</v>
      </c>
      <c r="T53" s="11">
        <f t="shared" si="9"/>
        <v>2</v>
      </c>
      <c r="U53" s="11">
        <f t="shared" si="9"/>
        <v>2</v>
      </c>
      <c r="V53" s="11">
        <f t="shared" si="9"/>
        <v>2</v>
      </c>
      <c r="W53" s="11">
        <f t="shared" si="9"/>
        <v>1</v>
      </c>
      <c r="X53" s="11">
        <f t="shared" si="9"/>
        <v>1</v>
      </c>
      <c r="Y53" s="11">
        <f t="shared" si="9"/>
        <v>1</v>
      </c>
    </row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Z7"/>
    <hyperlink r:id="rId8" ref="K8"/>
    <hyperlink r:id="rId9" ref="K9"/>
    <hyperlink r:id="rId10" ref="K10"/>
    <hyperlink r:id="rId11" ref="Z10"/>
    <hyperlink r:id="rId12" ref="K11"/>
    <hyperlink r:id="rId13" ref="K12"/>
    <hyperlink r:id="rId14" ref="K13"/>
    <hyperlink r:id="rId15" ref="K14"/>
    <hyperlink r:id="rId16" ref="K15"/>
    <hyperlink r:id="rId17" ref="K16"/>
    <hyperlink r:id="rId18" ref="K17"/>
    <hyperlink r:id="rId19" ref="Z17"/>
    <hyperlink r:id="rId20" ref="K18"/>
    <hyperlink r:id="rId21" ref="Z18"/>
    <hyperlink r:id="rId22" ref="K19"/>
    <hyperlink r:id="rId23" ref="Z19"/>
    <hyperlink r:id="rId24" ref="K20"/>
    <hyperlink r:id="rId25" ref="K21"/>
    <hyperlink r:id="rId26" ref="Z21"/>
    <hyperlink r:id="rId27" ref="K22"/>
    <hyperlink r:id="rId28" ref="Z22"/>
    <hyperlink r:id="rId29" ref="K23"/>
    <hyperlink r:id="rId30" ref="K24"/>
    <hyperlink r:id="rId31" ref="K25"/>
    <hyperlink r:id="rId32" ref="K26"/>
    <hyperlink r:id="rId33" ref="K27"/>
    <hyperlink r:id="rId34" ref="K28"/>
    <hyperlink r:id="rId35" ref="Z28"/>
    <hyperlink r:id="rId36" ref="K29"/>
    <hyperlink r:id="rId37" ref="Z29"/>
    <hyperlink r:id="rId38" ref="K30"/>
    <hyperlink r:id="rId39" ref="K31"/>
    <hyperlink r:id="rId40" ref="K32"/>
    <hyperlink r:id="rId41" ref="Z32"/>
    <hyperlink r:id="rId42" ref="K33"/>
    <hyperlink r:id="rId43" ref="Z33"/>
    <hyperlink r:id="rId44" ref="K34"/>
    <hyperlink r:id="rId45" ref="K35"/>
    <hyperlink r:id="rId46" ref="K36"/>
    <hyperlink r:id="rId47" ref="K37"/>
    <hyperlink r:id="rId48" ref="K38"/>
    <hyperlink r:id="rId49" ref="K39"/>
    <hyperlink r:id="rId50" ref="K40"/>
    <hyperlink r:id="rId51" ref="K41"/>
    <hyperlink r:id="rId52" ref="K42"/>
    <hyperlink r:id="rId53" ref="K43"/>
    <hyperlink r:id="rId54" ref="K44"/>
    <hyperlink r:id="rId55" ref="K45"/>
    <hyperlink r:id="rId56" ref="K46"/>
    <hyperlink r:id="rId57" ref="K47"/>
    <hyperlink r:id="rId58" ref="Z47"/>
    <hyperlink r:id="rId59" ref="K48"/>
    <hyperlink r:id="rId60" ref="K49"/>
    <hyperlink r:id="rId61" ref="Z49"/>
    <hyperlink r:id="rId62" ref="K50"/>
    <hyperlink r:id="rId63" ref="K51"/>
    <hyperlink r:id="rId64" ref="K52"/>
  </hyperlinks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5"/>
    <col customWidth="1" min="11" max="11" width="44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 t="s">
        <v>48</v>
      </c>
      <c r="B2" s="4" t="s">
        <v>258</v>
      </c>
      <c r="C2" s="1" t="s">
        <v>259</v>
      </c>
      <c r="D2" s="3" t="s">
        <v>260</v>
      </c>
      <c r="E2" s="1" t="s">
        <v>30</v>
      </c>
      <c r="F2" s="5">
        <v>11710.0</v>
      </c>
      <c r="G2" s="1" t="s">
        <v>31</v>
      </c>
      <c r="H2" s="3" t="s">
        <v>32</v>
      </c>
      <c r="I2" s="1">
        <v>-6.1520145</v>
      </c>
      <c r="J2" s="3">
        <v>106.7648212</v>
      </c>
      <c r="K2" s="6" t="s">
        <v>261</v>
      </c>
      <c r="L2" s="7" t="str">
        <f t="shared" ref="L2:L166" si="1">IFERROR(MEDIAN(M2:Y2),"")</f>
        <v/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" t="s">
        <v>34</v>
      </c>
    </row>
    <row r="3">
      <c r="A3" s="3" t="s">
        <v>35</v>
      </c>
      <c r="B3" s="4" t="s">
        <v>262</v>
      </c>
      <c r="C3" s="1" t="s">
        <v>263</v>
      </c>
      <c r="D3" s="3" t="s">
        <v>264</v>
      </c>
      <c r="E3" s="1" t="s">
        <v>30</v>
      </c>
      <c r="F3" s="5">
        <v>11640.0</v>
      </c>
      <c r="G3" s="1" t="s">
        <v>31</v>
      </c>
      <c r="H3" s="3" t="s">
        <v>32</v>
      </c>
      <c r="I3" s="1">
        <v>-6.221483</v>
      </c>
      <c r="J3" s="3">
        <v>106.718495</v>
      </c>
      <c r="K3" s="6" t="s">
        <v>265</v>
      </c>
      <c r="L3" s="7" t="str">
        <f t="shared" si="1"/>
        <v/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 t="s">
        <v>34</v>
      </c>
    </row>
    <row r="4">
      <c r="A4" s="3" t="s">
        <v>266</v>
      </c>
      <c r="B4" s="4" t="s">
        <v>267</v>
      </c>
      <c r="C4" s="1" t="s">
        <v>268</v>
      </c>
      <c r="D4" s="3" t="s">
        <v>269</v>
      </c>
      <c r="E4" s="1" t="s">
        <v>30</v>
      </c>
      <c r="F4" s="5">
        <v>11610.0</v>
      </c>
      <c r="G4" s="1" t="s">
        <v>31</v>
      </c>
      <c r="H4" s="3" t="s">
        <v>32</v>
      </c>
      <c r="I4" s="1">
        <v>-6.1845965</v>
      </c>
      <c r="J4" s="3">
        <v>106.7323638</v>
      </c>
      <c r="K4" s="6" t="s">
        <v>270</v>
      </c>
      <c r="L4" s="7">
        <f t="shared" si="1"/>
        <v>31111111.11</v>
      </c>
      <c r="M4" s="7">
        <f>5100000000/143</f>
        <v>35664335.66</v>
      </c>
      <c r="N4" s="7">
        <f>2800000000/90</f>
        <v>31111111.11</v>
      </c>
      <c r="O4" s="7">
        <f>4700000000/162</f>
        <v>29012345.68</v>
      </c>
      <c r="P4" s="7">
        <f>4700000000/143</f>
        <v>32867132.87</v>
      </c>
      <c r="Q4" s="7">
        <f>4700000000/162</f>
        <v>29012345.68</v>
      </c>
      <c r="R4" s="7">
        <f>7000000000/220</f>
        <v>31818181.82</v>
      </c>
      <c r="S4" s="7">
        <f>12500000000/522</f>
        <v>23946360.15</v>
      </c>
      <c r="T4" s="7">
        <f>3800000000/135</f>
        <v>28148148.15</v>
      </c>
      <c r="U4" s="7">
        <f>2800000000/90</f>
        <v>31111111.11</v>
      </c>
      <c r="V4" s="7">
        <f>3100000000/90</f>
        <v>34444444.44</v>
      </c>
      <c r="W4" s="7">
        <f>5000000000/184</f>
        <v>27173913.04</v>
      </c>
      <c r="X4" s="7"/>
      <c r="Y4" s="7"/>
      <c r="Z4" s="8" t="s">
        <v>271</v>
      </c>
    </row>
    <row r="5">
      <c r="A5" s="3" t="s">
        <v>134</v>
      </c>
      <c r="B5" s="4" t="s">
        <v>272</v>
      </c>
      <c r="C5" s="1" t="s">
        <v>273</v>
      </c>
      <c r="D5" s="3" t="s">
        <v>274</v>
      </c>
      <c r="E5" s="1" t="s">
        <v>30</v>
      </c>
      <c r="F5" s="5">
        <v>11530.0</v>
      </c>
      <c r="G5" s="1" t="s">
        <v>31</v>
      </c>
      <c r="H5" s="3" t="s">
        <v>32</v>
      </c>
      <c r="I5" s="1">
        <v>-6.19335</v>
      </c>
      <c r="J5" s="3">
        <v>106.76493</v>
      </c>
      <c r="K5" s="6" t="s">
        <v>275</v>
      </c>
      <c r="L5" s="7" t="str">
        <f t="shared" si="1"/>
        <v/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" t="s">
        <v>34</v>
      </c>
    </row>
    <row r="6">
      <c r="A6" s="3" t="s">
        <v>26</v>
      </c>
      <c r="B6" s="4" t="s">
        <v>276</v>
      </c>
      <c r="C6" s="1" t="s">
        <v>277</v>
      </c>
      <c r="D6" s="3" t="s">
        <v>278</v>
      </c>
      <c r="E6" s="1" t="s">
        <v>30</v>
      </c>
      <c r="F6" s="5">
        <v>11460.0</v>
      </c>
      <c r="G6" s="1" t="s">
        <v>31</v>
      </c>
      <c r="H6" s="3" t="s">
        <v>32</v>
      </c>
      <c r="I6" s="1">
        <v>-6.1568075</v>
      </c>
      <c r="J6" s="3">
        <v>106.7917858</v>
      </c>
      <c r="K6" s="6" t="s">
        <v>279</v>
      </c>
      <c r="L6" s="7">
        <f t="shared" si="1"/>
        <v>59523809.52</v>
      </c>
      <c r="M6" s="7">
        <f>3750000000/63</f>
        <v>59523809.52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280</v>
      </c>
    </row>
    <row r="7">
      <c r="A7" s="3" t="s">
        <v>26</v>
      </c>
      <c r="B7" s="4" t="s">
        <v>281</v>
      </c>
      <c r="C7" s="1" t="s">
        <v>282</v>
      </c>
      <c r="D7" s="3" t="s">
        <v>283</v>
      </c>
      <c r="E7" s="1" t="s">
        <v>30</v>
      </c>
      <c r="F7" s="5">
        <v>11650.0</v>
      </c>
      <c r="G7" s="1" t="s">
        <v>31</v>
      </c>
      <c r="H7" s="3" t="s">
        <v>32</v>
      </c>
      <c r="I7" s="1">
        <v>-6.215669</v>
      </c>
      <c r="J7" s="3">
        <v>106.7258366</v>
      </c>
      <c r="K7" s="6" t="s">
        <v>284</v>
      </c>
      <c r="L7" s="7">
        <f t="shared" si="1"/>
        <v>21326530.61</v>
      </c>
      <c r="M7" s="7">
        <f>2090000000/98</f>
        <v>21326530.61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285</v>
      </c>
    </row>
    <row r="8">
      <c r="A8" s="3" t="s">
        <v>35</v>
      </c>
      <c r="B8" s="3" t="s">
        <v>286</v>
      </c>
      <c r="C8" s="1" t="s">
        <v>287</v>
      </c>
      <c r="D8" s="3" t="s">
        <v>288</v>
      </c>
      <c r="E8" s="1" t="s">
        <v>30</v>
      </c>
      <c r="F8" s="5">
        <v>11720.0</v>
      </c>
      <c r="G8" s="1" t="s">
        <v>31</v>
      </c>
      <c r="H8" s="3" t="s">
        <v>32</v>
      </c>
      <c r="I8" s="1">
        <v>-6.1495366</v>
      </c>
      <c r="J8" s="3">
        <v>106.7469968</v>
      </c>
      <c r="K8" s="6" t="s">
        <v>289</v>
      </c>
      <c r="L8" s="7">
        <f t="shared" si="1"/>
        <v>17532467.53</v>
      </c>
      <c r="M8" s="7">
        <f>2700000000/154</f>
        <v>17532467.53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8" t="s">
        <v>290</v>
      </c>
    </row>
    <row r="9">
      <c r="A9" s="3" t="s">
        <v>35</v>
      </c>
      <c r="B9" s="3" t="s">
        <v>291</v>
      </c>
      <c r="C9" s="1" t="s">
        <v>292</v>
      </c>
      <c r="D9" s="3" t="s">
        <v>293</v>
      </c>
      <c r="E9" s="1" t="s">
        <v>30</v>
      </c>
      <c r="F9" s="5">
        <v>11730.0</v>
      </c>
      <c r="G9" s="1" t="s">
        <v>31</v>
      </c>
      <c r="H9" s="9">
        <v>8.98E9</v>
      </c>
      <c r="I9" s="1">
        <v>-6.1301668</v>
      </c>
      <c r="J9" s="3">
        <v>106.7244261</v>
      </c>
      <c r="K9" s="6" t="s">
        <v>294</v>
      </c>
      <c r="L9" s="7">
        <f t="shared" si="1"/>
        <v>21666666.67</v>
      </c>
      <c r="M9" s="7">
        <f>2300000000/160</f>
        <v>14375000</v>
      </c>
      <c r="N9" s="7">
        <f>1650000000/100</f>
        <v>16500000</v>
      </c>
      <c r="O9" s="7">
        <f t="shared" ref="O9:P9" si="2">1600000000/56</f>
        <v>28571428.57</v>
      </c>
      <c r="P9" s="7">
        <f t="shared" si="2"/>
        <v>28571428.57</v>
      </c>
      <c r="Q9" s="7">
        <f>1200000000/60</f>
        <v>20000000</v>
      </c>
      <c r="R9" s="7">
        <f>1350000000/72</f>
        <v>18750000</v>
      </c>
      <c r="S9" s="7">
        <f t="shared" ref="S9:U9" si="3">1300000000/60</f>
        <v>21666666.67</v>
      </c>
      <c r="T9" s="7">
        <f t="shared" si="3"/>
        <v>21666666.67</v>
      </c>
      <c r="U9" s="7">
        <f t="shared" si="3"/>
        <v>21666666.67</v>
      </c>
      <c r="V9" s="7">
        <f>1050000000/72</f>
        <v>14583333.33</v>
      </c>
      <c r="W9" s="7">
        <f t="shared" ref="W9:X9" si="4">1300000000/60</f>
        <v>21666666.67</v>
      </c>
      <c r="X9" s="7">
        <f t="shared" si="4"/>
        <v>21666666.67</v>
      </c>
      <c r="Y9" s="7">
        <f>1500000000/72</f>
        <v>20833333.33</v>
      </c>
      <c r="Z9" s="8" t="s">
        <v>295</v>
      </c>
    </row>
    <row r="10">
      <c r="A10" s="3" t="s">
        <v>35</v>
      </c>
      <c r="B10" s="3" t="s">
        <v>296</v>
      </c>
      <c r="C10" s="1" t="s">
        <v>297</v>
      </c>
      <c r="D10" s="3" t="s">
        <v>298</v>
      </c>
      <c r="E10" s="1" t="s">
        <v>30</v>
      </c>
      <c r="F10" s="5">
        <v>11730.0</v>
      </c>
      <c r="G10" s="1" t="s">
        <v>31</v>
      </c>
      <c r="H10" s="3" t="s">
        <v>32</v>
      </c>
      <c r="I10" s="1">
        <v>-6.1286312</v>
      </c>
      <c r="J10" s="3">
        <v>106.7344898</v>
      </c>
      <c r="K10" s="6" t="s">
        <v>299</v>
      </c>
      <c r="L10" s="7">
        <f t="shared" si="1"/>
        <v>38194444.44</v>
      </c>
      <c r="M10" s="7">
        <f>2600000000/90</f>
        <v>28888888.89</v>
      </c>
      <c r="N10" s="7">
        <f t="shared" ref="N10:P10" si="5">3500000000/90</f>
        <v>38888888.89</v>
      </c>
      <c r="O10" s="7">
        <f t="shared" si="5"/>
        <v>38888888.89</v>
      </c>
      <c r="P10" s="7">
        <f t="shared" si="5"/>
        <v>38888888.89</v>
      </c>
      <c r="Q10" s="7">
        <f>6000000000/200</f>
        <v>30000000</v>
      </c>
      <c r="R10" s="7">
        <f t="shared" ref="R10:S10" si="6">5500000000/144</f>
        <v>38194444.44</v>
      </c>
      <c r="S10" s="7">
        <f t="shared" si="6"/>
        <v>38194444.44</v>
      </c>
      <c r="T10" s="7">
        <f>8250000000/200</f>
        <v>41250000</v>
      </c>
      <c r="U10" s="7">
        <f>4500000000/120</f>
        <v>37500000</v>
      </c>
      <c r="V10" s="7">
        <f>1850000000/60</f>
        <v>30833333.33</v>
      </c>
      <c r="W10" s="7">
        <f>5500000000/144</f>
        <v>38194444.44</v>
      </c>
      <c r="X10" s="7">
        <f>5200000000/160</f>
        <v>32500000</v>
      </c>
      <c r="Y10" s="7">
        <f>3500000000/90</f>
        <v>38888888.89</v>
      </c>
      <c r="Z10" s="8" t="s">
        <v>300</v>
      </c>
    </row>
    <row r="11">
      <c r="A11" s="3" t="s">
        <v>185</v>
      </c>
      <c r="B11" s="4" t="s">
        <v>301</v>
      </c>
      <c r="C11" s="1" t="s">
        <v>302</v>
      </c>
      <c r="D11" s="3" t="s">
        <v>303</v>
      </c>
      <c r="E11" s="1" t="s">
        <v>30</v>
      </c>
      <c r="F11" s="5">
        <v>11730.0</v>
      </c>
      <c r="G11" s="1" t="s">
        <v>31</v>
      </c>
      <c r="H11" s="3" t="s">
        <v>32</v>
      </c>
      <c r="I11" s="1">
        <v>-6.1289798</v>
      </c>
      <c r="J11" s="3">
        <v>106.7333943</v>
      </c>
      <c r="K11" s="6" t="s">
        <v>304</v>
      </c>
      <c r="L11" s="7">
        <f t="shared" si="1"/>
        <v>37500000</v>
      </c>
      <c r="M11" s="7">
        <f>4500000000/120</f>
        <v>37500000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8" t="s">
        <v>305</v>
      </c>
    </row>
    <row r="12">
      <c r="A12" s="3" t="s">
        <v>185</v>
      </c>
      <c r="B12" s="4" t="s">
        <v>306</v>
      </c>
      <c r="C12" s="1" t="s">
        <v>307</v>
      </c>
      <c r="D12" s="3" t="s">
        <v>308</v>
      </c>
      <c r="E12" s="1" t="s">
        <v>30</v>
      </c>
      <c r="F12" s="5">
        <v>11530.0</v>
      </c>
      <c r="G12" s="1" t="s">
        <v>31</v>
      </c>
      <c r="H12" s="3" t="s">
        <v>32</v>
      </c>
      <c r="I12" s="1">
        <v>-6.2000149</v>
      </c>
      <c r="J12" s="3">
        <v>106.780605</v>
      </c>
      <c r="K12" s="6" t="s">
        <v>309</v>
      </c>
      <c r="L12" s="7">
        <f t="shared" si="1"/>
        <v>37244897.96</v>
      </c>
      <c r="M12" s="7">
        <f>6900000000/162</f>
        <v>42592592.59</v>
      </c>
      <c r="N12" s="7">
        <f t="shared" ref="N12:O12" si="7">7300000000/196</f>
        <v>37244897.96</v>
      </c>
      <c r="O12" s="7">
        <f t="shared" si="7"/>
        <v>37244897.96</v>
      </c>
      <c r="P12" s="7">
        <f>5350000000/135</f>
        <v>39629629.63</v>
      </c>
      <c r="Q12" s="7">
        <f t="shared" ref="Q12:R12" si="8">7300000000/196</f>
        <v>37244897.96</v>
      </c>
      <c r="R12" s="7">
        <f t="shared" si="8"/>
        <v>37244897.96</v>
      </c>
      <c r="S12" s="7">
        <f>5350000000/135</f>
        <v>39629629.63</v>
      </c>
      <c r="T12" s="7">
        <f>5500000000/162</f>
        <v>33950617.28</v>
      </c>
      <c r="U12" s="7"/>
      <c r="V12" s="7"/>
      <c r="W12" s="7"/>
      <c r="X12" s="7"/>
      <c r="Y12" s="7"/>
      <c r="Z12" s="8" t="s">
        <v>310</v>
      </c>
    </row>
    <row r="13">
      <c r="A13" s="3" t="s">
        <v>185</v>
      </c>
      <c r="B13" s="4" t="s">
        <v>311</v>
      </c>
      <c r="C13" s="1" t="s">
        <v>312</v>
      </c>
      <c r="D13" s="3" t="s">
        <v>313</v>
      </c>
      <c r="E13" s="1" t="s">
        <v>30</v>
      </c>
      <c r="F13" s="5">
        <v>11540.0</v>
      </c>
      <c r="G13" s="1" t="s">
        <v>31</v>
      </c>
      <c r="H13" s="9">
        <v>8.16E9</v>
      </c>
      <c r="I13" s="1">
        <v>-6.2081178</v>
      </c>
      <c r="J13" s="3">
        <v>106.7803818</v>
      </c>
      <c r="K13" s="6" t="s">
        <v>314</v>
      </c>
      <c r="L13" s="7" t="str">
        <f t="shared" si="1"/>
        <v/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2" t="s">
        <v>34</v>
      </c>
    </row>
    <row r="14">
      <c r="A14" s="3" t="s">
        <v>185</v>
      </c>
      <c r="B14" s="4" t="s">
        <v>315</v>
      </c>
      <c r="C14" s="1" t="s">
        <v>316</v>
      </c>
      <c r="D14" s="3" t="s">
        <v>317</v>
      </c>
      <c r="E14" s="1" t="s">
        <v>30</v>
      </c>
      <c r="F14" s="5">
        <v>11550.0</v>
      </c>
      <c r="G14" s="1" t="s">
        <v>31</v>
      </c>
      <c r="H14" s="3" t="s">
        <v>32</v>
      </c>
      <c r="I14" s="1">
        <v>-6.2179006</v>
      </c>
      <c r="J14" s="3">
        <v>106.7733483</v>
      </c>
      <c r="K14" s="6" t="s">
        <v>318</v>
      </c>
      <c r="L14" s="7" t="str">
        <f t="shared" si="1"/>
        <v/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2" t="s">
        <v>34</v>
      </c>
    </row>
    <row r="15">
      <c r="A15" s="3" t="s">
        <v>185</v>
      </c>
      <c r="B15" s="4" t="s">
        <v>319</v>
      </c>
      <c r="C15" s="1" t="s">
        <v>320</v>
      </c>
      <c r="D15" s="3" t="s">
        <v>321</v>
      </c>
      <c r="E15" s="1" t="s">
        <v>30</v>
      </c>
      <c r="F15" s="5">
        <v>11830.0</v>
      </c>
      <c r="G15" s="1" t="s">
        <v>31</v>
      </c>
      <c r="H15" s="3" t="s">
        <v>32</v>
      </c>
      <c r="I15" s="1">
        <v>-6.1293732</v>
      </c>
      <c r="J15" s="3">
        <v>106.7011194</v>
      </c>
      <c r="K15" s="6" t="s">
        <v>322</v>
      </c>
      <c r="L15" s="7">
        <f t="shared" si="1"/>
        <v>37500000</v>
      </c>
      <c r="M15" s="7">
        <f>1800000000/48</f>
        <v>37500000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 t="s">
        <v>323</v>
      </c>
    </row>
    <row r="16">
      <c r="A16" s="3" t="s">
        <v>35</v>
      </c>
      <c r="B16" s="3" t="s">
        <v>324</v>
      </c>
      <c r="C16" s="1" t="s">
        <v>325</v>
      </c>
      <c r="D16" s="3" t="s">
        <v>326</v>
      </c>
      <c r="E16" s="1" t="s">
        <v>30</v>
      </c>
      <c r="F16" s="5">
        <v>11840.0</v>
      </c>
      <c r="G16" s="1" t="s">
        <v>31</v>
      </c>
      <c r="H16" s="3" t="s">
        <v>32</v>
      </c>
      <c r="I16" s="1">
        <v>-6.1436484</v>
      </c>
      <c r="J16" s="3">
        <v>106.69413</v>
      </c>
      <c r="K16" s="6" t="s">
        <v>327</v>
      </c>
      <c r="L16" s="7">
        <f t="shared" si="1"/>
        <v>15277777.78</v>
      </c>
      <c r="M16" s="7">
        <f>1250000000/90</f>
        <v>13888888.89</v>
      </c>
      <c r="N16" s="7">
        <f>3500000000/210</f>
        <v>16666666.67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 t="s">
        <v>328</v>
      </c>
    </row>
    <row r="17">
      <c r="A17" s="3" t="s">
        <v>35</v>
      </c>
      <c r="B17" s="3" t="s">
        <v>329</v>
      </c>
      <c r="C17" s="1" t="s">
        <v>330</v>
      </c>
      <c r="D17" s="3" t="s">
        <v>331</v>
      </c>
      <c r="E17" s="1" t="s">
        <v>30</v>
      </c>
      <c r="F17" s="5">
        <v>11640.0</v>
      </c>
      <c r="G17" s="1" t="s">
        <v>31</v>
      </c>
      <c r="H17" s="3" t="s">
        <v>32</v>
      </c>
      <c r="I17" s="1">
        <v>-6.2162712</v>
      </c>
      <c r="J17" s="3">
        <v>106.7394352</v>
      </c>
      <c r="K17" s="6" t="s">
        <v>332</v>
      </c>
      <c r="L17" s="7">
        <f t="shared" si="1"/>
        <v>29629629.63</v>
      </c>
      <c r="M17" s="7">
        <f>30000000000/1000</f>
        <v>30000000</v>
      </c>
      <c r="N17" s="7">
        <f>8200000000/270</f>
        <v>30370370.37</v>
      </c>
      <c r="O17" s="7">
        <f>8350000000/348</f>
        <v>23994252.87</v>
      </c>
      <c r="P17" s="7">
        <f>2900000000/108</f>
        <v>26851851.85</v>
      </c>
      <c r="Q17" s="7">
        <f>3200000000/108</f>
        <v>29629629.63</v>
      </c>
      <c r="R17" s="7">
        <f>5900000000/198</f>
        <v>29797979.8</v>
      </c>
      <c r="S17" s="7">
        <f>2850000000/108</f>
        <v>26388888.89</v>
      </c>
      <c r="T17" s="7">
        <f>5900000000/198</f>
        <v>29797979.8</v>
      </c>
      <c r="U17" s="7">
        <f>5900000000/360</f>
        <v>16388888.89</v>
      </c>
      <c r="V17" s="7">
        <f>1880000000/50</f>
        <v>37600000</v>
      </c>
      <c r="W17" s="7">
        <f>3200000000/108</f>
        <v>29629629.63</v>
      </c>
      <c r="X17" s="7">
        <f t="shared" ref="X17:Y17" si="9">6350000000/360</f>
        <v>17638888.89</v>
      </c>
      <c r="Y17" s="7">
        <f t="shared" si="9"/>
        <v>17638888.89</v>
      </c>
      <c r="Z17" s="10" t="s">
        <v>333</v>
      </c>
    </row>
    <row r="18">
      <c r="A18" s="3" t="s">
        <v>185</v>
      </c>
      <c r="B18" s="4" t="s">
        <v>334</v>
      </c>
      <c r="C18" s="1" t="s">
        <v>335</v>
      </c>
      <c r="D18" s="3" t="s">
        <v>336</v>
      </c>
      <c r="E18" s="1" t="s">
        <v>30</v>
      </c>
      <c r="F18" s="5">
        <v>11620.0</v>
      </c>
      <c r="G18" s="1" t="s">
        <v>31</v>
      </c>
      <c r="H18" s="3" t="s">
        <v>32</v>
      </c>
      <c r="I18" s="1">
        <v>-6.1933114</v>
      </c>
      <c r="J18" s="3">
        <v>106.749886</v>
      </c>
      <c r="K18" s="6" t="s">
        <v>337</v>
      </c>
      <c r="L18" s="7" t="str">
        <f t="shared" si="1"/>
        <v/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" t="s">
        <v>34</v>
      </c>
    </row>
    <row r="19">
      <c r="A19" s="3" t="s">
        <v>185</v>
      </c>
      <c r="B19" s="4" t="s">
        <v>338</v>
      </c>
      <c r="C19" s="1" t="s">
        <v>339</v>
      </c>
      <c r="D19" s="3" t="s">
        <v>340</v>
      </c>
      <c r="E19" s="1" t="s">
        <v>30</v>
      </c>
      <c r="F19" s="5">
        <v>11630.0</v>
      </c>
      <c r="G19" s="1" t="s">
        <v>31</v>
      </c>
      <c r="H19" s="3" t="s">
        <v>32</v>
      </c>
      <c r="I19" s="1">
        <v>-6.2071349</v>
      </c>
      <c r="J19" s="3">
        <v>106.7629209</v>
      </c>
      <c r="K19" s="6" t="s">
        <v>341</v>
      </c>
      <c r="L19" s="7">
        <f t="shared" si="1"/>
        <v>27941176.47</v>
      </c>
      <c r="M19" s="7">
        <f>3800000000/132</f>
        <v>28787878.79</v>
      </c>
      <c r="N19" s="7">
        <f>3650000000/153</f>
        <v>23856209.15</v>
      </c>
      <c r="O19" s="7">
        <f>3800000000/132</f>
        <v>28787878.79</v>
      </c>
      <c r="P19" s="7">
        <f>3800000000/136</f>
        <v>27941176.47</v>
      </c>
      <c r="Q19" s="7">
        <f>3800000000/132</f>
        <v>28787878.79</v>
      </c>
      <c r="R19" s="7">
        <f>3800000000/136</f>
        <v>27941176.47</v>
      </c>
      <c r="S19" s="7">
        <f>3300000000/136</f>
        <v>24264705.88</v>
      </c>
      <c r="T19" s="7">
        <f>3800000000/136</f>
        <v>27941176.47</v>
      </c>
      <c r="U19" s="7">
        <f>3500000000/144</f>
        <v>24305555.56</v>
      </c>
      <c r="V19" s="7">
        <f t="shared" ref="V19:W19" si="10">3800000000/132</f>
        <v>28787878.79</v>
      </c>
      <c r="W19" s="7">
        <f t="shared" si="10"/>
        <v>28787878.79</v>
      </c>
      <c r="X19" s="7">
        <f>3650000000/153</f>
        <v>23856209.15</v>
      </c>
      <c r="Y19" s="7">
        <f>3800000000/132</f>
        <v>28787878.79</v>
      </c>
      <c r="Z19" s="8" t="s">
        <v>342</v>
      </c>
    </row>
    <row r="20">
      <c r="A20" s="3" t="s">
        <v>35</v>
      </c>
      <c r="B20" s="3" t="s">
        <v>343</v>
      </c>
      <c r="C20" s="1" t="s">
        <v>344</v>
      </c>
      <c r="D20" s="3" t="s">
        <v>345</v>
      </c>
      <c r="E20" s="1" t="s">
        <v>30</v>
      </c>
      <c r="F20" s="5">
        <v>11630.0</v>
      </c>
      <c r="G20" s="1" t="s">
        <v>31</v>
      </c>
      <c r="H20" s="3" t="s">
        <v>32</v>
      </c>
      <c r="I20" s="1">
        <v>-6.2065942</v>
      </c>
      <c r="J20" s="3">
        <v>106.7620133</v>
      </c>
      <c r="K20" s="6" t="s">
        <v>346</v>
      </c>
      <c r="L20" s="7" t="str">
        <f t="shared" si="1"/>
        <v/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2" t="s">
        <v>34</v>
      </c>
    </row>
    <row r="21">
      <c r="A21" s="3" t="s">
        <v>35</v>
      </c>
      <c r="B21" s="3" t="s">
        <v>347</v>
      </c>
      <c r="C21" s="1" t="s">
        <v>348</v>
      </c>
      <c r="D21" s="3" t="s">
        <v>349</v>
      </c>
      <c r="E21" s="1" t="s">
        <v>30</v>
      </c>
      <c r="F21" s="5">
        <v>11640.0</v>
      </c>
      <c r="G21" s="1" t="s">
        <v>31</v>
      </c>
      <c r="H21" s="3" t="s">
        <v>32</v>
      </c>
      <c r="I21" s="1">
        <v>-6.2191792</v>
      </c>
      <c r="J21" s="3">
        <v>106.7401074</v>
      </c>
      <c r="K21" s="6" t="s">
        <v>350</v>
      </c>
      <c r="L21" s="7" t="str">
        <f t="shared" si="1"/>
        <v/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2" t="s">
        <v>34</v>
      </c>
    </row>
    <row r="22">
      <c r="A22" s="3" t="s">
        <v>351</v>
      </c>
      <c r="B22" s="4" t="s">
        <v>352</v>
      </c>
      <c r="C22" s="1" t="s">
        <v>353</v>
      </c>
      <c r="D22" s="3" t="s">
        <v>354</v>
      </c>
      <c r="E22" s="1" t="s">
        <v>30</v>
      </c>
      <c r="F22" s="5">
        <v>11540.0</v>
      </c>
      <c r="G22" s="1" t="s">
        <v>31</v>
      </c>
      <c r="H22" s="3" t="s">
        <v>32</v>
      </c>
      <c r="I22" s="1">
        <v>-6.2151291</v>
      </c>
      <c r="J22" s="3">
        <v>106.7774532</v>
      </c>
      <c r="K22" s="6" t="s">
        <v>355</v>
      </c>
      <c r="L22" s="7" t="str">
        <f t="shared" si="1"/>
        <v/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2" t="s">
        <v>34</v>
      </c>
    </row>
    <row r="23">
      <c r="A23" s="3" t="s">
        <v>48</v>
      </c>
      <c r="B23" s="4" t="s">
        <v>356</v>
      </c>
      <c r="C23" s="1" t="s">
        <v>357</v>
      </c>
      <c r="D23" s="3" t="s">
        <v>358</v>
      </c>
      <c r="E23" s="1" t="s">
        <v>30</v>
      </c>
      <c r="F23" s="5">
        <v>11710.0</v>
      </c>
      <c r="G23" s="1" t="s">
        <v>31</v>
      </c>
      <c r="H23" s="9">
        <v>8.12E10</v>
      </c>
      <c r="I23" s="1">
        <v>-6.1529177</v>
      </c>
      <c r="J23" s="3">
        <v>106.7518762</v>
      </c>
      <c r="K23" s="6" t="s">
        <v>359</v>
      </c>
      <c r="L23" s="7">
        <f t="shared" si="1"/>
        <v>36000000</v>
      </c>
      <c r="M23" s="7">
        <f>2160000000/60</f>
        <v>36000000</v>
      </c>
      <c r="N23" s="7">
        <f>2630000000/72</f>
        <v>36527777.78</v>
      </c>
      <c r="O23" s="7">
        <f>1850000000/60</f>
        <v>30833333.33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8" t="s">
        <v>360</v>
      </c>
    </row>
    <row r="24">
      <c r="A24" s="3" t="s">
        <v>48</v>
      </c>
      <c r="B24" s="3" t="s">
        <v>361</v>
      </c>
      <c r="C24" s="1" t="s">
        <v>362</v>
      </c>
      <c r="D24" s="3" t="s">
        <v>363</v>
      </c>
      <c r="E24" s="1" t="s">
        <v>30</v>
      </c>
      <c r="F24" s="5">
        <v>11720.0</v>
      </c>
      <c r="G24" s="1" t="s">
        <v>31</v>
      </c>
      <c r="H24" s="9">
        <v>8.14E10</v>
      </c>
      <c r="I24" s="1">
        <v>-6.1461329</v>
      </c>
      <c r="J24" s="3">
        <v>106.7456792</v>
      </c>
      <c r="K24" s="6" t="s">
        <v>364</v>
      </c>
      <c r="L24" s="7">
        <f t="shared" si="1"/>
        <v>20740740.74</v>
      </c>
      <c r="M24" s="7">
        <f>949000000/72</f>
        <v>13180555.56</v>
      </c>
      <c r="N24" s="7">
        <f>3800000000/240</f>
        <v>15833333.33</v>
      </c>
      <c r="O24" s="7">
        <f>2800000000/135</f>
        <v>20740740.74</v>
      </c>
      <c r="P24" s="7">
        <f>3250000000/240</f>
        <v>13541666.67</v>
      </c>
      <c r="Q24" s="7">
        <f>2300000000/180</f>
        <v>12777777.78</v>
      </c>
      <c r="R24" s="7">
        <f>2800000000/99</f>
        <v>28282828.28</v>
      </c>
      <c r="S24" s="7">
        <f t="shared" ref="S24:T24" si="11">4000000000/225</f>
        <v>17777777.78</v>
      </c>
      <c r="T24" s="7">
        <f t="shared" si="11"/>
        <v>17777777.78</v>
      </c>
      <c r="U24" s="7">
        <f>2000000000/72</f>
        <v>27777777.78</v>
      </c>
      <c r="V24" s="7">
        <f>1600000000/75</f>
        <v>21333333.33</v>
      </c>
      <c r="W24" s="7">
        <f>1890000000/72</f>
        <v>26250000</v>
      </c>
      <c r="X24" s="7">
        <f>3000000000/90</f>
        <v>33333333.33</v>
      </c>
      <c r="Y24" s="7">
        <f>2800000000/75</f>
        <v>37333333.33</v>
      </c>
      <c r="Z24" s="8" t="s">
        <v>365</v>
      </c>
    </row>
    <row r="25">
      <c r="A25" s="3" t="s">
        <v>48</v>
      </c>
      <c r="B25" s="4" t="s">
        <v>366</v>
      </c>
      <c r="C25" s="1" t="s">
        <v>367</v>
      </c>
      <c r="D25" s="3" t="s">
        <v>368</v>
      </c>
      <c r="E25" s="1" t="s">
        <v>30</v>
      </c>
      <c r="F25" s="5">
        <v>11750.0</v>
      </c>
      <c r="G25" s="1" t="s">
        <v>31</v>
      </c>
      <c r="H25" s="3" t="s">
        <v>32</v>
      </c>
      <c r="I25" s="1">
        <v>-6.1768658</v>
      </c>
      <c r="J25" s="3">
        <v>106.7101632</v>
      </c>
      <c r="K25" s="6" t="s">
        <v>369</v>
      </c>
      <c r="L25" s="7">
        <f t="shared" si="1"/>
        <v>17222222.22</v>
      </c>
      <c r="M25" s="7">
        <f>1550000000/85</f>
        <v>18235294.12</v>
      </c>
      <c r="N25" s="7">
        <f t="shared" ref="N25:O25" si="12">3100000000/180</f>
        <v>17222222.22</v>
      </c>
      <c r="O25" s="7">
        <f t="shared" si="12"/>
        <v>17222222.22</v>
      </c>
      <c r="P25" s="7">
        <f>4200000000/288</f>
        <v>14583333.33</v>
      </c>
      <c r="Q25" s="7">
        <f>2300000000/86</f>
        <v>26744186.05</v>
      </c>
      <c r="R25" s="7">
        <f>1600000000/144</f>
        <v>11111111.11</v>
      </c>
      <c r="S25" s="7">
        <f>2300000000/175</f>
        <v>13142857.14</v>
      </c>
      <c r="T25" s="7"/>
      <c r="U25" s="7"/>
      <c r="V25" s="7"/>
      <c r="W25" s="7"/>
      <c r="X25" s="7"/>
      <c r="Y25" s="7"/>
      <c r="Z25" s="8" t="s">
        <v>370</v>
      </c>
    </row>
    <row r="26">
      <c r="A26" s="3" t="s">
        <v>48</v>
      </c>
      <c r="B26" s="4" t="s">
        <v>371</v>
      </c>
      <c r="C26" s="1" t="s">
        <v>372</v>
      </c>
      <c r="D26" s="3" t="s">
        <v>373</v>
      </c>
      <c r="E26" s="1" t="s">
        <v>30</v>
      </c>
      <c r="F26" s="5">
        <v>11730.0</v>
      </c>
      <c r="G26" s="1" t="s">
        <v>31</v>
      </c>
      <c r="H26" s="3" t="s">
        <v>32</v>
      </c>
      <c r="I26" s="1">
        <v>-6.151246</v>
      </c>
      <c r="J26" s="3">
        <v>106.7310747</v>
      </c>
      <c r="K26" s="6" t="s">
        <v>374</v>
      </c>
      <c r="L26" s="7">
        <f t="shared" si="1"/>
        <v>22303004.13</v>
      </c>
      <c r="M26" s="7">
        <f>2500000000/138</f>
        <v>18115942.03</v>
      </c>
      <c r="N26" s="7">
        <f>4000000000/151</f>
        <v>26490066.23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 t="s">
        <v>375</v>
      </c>
    </row>
    <row r="27">
      <c r="A27" s="3" t="s">
        <v>48</v>
      </c>
      <c r="B27" s="4" t="s">
        <v>376</v>
      </c>
      <c r="C27" s="1" t="s">
        <v>377</v>
      </c>
      <c r="D27" s="3" t="s">
        <v>378</v>
      </c>
      <c r="E27" s="1" t="s">
        <v>30</v>
      </c>
      <c r="F27" s="5">
        <v>11720.0</v>
      </c>
      <c r="G27" s="1" t="s">
        <v>31</v>
      </c>
      <c r="H27" s="3" t="s">
        <v>32</v>
      </c>
      <c r="I27" s="1">
        <v>-6.1299723</v>
      </c>
      <c r="J27" s="3">
        <v>106.7382022</v>
      </c>
      <c r="K27" s="6" t="s">
        <v>379</v>
      </c>
      <c r="L27" s="7">
        <f t="shared" si="1"/>
        <v>16923076.92</v>
      </c>
      <c r="M27" s="7">
        <f>2350000000/90</f>
        <v>26111111.11</v>
      </c>
      <c r="N27" s="7">
        <f>2800000000/234</f>
        <v>11965811.97</v>
      </c>
      <c r="O27" s="7">
        <f>1700000000/90</f>
        <v>18888888.89</v>
      </c>
      <c r="P27" s="7">
        <f t="shared" ref="P27:Q27" si="13">2800000000/234</f>
        <v>11965811.97</v>
      </c>
      <c r="Q27" s="7">
        <f t="shared" si="13"/>
        <v>11965811.97</v>
      </c>
      <c r="R27" s="7">
        <f>2200000000/90</f>
        <v>24444444.44</v>
      </c>
      <c r="S27" s="7">
        <f>2200000000/273</f>
        <v>8058608.059</v>
      </c>
      <c r="T27" s="7">
        <f>5700000000/500</f>
        <v>11400000</v>
      </c>
      <c r="U27" s="7">
        <f>2300000000/125</f>
        <v>18400000</v>
      </c>
      <c r="V27" s="7">
        <f>2100000000/90</f>
        <v>23333333.33</v>
      </c>
      <c r="W27" s="7">
        <f>5700000000/500</f>
        <v>11400000</v>
      </c>
      <c r="X27" s="7">
        <f>4500000000/237</f>
        <v>18987341.77</v>
      </c>
      <c r="Y27" s="7">
        <f>2200000000/130</f>
        <v>16923076.92</v>
      </c>
      <c r="Z27" s="8" t="s">
        <v>380</v>
      </c>
    </row>
    <row r="28">
      <c r="A28" s="3" t="s">
        <v>48</v>
      </c>
      <c r="B28" s="4" t="s">
        <v>381</v>
      </c>
      <c r="C28" s="1" t="s">
        <v>382</v>
      </c>
      <c r="D28" s="3" t="s">
        <v>383</v>
      </c>
      <c r="E28" s="1" t="s">
        <v>30</v>
      </c>
      <c r="F28" s="5">
        <v>11730.0</v>
      </c>
      <c r="G28" s="1" t="s">
        <v>31</v>
      </c>
      <c r="H28" s="3" t="s">
        <v>32</v>
      </c>
      <c r="I28" s="1">
        <v>-6.1454936</v>
      </c>
      <c r="J28" s="3">
        <v>106.7248932</v>
      </c>
      <c r="K28" s="6" t="s">
        <v>384</v>
      </c>
      <c r="L28" s="7">
        <f t="shared" si="1"/>
        <v>25000000</v>
      </c>
      <c r="M28" s="7">
        <f>1400000000/56</f>
        <v>25000000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 t="s">
        <v>385</v>
      </c>
    </row>
    <row r="29">
      <c r="A29" s="3" t="s">
        <v>48</v>
      </c>
      <c r="B29" s="4" t="s">
        <v>386</v>
      </c>
      <c r="C29" s="1" t="s">
        <v>387</v>
      </c>
      <c r="D29" s="3" t="s">
        <v>388</v>
      </c>
      <c r="E29" s="1" t="s">
        <v>30</v>
      </c>
      <c r="F29" s="5">
        <v>11730.0</v>
      </c>
      <c r="G29" s="1" t="s">
        <v>31</v>
      </c>
      <c r="H29" s="3" t="s">
        <v>32</v>
      </c>
      <c r="I29" s="1">
        <v>-6.1521866</v>
      </c>
      <c r="J29" s="3">
        <v>106.722237</v>
      </c>
      <c r="K29" s="6" t="s">
        <v>389</v>
      </c>
      <c r="L29" s="7">
        <f t="shared" si="1"/>
        <v>10958904.11</v>
      </c>
      <c r="M29" s="7">
        <f>4000000000/365</f>
        <v>10958904.11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8" t="s">
        <v>390</v>
      </c>
    </row>
    <row r="30">
      <c r="A30" s="3" t="s">
        <v>48</v>
      </c>
      <c r="B30" s="4" t="s">
        <v>391</v>
      </c>
      <c r="C30" s="1" t="s">
        <v>392</v>
      </c>
      <c r="D30" s="3" t="s">
        <v>393</v>
      </c>
      <c r="E30" s="1" t="s">
        <v>30</v>
      </c>
      <c r="F30" s="5">
        <v>11730.0</v>
      </c>
      <c r="G30" s="1" t="s">
        <v>31</v>
      </c>
      <c r="H30" s="3" t="s">
        <v>32</v>
      </c>
      <c r="I30" s="1">
        <v>-6.1323527</v>
      </c>
      <c r="J30" s="3">
        <v>106.7279527</v>
      </c>
      <c r="K30" s="6" t="s">
        <v>394</v>
      </c>
      <c r="L30" s="7" t="str">
        <f t="shared" si="1"/>
        <v/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2" t="s">
        <v>34</v>
      </c>
    </row>
    <row r="31">
      <c r="A31" s="3" t="s">
        <v>48</v>
      </c>
      <c r="B31" s="4" t="s">
        <v>395</v>
      </c>
      <c r="C31" s="1" t="s">
        <v>396</v>
      </c>
      <c r="D31" s="3" t="s">
        <v>397</v>
      </c>
      <c r="E31" s="1" t="s">
        <v>30</v>
      </c>
      <c r="F31" s="5">
        <v>11730.0</v>
      </c>
      <c r="G31" s="1" t="s">
        <v>31</v>
      </c>
      <c r="H31" s="3" t="s">
        <v>32</v>
      </c>
      <c r="I31" s="1">
        <v>-6.1352874</v>
      </c>
      <c r="J31" s="3">
        <v>106.7265901</v>
      </c>
      <c r="K31" s="6" t="s">
        <v>398</v>
      </c>
      <c r="L31" s="7">
        <f t="shared" si="1"/>
        <v>11382113.82</v>
      </c>
      <c r="M31" s="7">
        <f>3000000000/220</f>
        <v>13636363.64</v>
      </c>
      <c r="N31" s="7">
        <f>3300000000/180</f>
        <v>18333333.33</v>
      </c>
      <c r="O31" s="7">
        <f>6300000000/730</f>
        <v>8630136.986</v>
      </c>
      <c r="P31" s="7">
        <f>1600000000/125</f>
        <v>12800000</v>
      </c>
      <c r="Q31" s="7">
        <f>2800000000/250</f>
        <v>11200000</v>
      </c>
      <c r="R31" s="7">
        <f>7000000000/528</f>
        <v>13257575.76</v>
      </c>
      <c r="S31" s="7">
        <f>4200000000/369</f>
        <v>11382113.82</v>
      </c>
      <c r="T31" s="7">
        <f>1800000000/180</f>
        <v>10000000</v>
      </c>
      <c r="U31" s="7">
        <f>3200000000/240</f>
        <v>13333333.33</v>
      </c>
      <c r="V31" s="7">
        <f>2500000000/360</f>
        <v>6944444.444</v>
      </c>
      <c r="W31" s="7">
        <f>4450000000/300</f>
        <v>14833333.33</v>
      </c>
      <c r="X31" s="7">
        <f>3200000000/315</f>
        <v>10158730.16</v>
      </c>
      <c r="Y31" s="7">
        <f>1797600000/252</f>
        <v>7133333.333</v>
      </c>
      <c r="Z31" s="8" t="s">
        <v>399</v>
      </c>
    </row>
    <row r="32">
      <c r="A32" s="3" t="s">
        <v>48</v>
      </c>
      <c r="B32" s="4" t="s">
        <v>400</v>
      </c>
      <c r="C32" s="1" t="s">
        <v>401</v>
      </c>
      <c r="D32" s="3" t="s">
        <v>402</v>
      </c>
      <c r="E32" s="1" t="s">
        <v>30</v>
      </c>
      <c r="F32" s="5">
        <v>11730.0</v>
      </c>
      <c r="G32" s="1" t="s">
        <v>31</v>
      </c>
      <c r="H32" s="3" t="s">
        <v>32</v>
      </c>
      <c r="I32" s="1">
        <v>-6.1400286</v>
      </c>
      <c r="J32" s="3">
        <v>106.7402156</v>
      </c>
      <c r="K32" s="6" t="s">
        <v>403</v>
      </c>
      <c r="L32" s="7">
        <f t="shared" si="1"/>
        <v>16203703.7</v>
      </c>
      <c r="M32" s="7">
        <f>1175000000/55</f>
        <v>21363636.36</v>
      </c>
      <c r="N32" s="7">
        <f>3000000000/140</f>
        <v>21428571.43</v>
      </c>
      <c r="O32" s="7">
        <f>3200000000/295</f>
        <v>10847457.63</v>
      </c>
      <c r="P32" s="7">
        <f>1900000000/90</f>
        <v>21111111.11</v>
      </c>
      <c r="Q32" s="7">
        <f>2999000000/100</f>
        <v>29990000</v>
      </c>
      <c r="R32" s="7">
        <f>1850000000/140</f>
        <v>13214285.71</v>
      </c>
      <c r="S32" s="7">
        <f>1800000000/108</f>
        <v>16666666.67</v>
      </c>
      <c r="T32" s="7">
        <f>1800000000/120</f>
        <v>15000000</v>
      </c>
      <c r="U32" s="7">
        <f>1750000000/108</f>
        <v>16203703.7</v>
      </c>
      <c r="V32" s="7">
        <f>1750000000/120</f>
        <v>14583333.33</v>
      </c>
      <c r="W32" s="7">
        <f>1700000000/70</f>
        <v>24285714.29</v>
      </c>
      <c r="X32" s="7">
        <f>2250000000/150</f>
        <v>15000000</v>
      </c>
      <c r="Y32" s="7">
        <f>2500000000/180</f>
        <v>13888888.89</v>
      </c>
      <c r="Z32" s="8" t="s">
        <v>404</v>
      </c>
    </row>
    <row r="33">
      <c r="A33" s="3" t="s">
        <v>48</v>
      </c>
      <c r="B33" s="4" t="s">
        <v>405</v>
      </c>
      <c r="C33" s="1" t="s">
        <v>406</v>
      </c>
      <c r="D33" s="3" t="s">
        <v>407</v>
      </c>
      <c r="E33" s="1" t="s">
        <v>30</v>
      </c>
      <c r="F33" s="5">
        <v>11730.0</v>
      </c>
      <c r="G33" s="1" t="s">
        <v>31</v>
      </c>
      <c r="H33" s="3" t="s">
        <v>32</v>
      </c>
      <c r="I33" s="1">
        <v>-6.1410815</v>
      </c>
      <c r="J33" s="3">
        <v>106.738323</v>
      </c>
      <c r="K33" s="6" t="s">
        <v>408</v>
      </c>
      <c r="L33" s="7">
        <f t="shared" si="1"/>
        <v>24000000</v>
      </c>
      <c r="M33" s="7">
        <f>1100000000/52</f>
        <v>21153846.15</v>
      </c>
      <c r="N33" s="7">
        <f>1200000000/52</f>
        <v>23076923.08</v>
      </c>
      <c r="O33" s="7">
        <f>1200000000/50</f>
        <v>24000000</v>
      </c>
      <c r="P33" s="7">
        <f>1500000000/52</f>
        <v>28846153.85</v>
      </c>
      <c r="Q33" s="7">
        <f>1300000000/52</f>
        <v>25000000</v>
      </c>
      <c r="R33" s="7">
        <f>900000000/52</f>
        <v>17307692.31</v>
      </c>
      <c r="S33" s="7">
        <f>1700000000/60</f>
        <v>28333333.33</v>
      </c>
      <c r="T33" s="7">
        <f>1100000000/50</f>
        <v>22000000</v>
      </c>
      <c r="U33" s="7">
        <f>1300000000/52</f>
        <v>25000000</v>
      </c>
      <c r="V33" s="7">
        <f>1100000000/50</f>
        <v>22000000</v>
      </c>
      <c r="W33" s="7">
        <f>1150000000/56</f>
        <v>20535714.29</v>
      </c>
      <c r="X33" s="7">
        <f>1400000000/50</f>
        <v>28000000</v>
      </c>
      <c r="Y33" s="7">
        <f>1200000000/48</f>
        <v>25000000</v>
      </c>
      <c r="Z33" s="8" t="s">
        <v>409</v>
      </c>
    </row>
    <row r="34">
      <c r="A34" s="3" t="s">
        <v>48</v>
      </c>
      <c r="B34" s="4" t="s">
        <v>410</v>
      </c>
      <c r="C34" s="1" t="s">
        <v>411</v>
      </c>
      <c r="D34" s="3" t="s">
        <v>412</v>
      </c>
      <c r="E34" s="1" t="s">
        <v>30</v>
      </c>
      <c r="F34" s="5">
        <v>11740.0</v>
      </c>
      <c r="G34" s="1" t="s">
        <v>31</v>
      </c>
      <c r="H34" s="3" t="s">
        <v>32</v>
      </c>
      <c r="I34" s="1">
        <v>-6.1640909</v>
      </c>
      <c r="J34" s="3">
        <v>106.7328307</v>
      </c>
      <c r="K34" s="6" t="s">
        <v>413</v>
      </c>
      <c r="L34" s="7">
        <f t="shared" si="1"/>
        <v>25000000</v>
      </c>
      <c r="M34" s="7">
        <f t="shared" ref="M34:N34" si="14">1650000000/60</f>
        <v>27500000</v>
      </c>
      <c r="N34" s="7">
        <f t="shared" si="14"/>
        <v>27500000</v>
      </c>
      <c r="O34" s="7">
        <f>1390000000/91</f>
        <v>15274725.27</v>
      </c>
      <c r="P34" s="7">
        <f t="shared" ref="P34:Q34" si="15">3100000000/131</f>
        <v>23664122.14</v>
      </c>
      <c r="Q34" s="7">
        <f t="shared" si="15"/>
        <v>23664122.14</v>
      </c>
      <c r="R34" s="7">
        <f>1500000000/60</f>
        <v>25000000</v>
      </c>
      <c r="S34" s="7">
        <f>1600000000/60</f>
        <v>26666666.67</v>
      </c>
      <c r="T34" s="7">
        <f>1500000000/60</f>
        <v>25000000</v>
      </c>
      <c r="U34" s="7"/>
      <c r="V34" s="7"/>
      <c r="W34" s="7"/>
      <c r="X34" s="7"/>
      <c r="Y34" s="7"/>
      <c r="Z34" s="8" t="s">
        <v>414</v>
      </c>
    </row>
    <row r="35">
      <c r="A35" s="3" t="s">
        <v>48</v>
      </c>
      <c r="B35" s="4" t="s">
        <v>415</v>
      </c>
      <c r="C35" s="1" t="s">
        <v>416</v>
      </c>
      <c r="D35" s="3" t="s">
        <v>417</v>
      </c>
      <c r="E35" s="1" t="s">
        <v>30</v>
      </c>
      <c r="F35" s="5">
        <v>11750.0</v>
      </c>
      <c r="G35" s="1" t="s">
        <v>31</v>
      </c>
      <c r="H35" s="3" t="s">
        <v>32</v>
      </c>
      <c r="I35" s="1">
        <v>-6.1776594</v>
      </c>
      <c r="J35" s="3">
        <v>106.7144679</v>
      </c>
      <c r="K35" s="6" t="s">
        <v>418</v>
      </c>
      <c r="L35" s="7">
        <f t="shared" si="1"/>
        <v>16666666.67</v>
      </c>
      <c r="M35" s="7">
        <f>1500000000/90</f>
        <v>16666666.67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8" t="s">
        <v>419</v>
      </c>
    </row>
    <row r="36">
      <c r="A36" s="3" t="s">
        <v>48</v>
      </c>
      <c r="B36" s="4" t="s">
        <v>420</v>
      </c>
      <c r="C36" s="1" t="s">
        <v>421</v>
      </c>
      <c r="D36" s="3" t="s">
        <v>422</v>
      </c>
      <c r="E36" s="1" t="s">
        <v>30</v>
      </c>
      <c r="F36" s="5">
        <v>11750.0</v>
      </c>
      <c r="G36" s="1" t="s">
        <v>31</v>
      </c>
      <c r="H36" s="9">
        <v>8.79E10</v>
      </c>
      <c r="I36" s="1">
        <v>-6.1788716</v>
      </c>
      <c r="J36" s="3">
        <v>106.7071262</v>
      </c>
      <c r="K36" s="6" t="s">
        <v>423</v>
      </c>
      <c r="L36" s="7" t="str">
        <f t="shared" si="1"/>
        <v/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2" t="s">
        <v>34</v>
      </c>
    </row>
    <row r="37">
      <c r="A37" s="3" t="s">
        <v>48</v>
      </c>
      <c r="B37" s="4" t="s">
        <v>424</v>
      </c>
      <c r="C37" s="1" t="s">
        <v>425</v>
      </c>
      <c r="D37" s="3" t="s">
        <v>426</v>
      </c>
      <c r="E37" s="1" t="s">
        <v>30</v>
      </c>
      <c r="F37" s="5">
        <v>11750.0</v>
      </c>
      <c r="G37" s="1" t="s">
        <v>31</v>
      </c>
      <c r="H37" s="9">
        <v>2.15E9</v>
      </c>
      <c r="I37" s="1">
        <v>-6.1690919</v>
      </c>
      <c r="J37" s="3">
        <v>106.7190604</v>
      </c>
      <c r="K37" s="6" t="s">
        <v>427</v>
      </c>
      <c r="L37" s="7" t="str">
        <f t="shared" si="1"/>
        <v/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2" t="s">
        <v>34</v>
      </c>
    </row>
    <row r="38">
      <c r="A38" s="3" t="s">
        <v>48</v>
      </c>
      <c r="B38" s="4" t="s">
        <v>428</v>
      </c>
      <c r="C38" s="1" t="s">
        <v>429</v>
      </c>
      <c r="D38" s="3" t="s">
        <v>430</v>
      </c>
      <c r="E38" s="1" t="s">
        <v>30</v>
      </c>
      <c r="F38" s="5">
        <v>11750.0</v>
      </c>
      <c r="G38" s="1" t="s">
        <v>31</v>
      </c>
      <c r="H38" s="9">
        <v>8.77E10</v>
      </c>
      <c r="I38" s="1">
        <v>-6.1789699</v>
      </c>
      <c r="J38" s="3">
        <v>106.7241697</v>
      </c>
      <c r="K38" s="6" t="s">
        <v>431</v>
      </c>
      <c r="L38" s="7" t="str">
        <f t="shared" si="1"/>
        <v/>
      </c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2" t="s">
        <v>34</v>
      </c>
    </row>
    <row r="39">
      <c r="A39" s="3" t="s">
        <v>48</v>
      </c>
      <c r="B39" s="4" t="s">
        <v>432</v>
      </c>
      <c r="C39" s="1" t="s">
        <v>433</v>
      </c>
      <c r="D39" s="3" t="s">
        <v>434</v>
      </c>
      <c r="E39" s="1" t="s">
        <v>30</v>
      </c>
      <c r="F39" s="5">
        <v>11750.0</v>
      </c>
      <c r="G39" s="1" t="s">
        <v>31</v>
      </c>
      <c r="H39" s="3" t="s">
        <v>32</v>
      </c>
      <c r="I39" s="1">
        <v>-6.1719951</v>
      </c>
      <c r="J39" s="3">
        <v>106.7273507</v>
      </c>
      <c r="K39" s="6" t="s">
        <v>435</v>
      </c>
      <c r="L39" s="7" t="str">
        <f t="shared" si="1"/>
        <v/>
      </c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2" t="s">
        <v>34</v>
      </c>
    </row>
    <row r="40">
      <c r="A40" s="3" t="s">
        <v>48</v>
      </c>
      <c r="B40" s="4" t="s">
        <v>436</v>
      </c>
      <c r="C40" s="1" t="s">
        <v>437</v>
      </c>
      <c r="D40" s="3" t="s">
        <v>438</v>
      </c>
      <c r="E40" s="1" t="s">
        <v>30</v>
      </c>
      <c r="F40" s="5">
        <v>11460.0</v>
      </c>
      <c r="G40" s="1" t="s">
        <v>31</v>
      </c>
      <c r="H40" s="3" t="s">
        <v>32</v>
      </c>
      <c r="I40" s="1">
        <v>-6.1604392</v>
      </c>
      <c r="J40" s="3">
        <v>106.7868827</v>
      </c>
      <c r="K40" s="6" t="s">
        <v>439</v>
      </c>
      <c r="L40" s="7" t="str">
        <f t="shared" si="1"/>
        <v/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2" t="s">
        <v>34</v>
      </c>
    </row>
    <row r="41">
      <c r="A41" s="3" t="s">
        <v>48</v>
      </c>
      <c r="B41" s="4" t="s">
        <v>440</v>
      </c>
      <c r="C41" s="1" t="s">
        <v>441</v>
      </c>
      <c r="D41" s="3" t="s">
        <v>442</v>
      </c>
      <c r="E41" s="1" t="s">
        <v>30</v>
      </c>
      <c r="F41" s="5">
        <v>11460.0</v>
      </c>
      <c r="G41" s="1" t="s">
        <v>31</v>
      </c>
      <c r="H41" s="3" t="s">
        <v>32</v>
      </c>
      <c r="I41" s="1">
        <v>-6.1543444</v>
      </c>
      <c r="J41" s="3">
        <v>106.7929567</v>
      </c>
      <c r="K41" s="6" t="s">
        <v>443</v>
      </c>
      <c r="L41" s="7" t="str">
        <f t="shared" si="1"/>
        <v/>
      </c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2" t="s">
        <v>34</v>
      </c>
    </row>
    <row r="42">
      <c r="A42" s="3" t="s">
        <v>48</v>
      </c>
      <c r="B42" s="4" t="s">
        <v>444</v>
      </c>
      <c r="C42" s="1" t="s">
        <v>445</v>
      </c>
      <c r="D42" s="3" t="s">
        <v>446</v>
      </c>
      <c r="E42" s="1" t="s">
        <v>30</v>
      </c>
      <c r="F42" s="5">
        <v>11460.0</v>
      </c>
      <c r="G42" s="1" t="s">
        <v>31</v>
      </c>
      <c r="H42" s="3" t="s">
        <v>32</v>
      </c>
      <c r="I42" s="1">
        <v>-6.1516261</v>
      </c>
      <c r="J42" s="3">
        <v>106.7726266</v>
      </c>
      <c r="K42" s="6" t="s">
        <v>447</v>
      </c>
      <c r="L42" s="7">
        <f t="shared" si="1"/>
        <v>19282511.21</v>
      </c>
      <c r="M42" s="7">
        <f>2100000000/217</f>
        <v>9677419.355</v>
      </c>
      <c r="N42" s="7">
        <f>2300000000/194</f>
        <v>11855670.1</v>
      </c>
      <c r="O42" s="7">
        <f>4500000000/140</f>
        <v>32142857.14</v>
      </c>
      <c r="P42" s="7">
        <f>5900000000/254</f>
        <v>23228346.46</v>
      </c>
      <c r="Q42" s="7">
        <f>2690000000/150</f>
        <v>17933333.33</v>
      </c>
      <c r="R42" s="7">
        <f>4000000000/223</f>
        <v>17937219.73</v>
      </c>
      <c r="S42" s="7">
        <f>4000000000/162</f>
        <v>24691358.02</v>
      </c>
      <c r="T42" s="7">
        <f>2950000000/194</f>
        <v>15206185.57</v>
      </c>
      <c r="U42" s="7">
        <f>4500000000/223</f>
        <v>20179372.2</v>
      </c>
      <c r="V42" s="7">
        <f>4300000000/209</f>
        <v>20574162.68</v>
      </c>
      <c r="W42" s="7">
        <f>5500000000/176</f>
        <v>31250000</v>
      </c>
      <c r="X42" s="7">
        <f t="shared" ref="X42:Y42" si="16">4300000000/223</f>
        <v>19282511.21</v>
      </c>
      <c r="Y42" s="7">
        <f t="shared" si="16"/>
        <v>19282511.21</v>
      </c>
      <c r="Z42" s="8" t="s">
        <v>448</v>
      </c>
    </row>
    <row r="43">
      <c r="A43" s="3" t="s">
        <v>48</v>
      </c>
      <c r="B43" s="4" t="s">
        <v>449</v>
      </c>
      <c r="C43" s="1" t="s">
        <v>450</v>
      </c>
      <c r="D43" s="3" t="s">
        <v>451</v>
      </c>
      <c r="E43" s="1" t="s">
        <v>30</v>
      </c>
      <c r="F43" s="5">
        <v>11460.0</v>
      </c>
      <c r="G43" s="1" t="s">
        <v>31</v>
      </c>
      <c r="H43" s="9">
        <v>8.16E10</v>
      </c>
      <c r="I43" s="1">
        <v>-6.1437555</v>
      </c>
      <c r="J43" s="3">
        <v>106.7871399</v>
      </c>
      <c r="K43" s="6" t="s">
        <v>452</v>
      </c>
      <c r="L43" s="7" t="str">
        <f t="shared" si="1"/>
        <v/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2" t="s">
        <v>34</v>
      </c>
    </row>
    <row r="44">
      <c r="A44" s="3" t="s">
        <v>48</v>
      </c>
      <c r="B44" s="4" t="s">
        <v>453</v>
      </c>
      <c r="C44" s="1" t="s">
        <v>454</v>
      </c>
      <c r="D44" s="3" t="s">
        <v>455</v>
      </c>
      <c r="E44" s="1" t="s">
        <v>30</v>
      </c>
      <c r="F44" s="5">
        <v>11460.0</v>
      </c>
      <c r="G44" s="1" t="s">
        <v>31</v>
      </c>
      <c r="H44" s="3" t="s">
        <v>32</v>
      </c>
      <c r="I44" s="1">
        <v>-6.1507799</v>
      </c>
      <c r="J44" s="3">
        <v>106.7913309</v>
      </c>
      <c r="K44" s="6" t="s">
        <v>456</v>
      </c>
      <c r="L44" s="7" t="str">
        <f t="shared" si="1"/>
        <v/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2" t="s">
        <v>34</v>
      </c>
    </row>
    <row r="45">
      <c r="A45" s="3" t="s">
        <v>48</v>
      </c>
      <c r="B45" s="4" t="s">
        <v>457</v>
      </c>
      <c r="C45" s="1" t="s">
        <v>458</v>
      </c>
      <c r="D45" s="3" t="s">
        <v>459</v>
      </c>
      <c r="E45" s="1" t="s">
        <v>30</v>
      </c>
      <c r="F45" s="5">
        <v>11470.0</v>
      </c>
      <c r="G45" s="1" t="s">
        <v>31</v>
      </c>
      <c r="H45" s="3" t="s">
        <v>32</v>
      </c>
      <c r="I45" s="1">
        <v>-6.1804469</v>
      </c>
      <c r="J45" s="3">
        <v>106.7893105</v>
      </c>
      <c r="K45" s="6" t="s">
        <v>460</v>
      </c>
      <c r="L45" s="7">
        <f t="shared" si="1"/>
        <v>18727915.19</v>
      </c>
      <c r="M45" s="7">
        <f>5600000000/283</f>
        <v>19787985.87</v>
      </c>
      <c r="N45" s="7">
        <f>5000000000/283</f>
        <v>17667844.52</v>
      </c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10" t="s">
        <v>461</v>
      </c>
    </row>
    <row r="46">
      <c r="A46" s="3" t="s">
        <v>48</v>
      </c>
      <c r="B46" s="4" t="s">
        <v>462</v>
      </c>
      <c r="C46" s="1" t="s">
        <v>463</v>
      </c>
      <c r="D46" s="3" t="s">
        <v>464</v>
      </c>
      <c r="E46" s="1" t="s">
        <v>30</v>
      </c>
      <c r="F46" s="5">
        <v>11210.0</v>
      </c>
      <c r="G46" s="1" t="s">
        <v>31</v>
      </c>
      <c r="H46" s="3" t="s">
        <v>32</v>
      </c>
      <c r="I46" s="1">
        <v>-6.1517552</v>
      </c>
      <c r="J46" s="3">
        <v>106.8084396</v>
      </c>
      <c r="K46" s="6" t="s">
        <v>465</v>
      </c>
      <c r="L46" s="7" t="str">
        <f t="shared" si="1"/>
        <v/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2" t="s">
        <v>34</v>
      </c>
    </row>
    <row r="47">
      <c r="A47" s="3" t="s">
        <v>48</v>
      </c>
      <c r="B47" s="4" t="s">
        <v>466</v>
      </c>
      <c r="C47" s="1" t="s">
        <v>467</v>
      </c>
      <c r="D47" s="3" t="s">
        <v>468</v>
      </c>
      <c r="E47" s="1" t="s">
        <v>30</v>
      </c>
      <c r="F47" s="5">
        <v>11250.0</v>
      </c>
      <c r="G47" s="1" t="s">
        <v>31</v>
      </c>
      <c r="H47" s="3" t="s">
        <v>32</v>
      </c>
      <c r="I47" s="1">
        <v>-6.148295</v>
      </c>
      <c r="J47" s="3">
        <v>106.8057788</v>
      </c>
      <c r="K47" s="6" t="s">
        <v>469</v>
      </c>
      <c r="L47" s="7" t="str">
        <f t="shared" si="1"/>
        <v/>
      </c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2" t="s">
        <v>34</v>
      </c>
    </row>
    <row r="48">
      <c r="A48" s="3" t="s">
        <v>48</v>
      </c>
      <c r="B48" s="4" t="s">
        <v>470</v>
      </c>
      <c r="C48" s="1" t="s">
        <v>471</v>
      </c>
      <c r="D48" s="3" t="s">
        <v>472</v>
      </c>
      <c r="E48" s="1" t="s">
        <v>30</v>
      </c>
      <c r="F48" s="5">
        <v>11510.0</v>
      </c>
      <c r="G48" s="1" t="s">
        <v>31</v>
      </c>
      <c r="H48" s="3" t="s">
        <v>32</v>
      </c>
      <c r="I48" s="1">
        <v>-6.165992</v>
      </c>
      <c r="J48" s="3">
        <v>106.7746991</v>
      </c>
      <c r="K48" s="6" t="s">
        <v>473</v>
      </c>
      <c r="L48" s="7">
        <f t="shared" si="1"/>
        <v>20833333.33</v>
      </c>
      <c r="M48" s="7">
        <f t="shared" ref="M48:N48" si="17">2000000000/96</f>
        <v>20833333.33</v>
      </c>
      <c r="N48" s="7">
        <f t="shared" si="17"/>
        <v>20833333.33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8" t="s">
        <v>474</v>
      </c>
    </row>
    <row r="49">
      <c r="A49" s="3" t="s">
        <v>48</v>
      </c>
      <c r="B49" s="4" t="s">
        <v>475</v>
      </c>
      <c r="C49" s="1" t="s">
        <v>476</v>
      </c>
      <c r="D49" s="3" t="s">
        <v>477</v>
      </c>
      <c r="E49" s="1" t="s">
        <v>30</v>
      </c>
      <c r="F49" s="5">
        <v>11510.0</v>
      </c>
      <c r="G49" s="1" t="s">
        <v>31</v>
      </c>
      <c r="H49" s="3" t="s">
        <v>32</v>
      </c>
      <c r="I49" s="1">
        <v>-6.1728947</v>
      </c>
      <c r="J49" s="3">
        <v>106.778702</v>
      </c>
      <c r="K49" s="6" t="s">
        <v>478</v>
      </c>
      <c r="L49" s="7">
        <f t="shared" si="1"/>
        <v>27222222.22</v>
      </c>
      <c r="M49" s="7">
        <f>3100000000/100</f>
        <v>31000000</v>
      </c>
      <c r="N49" s="7">
        <f>13500000000/795</f>
        <v>16981132.08</v>
      </c>
      <c r="O49" s="7">
        <f>3600000000/150</f>
        <v>24000000</v>
      </c>
      <c r="P49" s="7">
        <f>3900000000/220</f>
        <v>17727272.73</v>
      </c>
      <c r="Q49" s="7">
        <f>2450000000/90</f>
        <v>27222222.22</v>
      </c>
      <c r="R49" s="7">
        <f>2980000000/90</f>
        <v>33111111.11</v>
      </c>
      <c r="S49" s="7">
        <f>1600000000/90</f>
        <v>17777777.78</v>
      </c>
      <c r="T49" s="7">
        <f>2400000000/90</f>
        <v>26666666.67</v>
      </c>
      <c r="U49" s="7">
        <f>2500000000/90</f>
        <v>27777777.78</v>
      </c>
      <c r="V49" s="7">
        <f>5900000000/220</f>
        <v>26818181.82</v>
      </c>
      <c r="W49" s="7">
        <f>2800000000/90</f>
        <v>31111111.11</v>
      </c>
      <c r="X49" s="7">
        <f>2550000000/90</f>
        <v>28333333.33</v>
      </c>
      <c r="Y49" s="7">
        <f>3200000000/100</f>
        <v>32000000</v>
      </c>
      <c r="Z49" s="8" t="s">
        <v>479</v>
      </c>
    </row>
    <row r="50">
      <c r="A50" s="3" t="s">
        <v>48</v>
      </c>
      <c r="B50" s="4" t="s">
        <v>480</v>
      </c>
      <c r="C50" s="1" t="s">
        <v>481</v>
      </c>
      <c r="D50" s="3" t="s">
        <v>482</v>
      </c>
      <c r="E50" s="1" t="s">
        <v>30</v>
      </c>
      <c r="F50" s="5">
        <v>11510.0</v>
      </c>
      <c r="G50" s="1" t="s">
        <v>31</v>
      </c>
      <c r="H50" s="3" t="s">
        <v>32</v>
      </c>
      <c r="I50" s="1">
        <v>-6.1808982</v>
      </c>
      <c r="J50" s="3">
        <v>106.7771477</v>
      </c>
      <c r="K50" s="6" t="s">
        <v>483</v>
      </c>
      <c r="L50" s="7">
        <f t="shared" si="1"/>
        <v>42622950.82</v>
      </c>
      <c r="M50" s="7">
        <f>2750000000/61</f>
        <v>45081967.21</v>
      </c>
      <c r="N50" s="7">
        <f t="shared" ref="N50:O50" si="18">2750000000/66</f>
        <v>41666666.67</v>
      </c>
      <c r="O50" s="7">
        <f t="shared" si="18"/>
        <v>41666666.67</v>
      </c>
      <c r="P50" s="7">
        <f>2750000000/55</f>
        <v>50000000</v>
      </c>
      <c r="Q50" s="7">
        <f t="shared" ref="Q50:R50" si="19">2600000000/61</f>
        <v>42622950.82</v>
      </c>
      <c r="R50" s="7">
        <f t="shared" si="19"/>
        <v>42622950.82</v>
      </c>
      <c r="S50" s="7"/>
      <c r="T50" s="7"/>
      <c r="U50" s="7"/>
      <c r="V50" s="7"/>
      <c r="W50" s="7"/>
      <c r="X50" s="7"/>
      <c r="Y50" s="7"/>
      <c r="Z50" s="8" t="s">
        <v>484</v>
      </c>
    </row>
    <row r="51">
      <c r="A51" s="3" t="s">
        <v>48</v>
      </c>
      <c r="B51" s="4" t="s">
        <v>485</v>
      </c>
      <c r="C51" s="1" t="s">
        <v>486</v>
      </c>
      <c r="D51" s="3" t="s">
        <v>487</v>
      </c>
      <c r="E51" s="1" t="s">
        <v>30</v>
      </c>
      <c r="F51" s="5">
        <v>11520.0</v>
      </c>
      <c r="G51" s="1" t="s">
        <v>31</v>
      </c>
      <c r="H51" s="3" t="s">
        <v>32</v>
      </c>
      <c r="I51" s="1">
        <v>-6.1729435</v>
      </c>
      <c r="J51" s="3">
        <v>106.7668749</v>
      </c>
      <c r="K51" s="6" t="s">
        <v>488</v>
      </c>
      <c r="L51" s="7" t="str">
        <f t="shared" si="1"/>
        <v/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2" t="s">
        <v>34</v>
      </c>
    </row>
    <row r="52">
      <c r="A52" s="3" t="s">
        <v>48</v>
      </c>
      <c r="B52" s="4" t="s">
        <v>489</v>
      </c>
      <c r="C52" s="1" t="s">
        <v>490</v>
      </c>
      <c r="D52" s="3" t="s">
        <v>491</v>
      </c>
      <c r="E52" s="1" t="s">
        <v>30</v>
      </c>
      <c r="F52" s="5">
        <v>11520.0</v>
      </c>
      <c r="G52" s="1" t="s">
        <v>31</v>
      </c>
      <c r="H52" s="3" t="s">
        <v>32</v>
      </c>
      <c r="I52" s="1">
        <v>-6.164822</v>
      </c>
      <c r="J52" s="3">
        <v>106.7668768</v>
      </c>
      <c r="K52" s="6" t="s">
        <v>492</v>
      </c>
      <c r="L52" s="7">
        <f t="shared" si="1"/>
        <v>36458333.33</v>
      </c>
      <c r="M52" s="7">
        <f>1750000000/48</f>
        <v>36458333.33</v>
      </c>
      <c r="N52" s="7">
        <f>3000000000/96</f>
        <v>31250000</v>
      </c>
      <c r="O52" s="7">
        <f>2900000000/114</f>
        <v>25438596.49</v>
      </c>
      <c r="P52" s="7">
        <f>2200000000/91</f>
        <v>24175824.18</v>
      </c>
      <c r="Q52" s="7">
        <f t="shared" ref="Q52:R52" si="20">1750000000/48</f>
        <v>36458333.33</v>
      </c>
      <c r="R52" s="7">
        <f t="shared" si="20"/>
        <v>36458333.33</v>
      </c>
      <c r="S52" s="7">
        <f>4500000000/135</f>
        <v>33333333.33</v>
      </c>
      <c r="T52" s="7">
        <f>2900000000/114</f>
        <v>25438596.49</v>
      </c>
      <c r="U52" s="7">
        <f t="shared" ref="U52:V52" si="21">1850000000/48</f>
        <v>38541666.67</v>
      </c>
      <c r="V52" s="7">
        <f t="shared" si="21"/>
        <v>38541666.67</v>
      </c>
      <c r="W52" s="7">
        <f>2400000000/91</f>
        <v>26373626.37</v>
      </c>
      <c r="X52" s="7">
        <f t="shared" ref="X52:Y52" si="22">1750000000/48</f>
        <v>36458333.33</v>
      </c>
      <c r="Y52" s="7">
        <f t="shared" si="22"/>
        <v>36458333.33</v>
      </c>
      <c r="Z52" s="8" t="s">
        <v>493</v>
      </c>
    </row>
    <row r="53">
      <c r="A53" s="3" t="s">
        <v>48</v>
      </c>
      <c r="B53" s="4" t="s">
        <v>494</v>
      </c>
      <c r="C53" s="1" t="s">
        <v>495</v>
      </c>
      <c r="D53" s="3" t="s">
        <v>496</v>
      </c>
      <c r="E53" s="1" t="s">
        <v>30</v>
      </c>
      <c r="F53" s="5">
        <v>11530.0</v>
      </c>
      <c r="G53" s="1" t="s">
        <v>31</v>
      </c>
      <c r="H53" s="9">
        <v>2.15E9</v>
      </c>
      <c r="I53" s="1">
        <v>-6.1991103</v>
      </c>
      <c r="J53" s="3">
        <v>106.7811295</v>
      </c>
      <c r="K53" s="6" t="s">
        <v>497</v>
      </c>
      <c r="L53" s="7">
        <f t="shared" si="1"/>
        <v>37244897.96</v>
      </c>
      <c r="M53" s="7">
        <f>6900000000/162</f>
        <v>42592592.59</v>
      </c>
      <c r="N53" s="7">
        <f t="shared" ref="N53:O53" si="23">7300000000/196</f>
        <v>37244897.96</v>
      </c>
      <c r="O53" s="7">
        <f t="shared" si="23"/>
        <v>37244897.96</v>
      </c>
      <c r="P53" s="7">
        <f>5350000000/135</f>
        <v>39629629.63</v>
      </c>
      <c r="Q53" s="7">
        <f t="shared" ref="Q53:R53" si="24">7300000000/196</f>
        <v>37244897.96</v>
      </c>
      <c r="R53" s="7">
        <f t="shared" si="24"/>
        <v>37244897.96</v>
      </c>
      <c r="S53" s="7">
        <f>5350000000/135</f>
        <v>39629629.63</v>
      </c>
      <c r="T53" s="7">
        <f>5500000000/162</f>
        <v>33950617.28</v>
      </c>
      <c r="U53" s="7"/>
      <c r="V53" s="7"/>
      <c r="W53" s="7"/>
      <c r="X53" s="7"/>
      <c r="Y53" s="7"/>
      <c r="Z53" s="8" t="s">
        <v>310</v>
      </c>
    </row>
    <row r="54">
      <c r="A54" s="3" t="s">
        <v>48</v>
      </c>
      <c r="B54" s="4" t="s">
        <v>498</v>
      </c>
      <c r="C54" s="1" t="s">
        <v>499</v>
      </c>
      <c r="D54" s="3" t="s">
        <v>500</v>
      </c>
      <c r="E54" s="1" t="s">
        <v>30</v>
      </c>
      <c r="F54" s="5">
        <v>11530.0</v>
      </c>
      <c r="G54" s="1" t="s">
        <v>31</v>
      </c>
      <c r="H54" s="3" t="s">
        <v>32</v>
      </c>
      <c r="I54" s="1">
        <v>-6.1937169</v>
      </c>
      <c r="J54" s="3">
        <v>106.7622585</v>
      </c>
      <c r="K54" s="6" t="s">
        <v>501</v>
      </c>
      <c r="L54" s="7">
        <f t="shared" si="1"/>
        <v>20000000</v>
      </c>
      <c r="M54" s="7">
        <f>5500000000/306</f>
        <v>17973856.21</v>
      </c>
      <c r="N54" s="7">
        <f>8000000000/400</f>
        <v>20000000</v>
      </c>
      <c r="O54" s="7">
        <f>21000000000/988</f>
        <v>21255060.73</v>
      </c>
      <c r="P54" s="7">
        <f>8000000000/400</f>
        <v>20000000</v>
      </c>
      <c r="Q54" s="7">
        <f>2700000000/108</f>
        <v>25000000</v>
      </c>
      <c r="R54" s="7">
        <f>2950000000/300</f>
        <v>9833333.333</v>
      </c>
      <c r="S54" s="7">
        <f>4180000000/340</f>
        <v>12294117.65</v>
      </c>
      <c r="T54" s="7">
        <f>6500000000/300</f>
        <v>21666666.67</v>
      </c>
      <c r="U54" s="7">
        <f>8350000000/340</f>
        <v>24558823.53</v>
      </c>
      <c r="V54" s="7">
        <f>4180000000/340</f>
        <v>12294117.65</v>
      </c>
      <c r="W54" s="7">
        <f>6500000000/300</f>
        <v>21666666.67</v>
      </c>
      <c r="X54" s="7">
        <f>8500000000/381</f>
        <v>22309711.29</v>
      </c>
      <c r="Y54" s="7">
        <f>18000000000/988</f>
        <v>18218623.48</v>
      </c>
      <c r="Z54" s="8" t="s">
        <v>502</v>
      </c>
    </row>
    <row r="55">
      <c r="A55" s="3" t="s">
        <v>48</v>
      </c>
      <c r="B55" s="4" t="s">
        <v>503</v>
      </c>
      <c r="C55" s="1" t="s">
        <v>504</v>
      </c>
      <c r="D55" s="3" t="s">
        <v>505</v>
      </c>
      <c r="E55" s="1" t="s">
        <v>30</v>
      </c>
      <c r="F55" s="5">
        <v>11540.0</v>
      </c>
      <c r="G55" s="1" t="s">
        <v>31</v>
      </c>
      <c r="H55" s="3" t="s">
        <v>32</v>
      </c>
      <c r="I55" s="1">
        <v>-6.2060917</v>
      </c>
      <c r="J55" s="3">
        <v>106.7733955</v>
      </c>
      <c r="K55" s="6" t="s">
        <v>506</v>
      </c>
      <c r="L55" s="7" t="str">
        <f t="shared" si="1"/>
        <v/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2" t="s">
        <v>34</v>
      </c>
    </row>
    <row r="56">
      <c r="A56" s="3" t="s">
        <v>48</v>
      </c>
      <c r="B56" s="4" t="s">
        <v>507</v>
      </c>
      <c r="C56" s="1" t="s">
        <v>508</v>
      </c>
      <c r="D56" s="3" t="s">
        <v>509</v>
      </c>
      <c r="E56" s="1" t="s">
        <v>30</v>
      </c>
      <c r="F56" s="5">
        <v>11630.0</v>
      </c>
      <c r="G56" s="1" t="s">
        <v>31</v>
      </c>
      <c r="H56" s="3" t="s">
        <v>32</v>
      </c>
      <c r="I56" s="1">
        <v>-6.2170582</v>
      </c>
      <c r="J56" s="3">
        <v>106.7580036</v>
      </c>
      <c r="K56" s="6" t="s">
        <v>510</v>
      </c>
      <c r="L56" s="7">
        <f t="shared" si="1"/>
        <v>25192901.23</v>
      </c>
      <c r="M56" s="7">
        <f>9500000000/450</f>
        <v>21111111.11</v>
      </c>
      <c r="N56" s="7">
        <f>9000000000/375</f>
        <v>24000000</v>
      </c>
      <c r="O56" s="7">
        <f>5990000000/300</f>
        <v>19966666.67</v>
      </c>
      <c r="P56" s="7">
        <f>2800000000/144</f>
        <v>19444444.44</v>
      </c>
      <c r="Q56" s="7">
        <f>15000000000/540</f>
        <v>27777777.78</v>
      </c>
      <c r="R56" s="7">
        <f>3700000000/144</f>
        <v>25694444.44</v>
      </c>
      <c r="S56" s="7">
        <f>7400000000/300</f>
        <v>24666666.67</v>
      </c>
      <c r="T56" s="7">
        <f>8000000000/324</f>
        <v>24691358.02</v>
      </c>
      <c r="U56" s="7">
        <f>16000000000/540</f>
        <v>29629629.63</v>
      </c>
      <c r="V56" s="7">
        <f>18400000000/540</f>
        <v>34074074.07</v>
      </c>
      <c r="W56" s="7">
        <f>24000000000/800</f>
        <v>30000000</v>
      </c>
      <c r="X56" s="7">
        <f>5560000000/162</f>
        <v>34320987.65</v>
      </c>
      <c r="Y56" s="7"/>
      <c r="Z56" s="8" t="s">
        <v>511</v>
      </c>
    </row>
    <row r="57">
      <c r="A57" s="3" t="s">
        <v>48</v>
      </c>
      <c r="B57" s="4" t="s">
        <v>512</v>
      </c>
      <c r="C57" s="1" t="s">
        <v>513</v>
      </c>
      <c r="D57" s="3" t="s">
        <v>514</v>
      </c>
      <c r="E57" s="1" t="s">
        <v>30</v>
      </c>
      <c r="F57" s="5">
        <v>11550.0</v>
      </c>
      <c r="G57" s="1" t="s">
        <v>31</v>
      </c>
      <c r="H57" s="3" t="s">
        <v>32</v>
      </c>
      <c r="I57" s="1">
        <v>-6.2057022</v>
      </c>
      <c r="J57" s="3">
        <v>106.7685952</v>
      </c>
      <c r="K57" s="6" t="s">
        <v>515</v>
      </c>
      <c r="L57" s="7" t="str">
        <f t="shared" si="1"/>
        <v/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2" t="s">
        <v>34</v>
      </c>
    </row>
    <row r="58">
      <c r="A58" s="3" t="s">
        <v>48</v>
      </c>
      <c r="B58" s="4" t="s">
        <v>516</v>
      </c>
      <c r="C58" s="1" t="s">
        <v>517</v>
      </c>
      <c r="D58" s="3" t="s">
        <v>518</v>
      </c>
      <c r="E58" s="1" t="s">
        <v>30</v>
      </c>
      <c r="F58" s="5">
        <v>11550.0</v>
      </c>
      <c r="G58" s="1" t="s">
        <v>31</v>
      </c>
      <c r="H58" s="3" t="s">
        <v>32</v>
      </c>
      <c r="I58" s="1">
        <v>-6.2058288</v>
      </c>
      <c r="J58" s="3">
        <v>106.7648842</v>
      </c>
      <c r="K58" s="6" t="s">
        <v>519</v>
      </c>
      <c r="L58" s="7">
        <f t="shared" si="1"/>
        <v>22222222.22</v>
      </c>
      <c r="M58" s="7">
        <f t="shared" ref="M58:O58" si="25">3500000000/135</f>
        <v>25925925.93</v>
      </c>
      <c r="N58" s="7">
        <f t="shared" si="25"/>
        <v>25925925.93</v>
      </c>
      <c r="O58" s="7">
        <f t="shared" si="25"/>
        <v>25925925.93</v>
      </c>
      <c r="P58" s="7">
        <f>5500000000/267</f>
        <v>20599250.94</v>
      </c>
      <c r="Q58" s="7">
        <f>5000000000/262</f>
        <v>19083969.47</v>
      </c>
      <c r="R58" s="7">
        <f>3500000000/113</f>
        <v>30973451.33</v>
      </c>
      <c r="S58" s="7">
        <f>2550000000/133</f>
        <v>19172932.33</v>
      </c>
      <c r="T58" s="7">
        <f>2000000000/113</f>
        <v>17699115.04</v>
      </c>
      <c r="U58" s="7">
        <f>3200000000/144</f>
        <v>22222222.22</v>
      </c>
      <c r="V58" s="7">
        <f>2500000000/133</f>
        <v>18796992.48</v>
      </c>
      <c r="W58" s="7">
        <f>3200000000/144</f>
        <v>22222222.22</v>
      </c>
      <c r="X58" s="7">
        <f>9900000000/572</f>
        <v>17307692.31</v>
      </c>
      <c r="Y58" s="7">
        <f>3200000000/144</f>
        <v>22222222.22</v>
      </c>
      <c r="Z58" s="8" t="s">
        <v>520</v>
      </c>
    </row>
    <row r="59">
      <c r="A59" s="3" t="s">
        <v>48</v>
      </c>
      <c r="B59" s="4" t="s">
        <v>521</v>
      </c>
      <c r="C59" s="1" t="s">
        <v>522</v>
      </c>
      <c r="D59" s="3" t="s">
        <v>523</v>
      </c>
      <c r="E59" s="1" t="s">
        <v>30</v>
      </c>
      <c r="F59" s="5">
        <v>11550.0</v>
      </c>
      <c r="G59" s="1" t="s">
        <v>31</v>
      </c>
      <c r="H59" s="3" t="s">
        <v>32</v>
      </c>
      <c r="I59" s="1">
        <v>-6.204651</v>
      </c>
      <c r="J59" s="3">
        <v>106.766001</v>
      </c>
      <c r="K59" s="6" t="s">
        <v>524</v>
      </c>
      <c r="L59" s="7">
        <f t="shared" si="1"/>
        <v>17380952.38</v>
      </c>
      <c r="M59" s="7">
        <f>3600000000/177</f>
        <v>20338983.05</v>
      </c>
      <c r="N59" s="7">
        <f>1990000000/127</f>
        <v>15669291.34</v>
      </c>
      <c r="O59" s="7">
        <f>1800000000/105</f>
        <v>17142857.14</v>
      </c>
      <c r="P59" s="7">
        <f>1230000000/105</f>
        <v>11714285.71</v>
      </c>
      <c r="Q59" s="7">
        <f>3600000000/177</f>
        <v>20338983.05</v>
      </c>
      <c r="R59" s="7">
        <f>1650000000/127</f>
        <v>12992125.98</v>
      </c>
      <c r="S59" s="7">
        <f>1800000000/127</f>
        <v>14173228.35</v>
      </c>
      <c r="T59" s="7">
        <f>1850000000/105</f>
        <v>17619047.62</v>
      </c>
      <c r="U59" s="7">
        <f>4300000000/177</f>
        <v>24293785.31</v>
      </c>
      <c r="V59" s="7">
        <f>3540000000/175</f>
        <v>20228571.43</v>
      </c>
      <c r="W59" s="7"/>
      <c r="X59" s="7"/>
      <c r="Y59" s="7"/>
      <c r="Z59" s="8" t="s">
        <v>525</v>
      </c>
    </row>
    <row r="60">
      <c r="A60" s="3" t="s">
        <v>48</v>
      </c>
      <c r="B60" s="4" t="s">
        <v>526</v>
      </c>
      <c r="C60" s="1" t="s">
        <v>527</v>
      </c>
      <c r="D60" s="3" t="s">
        <v>528</v>
      </c>
      <c r="E60" s="1" t="s">
        <v>30</v>
      </c>
      <c r="F60" s="5">
        <v>11560.0</v>
      </c>
      <c r="G60" s="1" t="s">
        <v>31</v>
      </c>
      <c r="H60" s="3" t="s">
        <v>32</v>
      </c>
      <c r="I60" s="1">
        <v>-6.2222069</v>
      </c>
      <c r="J60" s="3">
        <v>106.7742311</v>
      </c>
      <c r="K60" s="6" t="s">
        <v>529</v>
      </c>
      <c r="L60" s="7" t="str">
        <f t="shared" si="1"/>
        <v/>
      </c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2" t="s">
        <v>34</v>
      </c>
    </row>
    <row r="61">
      <c r="A61" s="3" t="s">
        <v>48</v>
      </c>
      <c r="B61" s="4" t="s">
        <v>530</v>
      </c>
      <c r="C61" s="1" t="s">
        <v>531</v>
      </c>
      <c r="D61" s="3" t="s">
        <v>532</v>
      </c>
      <c r="E61" s="1" t="s">
        <v>30</v>
      </c>
      <c r="F61" s="5">
        <v>11810.0</v>
      </c>
      <c r="G61" s="1" t="s">
        <v>31</v>
      </c>
      <c r="H61" s="9">
        <v>8.95E10</v>
      </c>
      <c r="I61" s="1">
        <v>-6.0963691</v>
      </c>
      <c r="J61" s="3">
        <v>106.7000745</v>
      </c>
      <c r="K61" s="6" t="s">
        <v>533</v>
      </c>
      <c r="L61" s="7" t="str">
        <f t="shared" si="1"/>
        <v/>
      </c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2" t="s">
        <v>34</v>
      </c>
    </row>
    <row r="62">
      <c r="A62" s="3" t="s">
        <v>48</v>
      </c>
      <c r="B62" s="4" t="s">
        <v>534</v>
      </c>
      <c r="C62" s="1" t="s">
        <v>535</v>
      </c>
      <c r="D62" s="3" t="s">
        <v>536</v>
      </c>
      <c r="E62" s="1" t="s">
        <v>30</v>
      </c>
      <c r="F62" s="5">
        <v>11850.0</v>
      </c>
      <c r="G62" s="1" t="s">
        <v>31</v>
      </c>
      <c r="H62" s="3" t="s">
        <v>32</v>
      </c>
      <c r="I62" s="1">
        <v>-6.174637</v>
      </c>
      <c r="J62" s="3">
        <v>106.7026297</v>
      </c>
      <c r="K62" s="6" t="s">
        <v>537</v>
      </c>
      <c r="L62" s="7">
        <f t="shared" si="1"/>
        <v>24920634.92</v>
      </c>
      <c r="M62" s="7">
        <f>611000000/128</f>
        <v>4773437.5</v>
      </c>
      <c r="N62" s="7">
        <f>1570000000/63</f>
        <v>24920634.92</v>
      </c>
      <c r="O62" s="7">
        <f>518000000/105</f>
        <v>4933333.333</v>
      </c>
      <c r="P62" s="7">
        <f>1900000000/74</f>
        <v>25675675.68</v>
      </c>
      <c r="Q62" s="7">
        <f>3000000000/120</f>
        <v>25000000</v>
      </c>
      <c r="R62" s="7"/>
      <c r="S62" s="7"/>
      <c r="T62" s="7"/>
      <c r="U62" s="7"/>
      <c r="V62" s="7"/>
      <c r="W62" s="7"/>
      <c r="X62" s="7"/>
      <c r="Y62" s="7"/>
      <c r="Z62" s="8" t="s">
        <v>538</v>
      </c>
    </row>
    <row r="63">
      <c r="A63" s="3" t="s">
        <v>48</v>
      </c>
      <c r="B63" s="4" t="s">
        <v>539</v>
      </c>
      <c r="C63" s="1" t="s">
        <v>540</v>
      </c>
      <c r="D63" s="3" t="s">
        <v>541</v>
      </c>
      <c r="E63" s="1" t="s">
        <v>30</v>
      </c>
      <c r="F63" s="5">
        <v>11820.0</v>
      </c>
      <c r="G63" s="1" t="s">
        <v>31</v>
      </c>
      <c r="H63" s="3" t="s">
        <v>32</v>
      </c>
      <c r="I63" s="1">
        <v>-6.1247505</v>
      </c>
      <c r="J63" s="3">
        <v>106.7078669</v>
      </c>
      <c r="K63" s="6" t="s">
        <v>542</v>
      </c>
      <c r="L63" s="7">
        <f t="shared" si="1"/>
        <v>34618055.56</v>
      </c>
      <c r="M63" s="7">
        <f>9970000000/288</f>
        <v>34618055.56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8" t="s">
        <v>543</v>
      </c>
    </row>
    <row r="64">
      <c r="A64" s="3" t="s">
        <v>48</v>
      </c>
      <c r="B64" s="4" t="s">
        <v>544</v>
      </c>
      <c r="C64" s="1" t="s">
        <v>545</v>
      </c>
      <c r="D64" s="3" t="s">
        <v>546</v>
      </c>
      <c r="E64" s="1" t="s">
        <v>30</v>
      </c>
      <c r="F64" s="5">
        <v>11830.0</v>
      </c>
      <c r="G64" s="1" t="s">
        <v>31</v>
      </c>
      <c r="H64" s="3" t="s">
        <v>32</v>
      </c>
      <c r="I64" s="1">
        <v>-6.1381268</v>
      </c>
      <c r="J64" s="3">
        <v>106.6983747</v>
      </c>
      <c r="K64" s="6" t="s">
        <v>547</v>
      </c>
      <c r="L64" s="7" t="str">
        <f t="shared" si="1"/>
        <v/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2" t="s">
        <v>34</v>
      </c>
    </row>
    <row r="65">
      <c r="A65" s="3" t="s">
        <v>48</v>
      </c>
      <c r="B65" s="4" t="s">
        <v>548</v>
      </c>
      <c r="C65" s="1" t="s">
        <v>549</v>
      </c>
      <c r="D65" s="3" t="s">
        <v>550</v>
      </c>
      <c r="E65" s="1" t="s">
        <v>30</v>
      </c>
      <c r="F65" s="5">
        <v>11830.0</v>
      </c>
      <c r="G65" s="1" t="s">
        <v>31</v>
      </c>
      <c r="H65" s="3" t="s">
        <v>32</v>
      </c>
      <c r="I65" s="1">
        <v>-6.1391493</v>
      </c>
      <c r="J65" s="3">
        <v>106.7122858</v>
      </c>
      <c r="K65" s="6" t="s">
        <v>551</v>
      </c>
      <c r="L65" s="7">
        <f t="shared" si="1"/>
        <v>25000000</v>
      </c>
      <c r="M65" s="7">
        <f>1200000000/48</f>
        <v>25000000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8" t="s">
        <v>552</v>
      </c>
    </row>
    <row r="66">
      <c r="A66" s="3" t="s">
        <v>48</v>
      </c>
      <c r="B66" s="4" t="s">
        <v>553</v>
      </c>
      <c r="C66" s="1" t="s">
        <v>554</v>
      </c>
      <c r="D66" s="3" t="s">
        <v>555</v>
      </c>
      <c r="E66" s="1" t="s">
        <v>30</v>
      </c>
      <c r="F66" s="5">
        <v>11830.0</v>
      </c>
      <c r="G66" s="1" t="s">
        <v>31</v>
      </c>
      <c r="H66" s="3" t="s">
        <v>32</v>
      </c>
      <c r="I66" s="1">
        <v>-6.1412837</v>
      </c>
      <c r="J66" s="3">
        <v>106.7144297</v>
      </c>
      <c r="K66" s="6" t="s">
        <v>556</v>
      </c>
      <c r="L66" s="7">
        <f t="shared" si="1"/>
        <v>19473684.21</v>
      </c>
      <c r="M66" s="7">
        <f>2950000000/150</f>
        <v>19666666.67</v>
      </c>
      <c r="N66" s="7">
        <f>2300000000/144</f>
        <v>15972222.22</v>
      </c>
      <c r="O66" s="7">
        <f t="shared" ref="O66:P66" si="26">3700000000/190</f>
        <v>19473684.21</v>
      </c>
      <c r="P66" s="7">
        <f t="shared" si="26"/>
        <v>19473684.21</v>
      </c>
      <c r="Q66" s="7">
        <f>5950000000/200</f>
        <v>29750000</v>
      </c>
      <c r="R66" s="7">
        <f>1800000000/84</f>
        <v>21428571.43</v>
      </c>
      <c r="S66" s="7">
        <f>1770000000/86</f>
        <v>20581395.35</v>
      </c>
      <c r="T66" s="7">
        <f>3700000000/190</f>
        <v>19473684.21</v>
      </c>
      <c r="U66" s="7">
        <f>2000000000/114</f>
        <v>17543859.65</v>
      </c>
      <c r="V66" s="7">
        <f>2200000000/114</f>
        <v>19298245.61</v>
      </c>
      <c r="W66" s="7">
        <f>3700000000/190</f>
        <v>19473684.21</v>
      </c>
      <c r="X66" s="7">
        <f>6100000000/200</f>
        <v>30500000</v>
      </c>
      <c r="Y66" s="7">
        <f>1350000000/58</f>
        <v>23275862.07</v>
      </c>
      <c r="Z66" s="8" t="s">
        <v>557</v>
      </c>
    </row>
    <row r="67">
      <c r="A67" s="3" t="s">
        <v>48</v>
      </c>
      <c r="B67" s="4" t="s">
        <v>558</v>
      </c>
      <c r="C67" s="1" t="s">
        <v>559</v>
      </c>
      <c r="D67" s="3" t="s">
        <v>560</v>
      </c>
      <c r="E67" s="1" t="s">
        <v>30</v>
      </c>
      <c r="F67" s="5">
        <v>11830.0</v>
      </c>
      <c r="G67" s="1" t="s">
        <v>31</v>
      </c>
      <c r="H67" s="3" t="s">
        <v>32</v>
      </c>
      <c r="I67" s="1">
        <v>-6.121921</v>
      </c>
      <c r="J67" s="3">
        <v>106.7018643</v>
      </c>
      <c r="K67" s="6" t="s">
        <v>561</v>
      </c>
      <c r="L67" s="7" t="str">
        <f t="shared" si="1"/>
        <v/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2" t="s">
        <v>34</v>
      </c>
    </row>
    <row r="68">
      <c r="A68" s="3" t="s">
        <v>48</v>
      </c>
      <c r="B68" s="4" t="s">
        <v>562</v>
      </c>
      <c r="C68" s="1" t="s">
        <v>563</v>
      </c>
      <c r="D68" s="3" t="s">
        <v>564</v>
      </c>
      <c r="E68" s="1" t="s">
        <v>30</v>
      </c>
      <c r="F68" s="5">
        <v>11830.0</v>
      </c>
      <c r="G68" s="1" t="s">
        <v>31</v>
      </c>
      <c r="H68" s="3" t="s">
        <v>32</v>
      </c>
      <c r="I68" s="1">
        <v>-6.1422535</v>
      </c>
      <c r="J68" s="3">
        <v>106.6991658</v>
      </c>
      <c r="K68" s="6" t="s">
        <v>565</v>
      </c>
      <c r="L68" s="7">
        <f t="shared" si="1"/>
        <v>17592592.59</v>
      </c>
      <c r="M68" s="7">
        <f>1900000000/108</f>
        <v>17592592.59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8" t="s">
        <v>566</v>
      </c>
    </row>
    <row r="69">
      <c r="A69" s="3" t="s">
        <v>48</v>
      </c>
      <c r="B69" s="4" t="s">
        <v>567</v>
      </c>
      <c r="C69" s="1" t="s">
        <v>568</v>
      </c>
      <c r="D69" s="3" t="s">
        <v>569</v>
      </c>
      <c r="E69" s="1" t="s">
        <v>30</v>
      </c>
      <c r="F69" s="5">
        <v>11830.0</v>
      </c>
      <c r="G69" s="1" t="s">
        <v>31</v>
      </c>
      <c r="H69" s="3" t="s">
        <v>32</v>
      </c>
      <c r="I69" s="1">
        <v>-6.1354491</v>
      </c>
      <c r="J69" s="3">
        <v>106.7023852</v>
      </c>
      <c r="K69" s="6" t="s">
        <v>570</v>
      </c>
      <c r="L69" s="7">
        <f t="shared" si="1"/>
        <v>17500000</v>
      </c>
      <c r="M69" s="7">
        <f>4000000000/254</f>
        <v>15748031.5</v>
      </c>
      <c r="N69" s="7">
        <f t="shared" ref="N69:O69" si="27">2800000000/160</f>
        <v>17500000</v>
      </c>
      <c r="O69" s="7">
        <f t="shared" si="27"/>
        <v>17500000</v>
      </c>
      <c r="P69" s="7">
        <f>1300000000/59</f>
        <v>22033898.31</v>
      </c>
      <c r="Q69" s="7">
        <f>2800000000/160</f>
        <v>17500000</v>
      </c>
      <c r="R69" s="7">
        <f>1500000000/144</f>
        <v>10416666.67</v>
      </c>
      <c r="S69" s="7">
        <f t="shared" ref="S69:T69" si="28">4000000000/300</f>
        <v>13333333.33</v>
      </c>
      <c r="T69" s="7">
        <f t="shared" si="28"/>
        <v>13333333.33</v>
      </c>
      <c r="U69" s="7">
        <f>3000000000/160</f>
        <v>18750000</v>
      </c>
      <c r="V69" s="7">
        <f>2800000000/160</f>
        <v>17500000</v>
      </c>
      <c r="W69" s="7">
        <f>5950000000/465</f>
        <v>12795698.92</v>
      </c>
      <c r="X69" s="7">
        <f>1484000000/190</f>
        <v>7810526.316</v>
      </c>
      <c r="Y69" s="7">
        <f>1500000000/72</f>
        <v>20833333.33</v>
      </c>
      <c r="Z69" s="8" t="s">
        <v>571</v>
      </c>
    </row>
    <row r="70">
      <c r="A70" s="3" t="s">
        <v>48</v>
      </c>
      <c r="B70" s="4" t="s">
        <v>572</v>
      </c>
      <c r="C70" s="1" t="s">
        <v>573</v>
      </c>
      <c r="D70" s="3" t="s">
        <v>574</v>
      </c>
      <c r="E70" s="1" t="s">
        <v>30</v>
      </c>
      <c r="F70" s="5">
        <v>11840.0</v>
      </c>
      <c r="G70" s="1" t="s">
        <v>31</v>
      </c>
      <c r="H70" s="9">
        <v>8.11E8</v>
      </c>
      <c r="I70" s="1">
        <v>-6.1517315</v>
      </c>
      <c r="J70" s="3">
        <v>106.7008745</v>
      </c>
      <c r="K70" s="6" t="s">
        <v>575</v>
      </c>
      <c r="L70" s="7">
        <f t="shared" si="1"/>
        <v>33333333.33</v>
      </c>
      <c r="M70" s="7">
        <f>2200000000/64</f>
        <v>34375000</v>
      </c>
      <c r="N70" s="7">
        <f>3200000000/96</f>
        <v>33333333.33</v>
      </c>
      <c r="O70" s="7">
        <f>3000000000/95</f>
        <v>31578947.37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8" t="s">
        <v>576</v>
      </c>
    </row>
    <row r="71">
      <c r="A71" s="3" t="s">
        <v>48</v>
      </c>
      <c r="B71" s="3" t="s">
        <v>577</v>
      </c>
      <c r="C71" s="1" t="s">
        <v>578</v>
      </c>
      <c r="D71" s="3" t="s">
        <v>579</v>
      </c>
      <c r="E71" s="1" t="s">
        <v>30</v>
      </c>
      <c r="F71" s="5">
        <v>11840.0</v>
      </c>
      <c r="G71" s="1" t="s">
        <v>31</v>
      </c>
      <c r="H71" s="3" t="s">
        <v>32</v>
      </c>
      <c r="I71" s="1">
        <v>-6.1498219</v>
      </c>
      <c r="J71" s="3">
        <v>106.694431</v>
      </c>
      <c r="K71" s="6" t="s">
        <v>580</v>
      </c>
      <c r="L71" s="7">
        <f t="shared" si="1"/>
        <v>15555555.56</v>
      </c>
      <c r="M71" s="7">
        <f>1900000000/120</f>
        <v>15833333.33</v>
      </c>
      <c r="N71" s="7">
        <f>950000000/60</f>
        <v>15833333.33</v>
      </c>
      <c r="O71" s="7">
        <f>6000000000/441</f>
        <v>13605442.18</v>
      </c>
      <c r="P71" s="7">
        <f>2500000000/176</f>
        <v>14204545.45</v>
      </c>
      <c r="Q71" s="7">
        <f>1900000000/97</f>
        <v>19587628.87</v>
      </c>
      <c r="R71" s="7">
        <f>3000000000/210</f>
        <v>14285714.29</v>
      </c>
      <c r="S71" s="7">
        <f>6500000000/424</f>
        <v>15330188.68</v>
      </c>
      <c r="T71" s="7">
        <f>1400000000/90</f>
        <v>15555555.56</v>
      </c>
      <c r="U71" s="7">
        <f>4000000000/224</f>
        <v>17857142.86</v>
      </c>
      <c r="V71" s="7">
        <f>3500000000/199</f>
        <v>17587939.7</v>
      </c>
      <c r="W71" s="7">
        <f>8500000000/500</f>
        <v>17000000</v>
      </c>
      <c r="X71" s="7">
        <f>2600000000/200</f>
        <v>13000000</v>
      </c>
      <c r="Y71" s="7">
        <f>1800000000/120</f>
        <v>15000000</v>
      </c>
      <c r="Z71" s="8" t="s">
        <v>581</v>
      </c>
    </row>
    <row r="72">
      <c r="A72" s="3" t="s">
        <v>48</v>
      </c>
      <c r="B72" s="4" t="s">
        <v>582</v>
      </c>
      <c r="C72" s="1" t="s">
        <v>583</v>
      </c>
      <c r="D72" s="3" t="s">
        <v>584</v>
      </c>
      <c r="E72" s="1" t="s">
        <v>30</v>
      </c>
      <c r="F72" s="5">
        <v>11850.0</v>
      </c>
      <c r="G72" s="1" t="s">
        <v>31</v>
      </c>
      <c r="H72" s="3" t="s">
        <v>32</v>
      </c>
      <c r="I72" s="1">
        <v>-6.1699691</v>
      </c>
      <c r="J72" s="3">
        <v>106.704869</v>
      </c>
      <c r="K72" s="6" t="s">
        <v>585</v>
      </c>
      <c r="L72" s="7">
        <f t="shared" si="1"/>
        <v>10277777.78</v>
      </c>
      <c r="M72" s="7">
        <f>850000000/90</f>
        <v>9444444.444</v>
      </c>
      <c r="N72" s="7">
        <f>1000000000/90</f>
        <v>11111111.11</v>
      </c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8" t="s">
        <v>586</v>
      </c>
    </row>
    <row r="73">
      <c r="A73" s="3" t="s">
        <v>48</v>
      </c>
      <c r="B73" s="4" t="s">
        <v>587</v>
      </c>
      <c r="C73" s="1" t="s">
        <v>588</v>
      </c>
      <c r="D73" s="3" t="s">
        <v>589</v>
      </c>
      <c r="E73" s="1" t="s">
        <v>30</v>
      </c>
      <c r="F73" s="5">
        <v>11850.0</v>
      </c>
      <c r="G73" s="1" t="s">
        <v>31</v>
      </c>
      <c r="H73" s="9">
        <v>8.13E10</v>
      </c>
      <c r="I73" s="1">
        <v>-6.1729206</v>
      </c>
      <c r="J73" s="3">
        <v>106.6990525</v>
      </c>
      <c r="K73" s="6" t="s">
        <v>590</v>
      </c>
      <c r="L73" s="7" t="str">
        <f t="shared" si="1"/>
        <v/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2" t="s">
        <v>34</v>
      </c>
    </row>
    <row r="74">
      <c r="A74" s="3" t="s">
        <v>48</v>
      </c>
      <c r="B74" s="4" t="s">
        <v>591</v>
      </c>
      <c r="C74" s="1" t="s">
        <v>592</v>
      </c>
      <c r="D74" s="3" t="s">
        <v>593</v>
      </c>
      <c r="E74" s="1" t="s">
        <v>30</v>
      </c>
      <c r="F74" s="5">
        <v>11850.0</v>
      </c>
      <c r="G74" s="1" t="s">
        <v>31</v>
      </c>
      <c r="H74" s="9">
        <v>8.82E9</v>
      </c>
      <c r="I74" s="1">
        <v>-6.1692769</v>
      </c>
      <c r="J74" s="3">
        <v>106.7007827</v>
      </c>
      <c r="K74" s="6" t="s">
        <v>594</v>
      </c>
      <c r="L74" s="7" t="str">
        <f t="shared" si="1"/>
        <v/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2" t="s">
        <v>34</v>
      </c>
    </row>
    <row r="75">
      <c r="A75" s="3" t="s">
        <v>48</v>
      </c>
      <c r="B75" s="4" t="s">
        <v>595</v>
      </c>
      <c r="C75" s="1" t="s">
        <v>596</v>
      </c>
      <c r="D75" s="3" t="s">
        <v>597</v>
      </c>
      <c r="E75" s="1" t="s">
        <v>30</v>
      </c>
      <c r="F75" s="5">
        <v>11850.0</v>
      </c>
      <c r="G75" s="1" t="s">
        <v>31</v>
      </c>
      <c r="H75" s="3" t="s">
        <v>32</v>
      </c>
      <c r="I75" s="1">
        <v>-6.1693482</v>
      </c>
      <c r="J75" s="3">
        <v>106.7032674</v>
      </c>
      <c r="K75" s="6" t="s">
        <v>598</v>
      </c>
      <c r="L75" s="7" t="str">
        <f t="shared" si="1"/>
        <v/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2" t="s">
        <v>34</v>
      </c>
    </row>
    <row r="76">
      <c r="A76" s="3" t="s">
        <v>48</v>
      </c>
      <c r="B76" s="4" t="s">
        <v>599</v>
      </c>
      <c r="C76" s="1" t="s">
        <v>600</v>
      </c>
      <c r="D76" s="3" t="s">
        <v>601</v>
      </c>
      <c r="E76" s="1" t="s">
        <v>30</v>
      </c>
      <c r="F76" s="5">
        <v>11480.0</v>
      </c>
      <c r="G76" s="1" t="s">
        <v>31</v>
      </c>
      <c r="H76" s="3" t="s">
        <v>32</v>
      </c>
      <c r="I76" s="1">
        <v>-6.2009295</v>
      </c>
      <c r="J76" s="3">
        <v>106.7929805</v>
      </c>
      <c r="K76" s="6" t="s">
        <v>602</v>
      </c>
      <c r="L76" s="7">
        <f t="shared" si="1"/>
        <v>28571428.57</v>
      </c>
      <c r="M76" s="7">
        <f>3000000000/105</f>
        <v>28571428.57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8" t="s">
        <v>603</v>
      </c>
    </row>
    <row r="77">
      <c r="A77" s="3" t="s">
        <v>48</v>
      </c>
      <c r="B77" s="4" t="s">
        <v>604</v>
      </c>
      <c r="C77" s="1" t="s">
        <v>605</v>
      </c>
      <c r="D77" s="3" t="s">
        <v>606</v>
      </c>
      <c r="E77" s="1" t="s">
        <v>30</v>
      </c>
      <c r="F77" s="5">
        <v>11480.0</v>
      </c>
      <c r="G77" s="1" t="s">
        <v>31</v>
      </c>
      <c r="H77" s="3" t="s">
        <v>32</v>
      </c>
      <c r="I77" s="1">
        <v>-6.1953203</v>
      </c>
      <c r="J77" s="3">
        <v>106.7932031</v>
      </c>
      <c r="K77" s="6" t="s">
        <v>607</v>
      </c>
      <c r="L77" s="7" t="str">
        <f t="shared" si="1"/>
        <v/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2" t="s">
        <v>34</v>
      </c>
    </row>
    <row r="78">
      <c r="A78" s="3" t="s">
        <v>48</v>
      </c>
      <c r="B78" s="4" t="s">
        <v>608</v>
      </c>
      <c r="C78" s="1" t="s">
        <v>609</v>
      </c>
      <c r="D78" s="3" t="s">
        <v>610</v>
      </c>
      <c r="E78" s="1" t="s">
        <v>30</v>
      </c>
      <c r="F78" s="5">
        <v>11410.0</v>
      </c>
      <c r="G78" s="1" t="s">
        <v>31</v>
      </c>
      <c r="H78" s="3" t="s">
        <v>32</v>
      </c>
      <c r="I78" s="1">
        <v>-6.1920985</v>
      </c>
      <c r="J78" s="3">
        <v>106.801617</v>
      </c>
      <c r="K78" s="6" t="s">
        <v>611</v>
      </c>
      <c r="L78" s="7" t="str">
        <f t="shared" si="1"/>
        <v/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2" t="s">
        <v>34</v>
      </c>
    </row>
    <row r="79">
      <c r="A79" s="3" t="s">
        <v>48</v>
      </c>
      <c r="B79" s="4" t="s">
        <v>612</v>
      </c>
      <c r="C79" s="1" t="s">
        <v>613</v>
      </c>
      <c r="D79" s="3" t="s">
        <v>614</v>
      </c>
      <c r="E79" s="1" t="s">
        <v>30</v>
      </c>
      <c r="F79" s="5">
        <v>11480.0</v>
      </c>
      <c r="G79" s="1" t="s">
        <v>31</v>
      </c>
      <c r="H79" s="3" t="s">
        <v>32</v>
      </c>
      <c r="I79" s="1">
        <v>-6.2054603</v>
      </c>
      <c r="J79" s="3">
        <v>106.7947913</v>
      </c>
      <c r="K79" s="6" t="s">
        <v>615</v>
      </c>
      <c r="L79" s="7">
        <f t="shared" si="1"/>
        <v>36407766.99</v>
      </c>
      <c r="M79" s="7">
        <f>7500000000/205</f>
        <v>36585365.85</v>
      </c>
      <c r="N79" s="7">
        <f>7900000000/206</f>
        <v>38349514.56</v>
      </c>
      <c r="O79" s="7">
        <f t="shared" ref="O79:P79" si="29">7500000000/206</f>
        <v>36407766.99</v>
      </c>
      <c r="P79" s="7">
        <f t="shared" si="29"/>
        <v>36407766.99</v>
      </c>
      <c r="Q79" s="7">
        <f>15000000000/436</f>
        <v>34403669.72</v>
      </c>
      <c r="R79" s="7">
        <f>9500000000/206</f>
        <v>46116504.85</v>
      </c>
      <c r="S79" s="7">
        <f t="shared" ref="S79:U79" si="30">7500000000/206</f>
        <v>36407766.99</v>
      </c>
      <c r="T79" s="7">
        <f t="shared" si="30"/>
        <v>36407766.99</v>
      </c>
      <c r="U79" s="7">
        <f t="shared" si="30"/>
        <v>36407766.99</v>
      </c>
      <c r="V79" s="7">
        <f>5700000000/153</f>
        <v>37254901.96</v>
      </c>
      <c r="W79" s="7">
        <f t="shared" ref="W79:Y79" si="31">7500000000/206</f>
        <v>36407766.99</v>
      </c>
      <c r="X79" s="7">
        <f t="shared" si="31"/>
        <v>36407766.99</v>
      </c>
      <c r="Y79" s="7">
        <f t="shared" si="31"/>
        <v>36407766.99</v>
      </c>
      <c r="Z79" s="8" t="s">
        <v>616</v>
      </c>
    </row>
    <row r="80">
      <c r="A80" s="3" t="s">
        <v>48</v>
      </c>
      <c r="B80" s="4" t="s">
        <v>617</v>
      </c>
      <c r="C80" s="1" t="s">
        <v>618</v>
      </c>
      <c r="D80" s="3" t="s">
        <v>619</v>
      </c>
      <c r="E80" s="1" t="s">
        <v>30</v>
      </c>
      <c r="F80" s="5">
        <v>11480.0</v>
      </c>
      <c r="G80" s="1" t="s">
        <v>31</v>
      </c>
      <c r="H80" s="3" t="s">
        <v>32</v>
      </c>
      <c r="I80" s="1">
        <v>-6.195563</v>
      </c>
      <c r="J80" s="3">
        <v>106.7934879</v>
      </c>
      <c r="K80" s="6" t="s">
        <v>620</v>
      </c>
      <c r="L80" s="7" t="str">
        <f t="shared" si="1"/>
        <v/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2" t="s">
        <v>34</v>
      </c>
    </row>
    <row r="81">
      <c r="A81" s="3" t="s">
        <v>48</v>
      </c>
      <c r="B81" s="4" t="s">
        <v>621</v>
      </c>
      <c r="C81" s="1" t="s">
        <v>622</v>
      </c>
      <c r="D81" s="3" t="s">
        <v>623</v>
      </c>
      <c r="E81" s="1" t="s">
        <v>30</v>
      </c>
      <c r="F81" s="5">
        <v>11480.0</v>
      </c>
      <c r="G81" s="1" t="s">
        <v>31</v>
      </c>
      <c r="H81" s="3" t="s">
        <v>32</v>
      </c>
      <c r="I81" s="1">
        <v>-6.19296</v>
      </c>
      <c r="J81" s="3">
        <v>106.7910044</v>
      </c>
      <c r="K81" s="6" t="s">
        <v>624</v>
      </c>
      <c r="L81" s="7">
        <f t="shared" si="1"/>
        <v>27695221.45</v>
      </c>
      <c r="M81" s="7">
        <f>29000000000/1148</f>
        <v>25261324.04</v>
      </c>
      <c r="N81" s="7">
        <f>30000000000/1144</f>
        <v>26223776.22</v>
      </c>
      <c r="O81" s="7">
        <f>26000000000/1144</f>
        <v>22727272.73</v>
      </c>
      <c r="P81" s="7">
        <f>3500000000/105</f>
        <v>33333333.33</v>
      </c>
      <c r="Q81" s="7">
        <f>37000000000/1144</f>
        <v>32342657.34</v>
      </c>
      <c r="R81" s="7">
        <f>35000000000/1144</f>
        <v>30594405.59</v>
      </c>
      <c r="S81" s="7">
        <f>13000000000/500</f>
        <v>26000000</v>
      </c>
      <c r="T81" s="7">
        <f>26000000000/1144</f>
        <v>22727272.73</v>
      </c>
      <c r="U81" s="7">
        <f>35000000000/1144</f>
        <v>30594405.59</v>
      </c>
      <c r="V81" s="7">
        <f>26000000000/1144</f>
        <v>22727272.73</v>
      </c>
      <c r="W81" s="7">
        <f>7000000000/240</f>
        <v>29166666.67</v>
      </c>
      <c r="X81" s="7">
        <f>15000000000/500</f>
        <v>30000000</v>
      </c>
      <c r="Y81" s="7"/>
      <c r="Z81" s="8" t="s">
        <v>625</v>
      </c>
    </row>
    <row r="82">
      <c r="A82" s="3" t="s">
        <v>48</v>
      </c>
      <c r="B82" s="4" t="s">
        <v>626</v>
      </c>
      <c r="C82" s="1" t="s">
        <v>627</v>
      </c>
      <c r="D82" s="3" t="s">
        <v>628</v>
      </c>
      <c r="E82" s="1" t="s">
        <v>30</v>
      </c>
      <c r="F82" s="5">
        <v>11480.0</v>
      </c>
      <c r="G82" s="1" t="s">
        <v>31</v>
      </c>
      <c r="H82" s="3" t="s">
        <v>32</v>
      </c>
      <c r="I82" s="1">
        <v>-6.188068</v>
      </c>
      <c r="J82" s="3">
        <v>106.793472</v>
      </c>
      <c r="K82" s="6" t="s">
        <v>629</v>
      </c>
      <c r="L82" s="7" t="str">
        <f t="shared" si="1"/>
        <v/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2" t="s">
        <v>34</v>
      </c>
    </row>
    <row r="83">
      <c r="A83" s="3" t="s">
        <v>48</v>
      </c>
      <c r="B83" s="4" t="s">
        <v>630</v>
      </c>
      <c r="C83" s="1" t="s">
        <v>631</v>
      </c>
      <c r="D83" s="3" t="s">
        <v>632</v>
      </c>
      <c r="E83" s="1" t="s">
        <v>30</v>
      </c>
      <c r="F83" s="5">
        <v>11480.0</v>
      </c>
      <c r="G83" s="1" t="s">
        <v>31</v>
      </c>
      <c r="H83" s="3" t="s">
        <v>32</v>
      </c>
      <c r="I83" s="1">
        <v>-6.1960509</v>
      </c>
      <c r="J83" s="3">
        <v>106.7906702</v>
      </c>
      <c r="K83" s="6" t="s">
        <v>633</v>
      </c>
      <c r="L83" s="7" t="str">
        <f t="shared" si="1"/>
        <v/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2" t="s">
        <v>34</v>
      </c>
    </row>
    <row r="84">
      <c r="A84" s="3" t="s">
        <v>48</v>
      </c>
      <c r="B84" s="4" t="s">
        <v>634</v>
      </c>
      <c r="C84" s="1" t="s">
        <v>635</v>
      </c>
      <c r="D84" s="3" t="s">
        <v>636</v>
      </c>
      <c r="E84" s="1" t="s">
        <v>30</v>
      </c>
      <c r="F84" s="5">
        <v>11480.0</v>
      </c>
      <c r="G84" s="1" t="s">
        <v>31</v>
      </c>
      <c r="H84" s="9">
        <v>8.13E10</v>
      </c>
      <c r="I84" s="1">
        <v>-6.194842</v>
      </c>
      <c r="J84" s="3">
        <v>106.7838023</v>
      </c>
      <c r="K84" s="6" t="s">
        <v>637</v>
      </c>
      <c r="L84" s="7" t="str">
        <f t="shared" si="1"/>
        <v/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2" t="s">
        <v>34</v>
      </c>
    </row>
    <row r="85">
      <c r="A85" s="3" t="s">
        <v>48</v>
      </c>
      <c r="B85" s="4" t="s">
        <v>638</v>
      </c>
      <c r="C85" s="1" t="s">
        <v>639</v>
      </c>
      <c r="D85" s="3" t="s">
        <v>640</v>
      </c>
      <c r="E85" s="1" t="s">
        <v>30</v>
      </c>
      <c r="F85" s="5">
        <v>11480.0</v>
      </c>
      <c r="G85" s="1" t="s">
        <v>31</v>
      </c>
      <c r="H85" s="3" t="s">
        <v>32</v>
      </c>
      <c r="I85" s="1">
        <v>-6.2033749</v>
      </c>
      <c r="J85" s="3">
        <v>106.785159</v>
      </c>
      <c r="K85" s="6" t="s">
        <v>641</v>
      </c>
      <c r="L85" s="7" t="str">
        <f t="shared" si="1"/>
        <v/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2" t="s">
        <v>34</v>
      </c>
    </row>
    <row r="86">
      <c r="A86" s="3" t="s">
        <v>48</v>
      </c>
      <c r="B86" s="4" t="s">
        <v>642</v>
      </c>
      <c r="C86" s="1" t="s">
        <v>643</v>
      </c>
      <c r="D86" s="3" t="s">
        <v>644</v>
      </c>
      <c r="E86" s="1" t="s">
        <v>30</v>
      </c>
      <c r="F86" s="5">
        <v>11650.0</v>
      </c>
      <c r="G86" s="1" t="s">
        <v>31</v>
      </c>
      <c r="H86" s="3" t="s">
        <v>32</v>
      </c>
      <c r="I86" s="1">
        <v>-6.2106992</v>
      </c>
      <c r="J86" s="3">
        <v>106.7369171</v>
      </c>
      <c r="K86" s="6" t="s">
        <v>645</v>
      </c>
      <c r="L86" s="7">
        <f t="shared" si="1"/>
        <v>20238095.24</v>
      </c>
      <c r="M86" s="7">
        <f>2950000000/154</f>
        <v>19155844.16</v>
      </c>
      <c r="N86" s="7">
        <f>2700000000/126</f>
        <v>21428571.43</v>
      </c>
      <c r="O86" s="7">
        <f>2500000000/78</f>
        <v>32051282.05</v>
      </c>
      <c r="P86" s="7">
        <f>3400000000/162</f>
        <v>20987654.32</v>
      </c>
      <c r="Q86" s="7">
        <f>3400000000/168</f>
        <v>20238095.24</v>
      </c>
      <c r="R86" s="7">
        <f t="shared" ref="R86:S86" si="32">2500000000/127</f>
        <v>19685039.37</v>
      </c>
      <c r="S86" s="7">
        <f t="shared" si="32"/>
        <v>19685039.37</v>
      </c>
      <c r="T86" s="7">
        <f>2400000000/80</f>
        <v>30000000</v>
      </c>
      <c r="U86" s="7">
        <f>3000000000/162</f>
        <v>18518518.52</v>
      </c>
      <c r="V86" s="7">
        <f>5000000000/460</f>
        <v>10869565.22</v>
      </c>
      <c r="W86" s="7">
        <f>2400000000/78</f>
        <v>30769230.77</v>
      </c>
      <c r="X86" s="7"/>
      <c r="Y86" s="7"/>
      <c r="Z86" s="8" t="s">
        <v>646</v>
      </c>
    </row>
    <row r="87">
      <c r="A87" s="3" t="s">
        <v>48</v>
      </c>
      <c r="B87" s="4" t="s">
        <v>647</v>
      </c>
      <c r="C87" s="1" t="s">
        <v>648</v>
      </c>
      <c r="D87" s="3" t="s">
        <v>649</v>
      </c>
      <c r="E87" s="1" t="s">
        <v>30</v>
      </c>
      <c r="F87" s="5">
        <v>11650.0</v>
      </c>
      <c r="G87" s="1" t="s">
        <v>31</v>
      </c>
      <c r="H87" s="9">
        <v>8.58E10</v>
      </c>
      <c r="I87" s="1">
        <v>-6.2068251</v>
      </c>
      <c r="J87" s="3">
        <v>106.7269946</v>
      </c>
      <c r="K87" s="6" t="s">
        <v>650</v>
      </c>
      <c r="L87" s="7">
        <f t="shared" si="1"/>
        <v>21122994.65</v>
      </c>
      <c r="M87" s="7">
        <f t="shared" ref="M87:Q87" si="33">7900000000/374</f>
        <v>21122994.65</v>
      </c>
      <c r="N87" s="7">
        <f t="shared" si="33"/>
        <v>21122994.65</v>
      </c>
      <c r="O87" s="7">
        <f t="shared" si="33"/>
        <v>21122994.65</v>
      </c>
      <c r="P87" s="7">
        <f t="shared" si="33"/>
        <v>21122994.65</v>
      </c>
      <c r="Q87" s="7">
        <f t="shared" si="33"/>
        <v>21122994.65</v>
      </c>
      <c r="R87" s="7">
        <f t="shared" ref="R87:S87" si="34">5350000000/196</f>
        <v>27295918.37</v>
      </c>
      <c r="S87" s="7">
        <f t="shared" si="34"/>
        <v>27295918.37</v>
      </c>
      <c r="T87" s="7">
        <f>3400000000/126</f>
        <v>26984126.98</v>
      </c>
      <c r="U87" s="7">
        <f>7900000000/374</f>
        <v>21122994.65</v>
      </c>
      <c r="V87" s="7">
        <f>4100000000/200</f>
        <v>20500000</v>
      </c>
      <c r="W87" s="7">
        <f t="shared" ref="W87:X87" si="35">5350000000/196</f>
        <v>27295918.37</v>
      </c>
      <c r="X87" s="7">
        <f t="shared" si="35"/>
        <v>27295918.37</v>
      </c>
      <c r="Y87" s="7">
        <f>3500000000/126</f>
        <v>27777777.78</v>
      </c>
      <c r="Z87" s="8" t="s">
        <v>651</v>
      </c>
    </row>
    <row r="88">
      <c r="A88" s="3" t="s">
        <v>48</v>
      </c>
      <c r="B88" s="4" t="s">
        <v>652</v>
      </c>
      <c r="C88" s="1" t="s">
        <v>653</v>
      </c>
      <c r="D88" s="3" t="s">
        <v>654</v>
      </c>
      <c r="E88" s="1" t="s">
        <v>30</v>
      </c>
      <c r="F88" s="5">
        <v>11630.0</v>
      </c>
      <c r="G88" s="1" t="s">
        <v>31</v>
      </c>
      <c r="H88" s="3" t="s">
        <v>32</v>
      </c>
      <c r="I88" s="1">
        <v>-6.2184189</v>
      </c>
      <c r="J88" s="3">
        <v>106.7626926</v>
      </c>
      <c r="K88" s="6" t="s">
        <v>655</v>
      </c>
      <c r="L88" s="7">
        <f t="shared" si="1"/>
        <v>32335958.9</v>
      </c>
      <c r="M88" s="7">
        <f>4500000000/146</f>
        <v>30821917.81</v>
      </c>
      <c r="N88" s="7">
        <f>6770000000/200</f>
        <v>33850000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8" t="s">
        <v>656</v>
      </c>
    </row>
    <row r="89">
      <c r="A89" s="3" t="s">
        <v>48</v>
      </c>
      <c r="B89" s="4" t="s">
        <v>657</v>
      </c>
      <c r="C89" s="1" t="s">
        <v>658</v>
      </c>
      <c r="D89" s="3" t="s">
        <v>659</v>
      </c>
      <c r="E89" s="1" t="s">
        <v>30</v>
      </c>
      <c r="F89" s="5">
        <v>11630.0</v>
      </c>
      <c r="G89" s="1" t="s">
        <v>31</v>
      </c>
      <c r="H89" s="3" t="s">
        <v>32</v>
      </c>
      <c r="I89" s="1">
        <v>-6.2047161</v>
      </c>
      <c r="J89" s="3">
        <v>106.7620899</v>
      </c>
      <c r="K89" s="6" t="s">
        <v>660</v>
      </c>
      <c r="L89" s="7">
        <f t="shared" si="1"/>
        <v>11728395.06</v>
      </c>
      <c r="M89" s="7">
        <f t="shared" ref="M89:P89" si="36">950000000/81</f>
        <v>11728395.06</v>
      </c>
      <c r="N89" s="7">
        <f t="shared" si="36"/>
        <v>11728395.06</v>
      </c>
      <c r="O89" s="7">
        <f t="shared" si="36"/>
        <v>11728395.06</v>
      </c>
      <c r="P89" s="7">
        <f t="shared" si="36"/>
        <v>11728395.06</v>
      </c>
      <c r="Q89" s="7">
        <f>2300000000/120</f>
        <v>19166666.67</v>
      </c>
      <c r="R89" s="7">
        <f>3000000000/121</f>
        <v>24793388.43</v>
      </c>
      <c r="S89" s="7"/>
      <c r="T89" s="7"/>
      <c r="U89" s="7"/>
      <c r="V89" s="7"/>
      <c r="W89" s="7"/>
      <c r="X89" s="7"/>
      <c r="Y89" s="7"/>
      <c r="Z89" s="8" t="s">
        <v>661</v>
      </c>
    </row>
    <row r="90">
      <c r="A90" s="3" t="s">
        <v>48</v>
      </c>
      <c r="B90" s="4" t="s">
        <v>662</v>
      </c>
      <c r="C90" s="1" t="s">
        <v>663</v>
      </c>
      <c r="D90" s="3" t="s">
        <v>664</v>
      </c>
      <c r="E90" s="1" t="s">
        <v>30</v>
      </c>
      <c r="F90" s="5">
        <v>11630.0</v>
      </c>
      <c r="G90" s="1" t="s">
        <v>31</v>
      </c>
      <c r="H90" s="9">
        <v>2.16E8</v>
      </c>
      <c r="I90" s="1">
        <v>-6.198543</v>
      </c>
      <c r="J90" s="3">
        <v>106.7518298</v>
      </c>
      <c r="K90" s="6" t="s">
        <v>665</v>
      </c>
      <c r="L90" s="7">
        <f t="shared" si="1"/>
        <v>35000000</v>
      </c>
      <c r="M90" s="7">
        <f>4100000000/120</f>
        <v>34166666.67</v>
      </c>
      <c r="N90" s="7">
        <f>4200000000/120</f>
        <v>35000000</v>
      </c>
      <c r="O90" s="7">
        <f>4100000000/120</f>
        <v>34166666.67</v>
      </c>
      <c r="P90" s="7">
        <f>4000000000/113</f>
        <v>35398230.09</v>
      </c>
      <c r="Q90" s="7">
        <f>4250000000/120</f>
        <v>35416666.67</v>
      </c>
      <c r="R90" s="7">
        <f>4100000000/120</f>
        <v>34166666.67</v>
      </c>
      <c r="S90" s="7">
        <f t="shared" ref="S90:U90" si="37">4200000000/120</f>
        <v>35000000</v>
      </c>
      <c r="T90" s="7">
        <f t="shared" si="37"/>
        <v>35000000</v>
      </c>
      <c r="U90" s="7">
        <f t="shared" si="37"/>
        <v>35000000</v>
      </c>
      <c r="V90" s="7">
        <f>4100000000/120</f>
        <v>34166666.67</v>
      </c>
      <c r="W90" s="7"/>
      <c r="X90" s="7"/>
      <c r="Y90" s="7"/>
      <c r="Z90" s="8" t="s">
        <v>666</v>
      </c>
    </row>
    <row r="91">
      <c r="A91" s="3" t="s">
        <v>48</v>
      </c>
      <c r="B91" s="4" t="s">
        <v>667</v>
      </c>
      <c r="C91" s="1" t="s">
        <v>668</v>
      </c>
      <c r="D91" s="3" t="s">
        <v>669</v>
      </c>
      <c r="E91" s="1" t="s">
        <v>30</v>
      </c>
      <c r="F91" s="5">
        <v>11640.0</v>
      </c>
      <c r="G91" s="1" t="s">
        <v>31</v>
      </c>
      <c r="H91" s="3" t="s">
        <v>32</v>
      </c>
      <c r="I91" s="1">
        <v>-6.2152028</v>
      </c>
      <c r="J91" s="3">
        <v>106.7344563</v>
      </c>
      <c r="K91" s="6" t="s">
        <v>670</v>
      </c>
      <c r="L91" s="7">
        <f t="shared" si="1"/>
        <v>13500000</v>
      </c>
      <c r="M91" s="7">
        <f t="shared" ref="M91:R91" si="38">2700000000/200</f>
        <v>13500000</v>
      </c>
      <c r="N91" s="7">
        <f t="shared" si="38"/>
        <v>13500000</v>
      </c>
      <c r="O91" s="7">
        <f t="shared" si="38"/>
        <v>13500000</v>
      </c>
      <c r="P91" s="7">
        <f t="shared" si="38"/>
        <v>13500000</v>
      </c>
      <c r="Q91" s="7">
        <f t="shared" si="38"/>
        <v>13500000</v>
      </c>
      <c r="R91" s="7">
        <f t="shared" si="38"/>
        <v>13500000</v>
      </c>
      <c r="S91" s="7">
        <f>2500000000/300</f>
        <v>8333333.333</v>
      </c>
      <c r="T91" s="7">
        <f>2590000000/200</f>
        <v>12950000</v>
      </c>
      <c r="U91" s="7">
        <f>2800000000/200</f>
        <v>14000000</v>
      </c>
      <c r="V91" s="7">
        <f>2850000000/200</f>
        <v>14250000</v>
      </c>
      <c r="W91" s="7"/>
      <c r="X91" s="7"/>
      <c r="Y91" s="7"/>
      <c r="Z91" s="8" t="s">
        <v>671</v>
      </c>
    </row>
    <row r="92">
      <c r="A92" s="3" t="s">
        <v>48</v>
      </c>
      <c r="B92" s="4" t="s">
        <v>672</v>
      </c>
      <c r="C92" s="1" t="s">
        <v>673</v>
      </c>
      <c r="D92" s="3" t="s">
        <v>674</v>
      </c>
      <c r="E92" s="1" t="s">
        <v>30</v>
      </c>
      <c r="F92" s="5">
        <v>11640.0</v>
      </c>
      <c r="G92" s="1" t="s">
        <v>31</v>
      </c>
      <c r="H92" s="3" t="s">
        <v>32</v>
      </c>
      <c r="I92" s="1">
        <v>-6.2191099</v>
      </c>
      <c r="J92" s="3">
        <v>106.7363107</v>
      </c>
      <c r="K92" s="6" t="s">
        <v>675</v>
      </c>
      <c r="L92" s="7">
        <f t="shared" si="1"/>
        <v>21428571.43</v>
      </c>
      <c r="M92" s="7">
        <f>13000000000/560</f>
        <v>23214285.71</v>
      </c>
      <c r="N92" s="7">
        <f>8500000000/602</f>
        <v>14119601.33</v>
      </c>
      <c r="O92" s="7">
        <f>12000000000/560</f>
        <v>21428571.43</v>
      </c>
      <c r="P92" s="7">
        <f>5600000000/327</f>
        <v>17125382.26</v>
      </c>
      <c r="Q92" s="7">
        <f>8500000000/352</f>
        <v>24147727.27</v>
      </c>
      <c r="R92" s="7">
        <f t="shared" ref="R92:S92" si="39">12000000000/560</f>
        <v>21428571.43</v>
      </c>
      <c r="S92" s="7">
        <f t="shared" si="39"/>
        <v>21428571.43</v>
      </c>
      <c r="T92" s="7"/>
      <c r="U92" s="7"/>
      <c r="V92" s="7"/>
      <c r="W92" s="7"/>
      <c r="X92" s="7"/>
      <c r="Y92" s="7"/>
      <c r="Z92" s="8" t="s">
        <v>676</v>
      </c>
    </row>
    <row r="93">
      <c r="A93" s="3" t="s">
        <v>48</v>
      </c>
      <c r="B93" s="4" t="s">
        <v>677</v>
      </c>
      <c r="C93" s="1" t="s">
        <v>678</v>
      </c>
      <c r="D93" s="3" t="s">
        <v>679</v>
      </c>
      <c r="E93" s="1" t="s">
        <v>30</v>
      </c>
      <c r="F93" s="5">
        <v>11640.0</v>
      </c>
      <c r="G93" s="1" t="s">
        <v>31</v>
      </c>
      <c r="H93" s="9">
        <v>8.17E10</v>
      </c>
      <c r="I93" s="1">
        <v>-6.2220299</v>
      </c>
      <c r="J93" s="3">
        <v>106.7222881</v>
      </c>
      <c r="K93" s="6" t="s">
        <v>680</v>
      </c>
      <c r="L93" s="7" t="str">
        <f t="shared" si="1"/>
        <v/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2" t="s">
        <v>34</v>
      </c>
    </row>
    <row r="94">
      <c r="A94" s="3" t="s">
        <v>48</v>
      </c>
      <c r="B94" s="4" t="s">
        <v>681</v>
      </c>
      <c r="C94" s="1" t="s">
        <v>682</v>
      </c>
      <c r="D94" s="3" t="s">
        <v>683</v>
      </c>
      <c r="E94" s="1" t="s">
        <v>30</v>
      </c>
      <c r="F94" s="5">
        <v>11640.0</v>
      </c>
      <c r="G94" s="1" t="s">
        <v>31</v>
      </c>
      <c r="H94" s="3" t="s">
        <v>32</v>
      </c>
      <c r="I94" s="1">
        <v>-6.2153328</v>
      </c>
      <c r="J94" s="3">
        <v>106.7245629</v>
      </c>
      <c r="K94" s="6" t="s">
        <v>684</v>
      </c>
      <c r="L94" s="7" t="str">
        <f t="shared" si="1"/>
        <v/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2" t="s">
        <v>34</v>
      </c>
    </row>
    <row r="95">
      <c r="A95" s="3" t="s">
        <v>48</v>
      </c>
      <c r="B95" s="4" t="s">
        <v>685</v>
      </c>
      <c r="C95" s="1" t="s">
        <v>686</v>
      </c>
      <c r="D95" s="3" t="s">
        <v>687</v>
      </c>
      <c r="E95" s="1" t="s">
        <v>30</v>
      </c>
      <c r="F95" s="5">
        <v>11640.0</v>
      </c>
      <c r="G95" s="1" t="s">
        <v>31</v>
      </c>
      <c r="H95" s="3" t="s">
        <v>32</v>
      </c>
      <c r="I95" s="1">
        <v>-6.2238</v>
      </c>
      <c r="J95" s="3">
        <v>106.7353199</v>
      </c>
      <c r="K95" s="6" t="s">
        <v>688</v>
      </c>
      <c r="L95" s="7">
        <f t="shared" si="1"/>
        <v>17346938.78</v>
      </c>
      <c r="M95" s="7">
        <f>1700000000/98</f>
        <v>17346938.78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8" t="s">
        <v>689</v>
      </c>
    </row>
    <row r="96">
      <c r="A96" s="3" t="s">
        <v>48</v>
      </c>
      <c r="B96" s="4" t="s">
        <v>690</v>
      </c>
      <c r="C96" s="1" t="s">
        <v>691</v>
      </c>
      <c r="D96" s="3" t="s">
        <v>692</v>
      </c>
      <c r="E96" s="1" t="s">
        <v>30</v>
      </c>
      <c r="F96" s="5">
        <v>11610.0</v>
      </c>
      <c r="G96" s="1" t="s">
        <v>31</v>
      </c>
      <c r="H96" s="9">
        <v>2.11E9</v>
      </c>
      <c r="I96" s="1">
        <v>-6.213406</v>
      </c>
      <c r="J96" s="3">
        <v>106.7266805</v>
      </c>
      <c r="K96" s="6" t="s">
        <v>693</v>
      </c>
      <c r="L96" s="7">
        <f t="shared" si="1"/>
        <v>7471264.368</v>
      </c>
      <c r="M96" s="7">
        <f>1500000000/184</f>
        <v>8152173.913</v>
      </c>
      <c r="N96" s="7">
        <f>600000000/135</f>
        <v>4444444.444</v>
      </c>
      <c r="O96" s="7">
        <f>1300000000/174</f>
        <v>7471264.368</v>
      </c>
      <c r="P96" s="7">
        <f>1500000000/174</f>
        <v>8620689.655</v>
      </c>
      <c r="Q96" s="7">
        <f>850000000/135</f>
        <v>6296296.296</v>
      </c>
      <c r="R96" s="7">
        <f>1300000000/174</f>
        <v>7471264.368</v>
      </c>
      <c r="S96" s="7"/>
      <c r="T96" s="7"/>
      <c r="U96" s="7"/>
      <c r="V96" s="7"/>
      <c r="W96" s="7"/>
      <c r="X96" s="7"/>
      <c r="Y96" s="7"/>
      <c r="Z96" s="8" t="s">
        <v>694</v>
      </c>
    </row>
    <row r="97">
      <c r="A97" s="3" t="s">
        <v>48</v>
      </c>
      <c r="B97" s="4" t="s">
        <v>695</v>
      </c>
      <c r="C97" s="1" t="s">
        <v>696</v>
      </c>
      <c r="D97" s="3" t="s">
        <v>697</v>
      </c>
      <c r="E97" s="1" t="s">
        <v>30</v>
      </c>
      <c r="F97" s="5">
        <v>11650.0</v>
      </c>
      <c r="G97" s="1" t="s">
        <v>31</v>
      </c>
      <c r="H97" s="3" t="s">
        <v>32</v>
      </c>
      <c r="I97" s="1">
        <v>-6.2082334</v>
      </c>
      <c r="J97" s="3">
        <v>106.7340717</v>
      </c>
      <c r="K97" s="6" t="s">
        <v>698</v>
      </c>
      <c r="L97" s="7" t="str">
        <f t="shared" si="1"/>
        <v/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2" t="s">
        <v>34</v>
      </c>
    </row>
    <row r="98">
      <c r="A98" s="3" t="s">
        <v>48</v>
      </c>
      <c r="B98" s="4" t="s">
        <v>699</v>
      </c>
      <c r="C98" s="1" t="s">
        <v>700</v>
      </c>
      <c r="D98" s="3" t="s">
        <v>407</v>
      </c>
      <c r="E98" s="1" t="s">
        <v>30</v>
      </c>
      <c r="F98" s="5">
        <v>11730.0</v>
      </c>
      <c r="G98" s="1" t="s">
        <v>31</v>
      </c>
      <c r="H98" s="3" t="s">
        <v>32</v>
      </c>
      <c r="I98" s="1">
        <v>-6.1407963</v>
      </c>
      <c r="J98" s="3">
        <v>106.7380987</v>
      </c>
      <c r="K98" s="6" t="s">
        <v>701</v>
      </c>
      <c r="L98" s="7">
        <f t="shared" si="1"/>
        <v>24000000</v>
      </c>
      <c r="M98" s="7">
        <f>1100000000/52</f>
        <v>21153846.15</v>
      </c>
      <c r="N98" s="7">
        <f>1200000000/52</f>
        <v>23076923.08</v>
      </c>
      <c r="O98" s="7">
        <f>1200000000/50</f>
        <v>24000000</v>
      </c>
      <c r="P98" s="7">
        <f>1500000000/52</f>
        <v>28846153.85</v>
      </c>
      <c r="Q98" s="7">
        <f>1300000000/52</f>
        <v>25000000</v>
      </c>
      <c r="R98" s="7">
        <f>900000000/52</f>
        <v>17307692.31</v>
      </c>
      <c r="S98" s="7">
        <f>1700000000/60</f>
        <v>28333333.33</v>
      </c>
      <c r="T98" s="7">
        <f>1100000000/50</f>
        <v>22000000</v>
      </c>
      <c r="U98" s="7">
        <f>1300000000/52</f>
        <v>25000000</v>
      </c>
      <c r="V98" s="7">
        <f>1100000000/50</f>
        <v>22000000</v>
      </c>
      <c r="W98" s="7">
        <f>1150000000/56</f>
        <v>20535714.29</v>
      </c>
      <c r="X98" s="7">
        <f>1400000000/50</f>
        <v>28000000</v>
      </c>
      <c r="Y98" s="7">
        <f>1200000000/48</f>
        <v>25000000</v>
      </c>
      <c r="Z98" s="8" t="s">
        <v>409</v>
      </c>
    </row>
    <row r="99">
      <c r="A99" s="3" t="s">
        <v>48</v>
      </c>
      <c r="B99" s="4" t="s">
        <v>702</v>
      </c>
      <c r="C99" s="1" t="s">
        <v>703</v>
      </c>
      <c r="D99" s="3" t="s">
        <v>704</v>
      </c>
      <c r="E99" s="1" t="s">
        <v>30</v>
      </c>
      <c r="F99" s="5">
        <v>11720.0</v>
      </c>
      <c r="G99" s="1" t="s">
        <v>31</v>
      </c>
      <c r="H99" s="3" t="s">
        <v>32</v>
      </c>
      <c r="I99" s="1">
        <v>-6.1352825</v>
      </c>
      <c r="J99" s="3">
        <v>106.7412714</v>
      </c>
      <c r="K99" s="6" t="s">
        <v>705</v>
      </c>
      <c r="L99" s="7">
        <f t="shared" si="1"/>
        <v>16923076.92</v>
      </c>
      <c r="M99" s="7">
        <f>2350000000/90</f>
        <v>26111111.11</v>
      </c>
      <c r="N99" s="7">
        <f>2800000000/234</f>
        <v>11965811.97</v>
      </c>
      <c r="O99" s="7">
        <f>1700000000/90</f>
        <v>18888888.89</v>
      </c>
      <c r="P99" s="7">
        <f t="shared" ref="P99:Q99" si="40">2800000000/234</f>
        <v>11965811.97</v>
      </c>
      <c r="Q99" s="7">
        <f t="shared" si="40"/>
        <v>11965811.97</v>
      </c>
      <c r="R99" s="7">
        <f>2200000000/90</f>
        <v>24444444.44</v>
      </c>
      <c r="S99" s="7">
        <f>2200000000/273</f>
        <v>8058608.059</v>
      </c>
      <c r="T99" s="7">
        <f>5700000000/500</f>
        <v>11400000</v>
      </c>
      <c r="U99" s="7">
        <f>2300000000/125</f>
        <v>18400000</v>
      </c>
      <c r="V99" s="7">
        <f>2100000000/90</f>
        <v>23333333.33</v>
      </c>
      <c r="W99" s="7">
        <f>5700000000/500</f>
        <v>11400000</v>
      </c>
      <c r="X99" s="7">
        <f>4500000000/237</f>
        <v>18987341.77</v>
      </c>
      <c r="Y99" s="7">
        <f>2200000000/130</f>
        <v>16923076.92</v>
      </c>
      <c r="Z99" s="8" t="s">
        <v>380</v>
      </c>
    </row>
    <row r="100">
      <c r="A100" s="3" t="s">
        <v>48</v>
      </c>
      <c r="B100" s="4" t="s">
        <v>706</v>
      </c>
      <c r="C100" s="1" t="s">
        <v>707</v>
      </c>
      <c r="D100" s="3" t="s">
        <v>303</v>
      </c>
      <c r="E100" s="1" t="s">
        <v>30</v>
      </c>
      <c r="F100" s="5">
        <v>11730.0</v>
      </c>
      <c r="G100" s="1" t="s">
        <v>31</v>
      </c>
      <c r="H100" s="3" t="s">
        <v>32</v>
      </c>
      <c r="I100" s="1">
        <v>-6.1404037</v>
      </c>
      <c r="J100" s="3">
        <v>106.7326684</v>
      </c>
      <c r="K100" s="6" t="s">
        <v>708</v>
      </c>
      <c r="L100" s="7">
        <f t="shared" si="1"/>
        <v>22500000</v>
      </c>
      <c r="M100" s="7">
        <f>2300000000/90</f>
        <v>25555555.56</v>
      </c>
      <c r="N100" s="7">
        <f>2350000000/120</f>
        <v>19583333.33</v>
      </c>
      <c r="O100" s="7">
        <f>2300000000/120</f>
        <v>19166666.67</v>
      </c>
      <c r="P100" s="7">
        <f>2100000000/90</f>
        <v>23333333.33</v>
      </c>
      <c r="Q100" s="7">
        <f>2300000000/90</f>
        <v>25555555.56</v>
      </c>
      <c r="R100" s="7">
        <f>2400000000/90</f>
        <v>26666666.67</v>
      </c>
      <c r="S100" s="7">
        <f t="shared" ref="S100:T100" si="41">2200000000/120</f>
        <v>18333333.33</v>
      </c>
      <c r="T100" s="7">
        <f t="shared" si="41"/>
        <v>18333333.33</v>
      </c>
      <c r="U100" s="7">
        <f>2300000000/90</f>
        <v>25555555.56</v>
      </c>
      <c r="V100" s="7">
        <f>2700000000/120</f>
        <v>22500000</v>
      </c>
      <c r="W100" s="7">
        <f>2600000000/120</f>
        <v>21666666.67</v>
      </c>
      <c r="X100" s="7">
        <f>1900000000/90</f>
        <v>21111111.11</v>
      </c>
      <c r="Y100" s="7">
        <f>2100000000/90</f>
        <v>23333333.33</v>
      </c>
      <c r="Z100" s="8" t="s">
        <v>709</v>
      </c>
    </row>
    <row r="101">
      <c r="A101" s="3" t="s">
        <v>48</v>
      </c>
      <c r="B101" s="4" t="s">
        <v>710</v>
      </c>
      <c r="C101" s="1" t="s">
        <v>711</v>
      </c>
      <c r="D101" s="3" t="s">
        <v>712</v>
      </c>
      <c r="E101" s="1" t="s">
        <v>30</v>
      </c>
      <c r="F101" s="5">
        <v>11730.0</v>
      </c>
      <c r="G101" s="1" t="s">
        <v>31</v>
      </c>
      <c r="H101" s="3" t="s">
        <v>32</v>
      </c>
      <c r="I101" s="1">
        <v>-6.1438112</v>
      </c>
      <c r="J101" s="3">
        <v>106.7338566</v>
      </c>
      <c r="K101" s="6" t="s">
        <v>713</v>
      </c>
      <c r="L101" s="7" t="str">
        <f t="shared" si="1"/>
        <v/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2" t="s">
        <v>34</v>
      </c>
    </row>
    <row r="102">
      <c r="A102" s="3" t="s">
        <v>48</v>
      </c>
      <c r="B102" s="4" t="s">
        <v>714</v>
      </c>
      <c r="C102" s="1" t="s">
        <v>715</v>
      </c>
      <c r="D102" s="3" t="s">
        <v>716</v>
      </c>
      <c r="E102" s="1" t="s">
        <v>30</v>
      </c>
      <c r="F102" s="5">
        <v>11740.0</v>
      </c>
      <c r="G102" s="1" t="s">
        <v>31</v>
      </c>
      <c r="H102" s="3" t="s">
        <v>32</v>
      </c>
      <c r="I102" s="1">
        <v>-6.1662593</v>
      </c>
      <c r="J102" s="3">
        <v>106.7404495</v>
      </c>
      <c r="K102" s="6" t="s">
        <v>717</v>
      </c>
      <c r="L102" s="7" t="str">
        <f t="shared" si="1"/>
        <v/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2" t="s">
        <v>34</v>
      </c>
    </row>
    <row r="103">
      <c r="A103" s="3" t="s">
        <v>48</v>
      </c>
      <c r="B103" s="4" t="s">
        <v>718</v>
      </c>
      <c r="C103" s="1" t="s">
        <v>719</v>
      </c>
      <c r="D103" s="3" t="s">
        <v>720</v>
      </c>
      <c r="E103" s="1" t="s">
        <v>30</v>
      </c>
      <c r="F103" s="5">
        <v>11460.0</v>
      </c>
      <c r="G103" s="1" t="s">
        <v>31</v>
      </c>
      <c r="H103" s="3" t="s">
        <v>32</v>
      </c>
      <c r="I103" s="1">
        <v>-6.149352</v>
      </c>
      <c r="J103" s="3">
        <v>106.7886525</v>
      </c>
      <c r="K103" s="6" t="s">
        <v>721</v>
      </c>
      <c r="L103" s="7">
        <f t="shared" si="1"/>
        <v>64102564.1</v>
      </c>
      <c r="M103" s="7">
        <f t="shared" ref="M103:Q103" si="42">5000000000/78</f>
        <v>64102564.1</v>
      </c>
      <c r="N103" s="7">
        <f t="shared" si="42"/>
        <v>64102564.1</v>
      </c>
      <c r="O103" s="7">
        <f t="shared" si="42"/>
        <v>64102564.1</v>
      </c>
      <c r="P103" s="7">
        <f t="shared" si="42"/>
        <v>64102564.1</v>
      </c>
      <c r="Q103" s="7">
        <f t="shared" si="42"/>
        <v>64102564.1</v>
      </c>
      <c r="R103" s="7"/>
      <c r="S103" s="7"/>
      <c r="T103" s="7"/>
      <c r="U103" s="7"/>
      <c r="V103" s="7"/>
      <c r="W103" s="7"/>
      <c r="X103" s="7"/>
      <c r="Y103" s="7"/>
      <c r="Z103" s="8" t="s">
        <v>722</v>
      </c>
    </row>
    <row r="104">
      <c r="A104" s="3" t="s">
        <v>48</v>
      </c>
      <c r="B104" s="4" t="s">
        <v>723</v>
      </c>
      <c r="C104" s="1" t="s">
        <v>724</v>
      </c>
      <c r="D104" s="3" t="s">
        <v>725</v>
      </c>
      <c r="E104" s="1" t="s">
        <v>30</v>
      </c>
      <c r="F104" s="5">
        <v>11450.0</v>
      </c>
      <c r="G104" s="1" t="s">
        <v>31</v>
      </c>
      <c r="H104" s="3" t="s">
        <v>32</v>
      </c>
      <c r="I104" s="1">
        <v>-6.1631706</v>
      </c>
      <c r="J104" s="3">
        <v>106.7962231</v>
      </c>
      <c r="K104" s="6" t="s">
        <v>726</v>
      </c>
      <c r="L104" s="7" t="str">
        <f t="shared" si="1"/>
        <v/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2" t="s">
        <v>34</v>
      </c>
    </row>
    <row r="105">
      <c r="A105" s="3" t="s">
        <v>48</v>
      </c>
      <c r="B105" s="4" t="s">
        <v>727</v>
      </c>
      <c r="C105" s="1" t="s">
        <v>728</v>
      </c>
      <c r="D105" s="3" t="s">
        <v>729</v>
      </c>
      <c r="E105" s="1" t="s">
        <v>30</v>
      </c>
      <c r="F105" s="5">
        <v>11470.0</v>
      </c>
      <c r="G105" s="1" t="s">
        <v>31</v>
      </c>
      <c r="H105" s="3" t="s">
        <v>32</v>
      </c>
      <c r="I105" s="1">
        <v>-6.1807332</v>
      </c>
      <c r="J105" s="3">
        <v>106.7897906</v>
      </c>
      <c r="K105" s="6" t="s">
        <v>730</v>
      </c>
      <c r="L105" s="7">
        <f t="shared" si="1"/>
        <v>20476190.48</v>
      </c>
      <c r="M105" s="7">
        <f>4300000000/210</f>
        <v>20476190.48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8" t="s">
        <v>731</v>
      </c>
    </row>
    <row r="106">
      <c r="A106" s="3" t="s">
        <v>48</v>
      </c>
      <c r="B106" s="4" t="s">
        <v>732</v>
      </c>
      <c r="C106" s="1" t="s">
        <v>733</v>
      </c>
      <c r="D106" s="3" t="s">
        <v>734</v>
      </c>
      <c r="E106" s="1" t="s">
        <v>30</v>
      </c>
      <c r="F106" s="5">
        <v>11510.0</v>
      </c>
      <c r="G106" s="1" t="s">
        <v>31</v>
      </c>
      <c r="H106" s="3" t="s">
        <v>32</v>
      </c>
      <c r="I106" s="1">
        <v>-6.178817</v>
      </c>
      <c r="J106" s="3">
        <v>106.7738225</v>
      </c>
      <c r="K106" s="6" t="s">
        <v>735</v>
      </c>
      <c r="L106" s="7">
        <f t="shared" si="1"/>
        <v>17322834.65</v>
      </c>
      <c r="M106" s="7">
        <f t="shared" ref="M106:N106" si="43">2000000000/127</f>
        <v>15748031.5</v>
      </c>
      <c r="N106" s="7">
        <f t="shared" si="43"/>
        <v>15748031.5</v>
      </c>
      <c r="O106" s="7">
        <f t="shared" ref="O106:Q106" si="44">2200000000/127</f>
        <v>17322834.65</v>
      </c>
      <c r="P106" s="7">
        <f t="shared" si="44"/>
        <v>17322834.65</v>
      </c>
      <c r="Q106" s="7">
        <f t="shared" si="44"/>
        <v>17322834.65</v>
      </c>
      <c r="R106" s="7"/>
      <c r="S106" s="7"/>
      <c r="T106" s="7"/>
      <c r="U106" s="7"/>
      <c r="V106" s="7"/>
      <c r="W106" s="7"/>
      <c r="X106" s="7"/>
      <c r="Y106" s="7"/>
      <c r="Z106" s="8" t="s">
        <v>736</v>
      </c>
    </row>
    <row r="107">
      <c r="A107" s="3" t="s">
        <v>48</v>
      </c>
      <c r="B107" s="4" t="s">
        <v>737</v>
      </c>
      <c r="C107" s="1" t="s">
        <v>738</v>
      </c>
      <c r="D107" s="3" t="s">
        <v>739</v>
      </c>
      <c r="E107" s="1" t="s">
        <v>30</v>
      </c>
      <c r="F107" s="5">
        <v>11520.0</v>
      </c>
      <c r="G107" s="1" t="s">
        <v>31</v>
      </c>
      <c r="H107" s="3" t="s">
        <v>32</v>
      </c>
      <c r="I107" s="1">
        <v>-6.1794086</v>
      </c>
      <c r="J107" s="3">
        <v>106.7507906</v>
      </c>
      <c r="K107" s="6" t="s">
        <v>740</v>
      </c>
      <c r="L107" s="7">
        <f t="shared" si="1"/>
        <v>27500000</v>
      </c>
      <c r="M107" s="7">
        <f>71000000000/1956</f>
        <v>36298568.51</v>
      </c>
      <c r="N107" s="7">
        <f>5500000000/200</f>
        <v>27500000</v>
      </c>
      <c r="O107" s="7">
        <f>9300000000/500</f>
        <v>18600000</v>
      </c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8" t="s">
        <v>741</v>
      </c>
    </row>
    <row r="108">
      <c r="A108" s="3" t="s">
        <v>48</v>
      </c>
      <c r="B108" s="4" t="s">
        <v>742</v>
      </c>
      <c r="C108" s="1" t="s">
        <v>743</v>
      </c>
      <c r="D108" s="3" t="s">
        <v>744</v>
      </c>
      <c r="E108" s="1" t="s">
        <v>30</v>
      </c>
      <c r="F108" s="5">
        <v>11530.0</v>
      </c>
      <c r="G108" s="1" t="s">
        <v>31</v>
      </c>
      <c r="H108" s="3" t="s">
        <v>32</v>
      </c>
      <c r="I108" s="1">
        <v>-6.1973604</v>
      </c>
      <c r="J108" s="3">
        <v>106.7786555</v>
      </c>
      <c r="K108" s="6" t="s">
        <v>745</v>
      </c>
      <c r="L108" s="7">
        <f t="shared" si="1"/>
        <v>26219135.8</v>
      </c>
      <c r="M108" s="7">
        <f>1750000000/81</f>
        <v>21604938.27</v>
      </c>
      <c r="N108" s="7">
        <f>3700000000/120</f>
        <v>30833333.33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8" t="s">
        <v>746</v>
      </c>
    </row>
    <row r="109">
      <c r="A109" s="3" t="s">
        <v>48</v>
      </c>
      <c r="B109" s="4" t="s">
        <v>747</v>
      </c>
      <c r="C109" s="1" t="s">
        <v>748</v>
      </c>
      <c r="D109" s="3" t="s">
        <v>749</v>
      </c>
      <c r="E109" s="1" t="s">
        <v>30</v>
      </c>
      <c r="F109" s="5">
        <v>11530.0</v>
      </c>
      <c r="G109" s="1" t="s">
        <v>31</v>
      </c>
      <c r="H109" s="3" t="s">
        <v>32</v>
      </c>
      <c r="I109" s="1">
        <v>-6.1946875</v>
      </c>
      <c r="J109" s="3">
        <v>106.7613498</v>
      </c>
      <c r="K109" s="6" t="s">
        <v>750</v>
      </c>
      <c r="L109" s="7" t="str">
        <f t="shared" si="1"/>
        <v/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2" t="s">
        <v>34</v>
      </c>
    </row>
    <row r="110">
      <c r="A110" s="3" t="s">
        <v>48</v>
      </c>
      <c r="B110" s="4" t="s">
        <v>751</v>
      </c>
      <c r="C110" s="1" t="s">
        <v>752</v>
      </c>
      <c r="D110" s="3" t="s">
        <v>753</v>
      </c>
      <c r="E110" s="1" t="s">
        <v>30</v>
      </c>
      <c r="F110" s="5">
        <v>11530.0</v>
      </c>
      <c r="G110" s="1" t="s">
        <v>31</v>
      </c>
      <c r="H110" s="3" t="s">
        <v>32</v>
      </c>
      <c r="I110" s="1">
        <v>-6.196373</v>
      </c>
      <c r="J110" s="3">
        <v>106.7673353</v>
      </c>
      <c r="K110" s="6" t="s">
        <v>754</v>
      </c>
      <c r="L110" s="7" t="str">
        <f t="shared" si="1"/>
        <v/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2" t="s">
        <v>34</v>
      </c>
    </row>
    <row r="111">
      <c r="A111" s="3" t="s">
        <v>48</v>
      </c>
      <c r="B111" s="4" t="s">
        <v>755</v>
      </c>
      <c r="C111" s="1" t="s">
        <v>756</v>
      </c>
      <c r="D111" s="3" t="s">
        <v>757</v>
      </c>
      <c r="E111" s="1" t="s">
        <v>30</v>
      </c>
      <c r="F111" s="5">
        <v>11540.0</v>
      </c>
      <c r="G111" s="1" t="s">
        <v>31</v>
      </c>
      <c r="H111" s="3" t="s">
        <v>32</v>
      </c>
      <c r="I111" s="1">
        <v>-6.2111575</v>
      </c>
      <c r="J111" s="3">
        <v>106.7762018</v>
      </c>
      <c r="K111" s="6" t="s">
        <v>758</v>
      </c>
      <c r="L111" s="7" t="str">
        <f t="shared" si="1"/>
        <v/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2" t="s">
        <v>34</v>
      </c>
    </row>
    <row r="112">
      <c r="A112" s="3" t="s">
        <v>48</v>
      </c>
      <c r="B112" s="4" t="s">
        <v>759</v>
      </c>
      <c r="C112" s="1" t="s">
        <v>760</v>
      </c>
      <c r="D112" s="3" t="s">
        <v>500</v>
      </c>
      <c r="E112" s="1" t="s">
        <v>30</v>
      </c>
      <c r="F112" s="5">
        <v>11540.0</v>
      </c>
      <c r="G112" s="1" t="s">
        <v>31</v>
      </c>
      <c r="H112" s="3" t="s">
        <v>32</v>
      </c>
      <c r="I112" s="1">
        <v>-6.2034594</v>
      </c>
      <c r="J112" s="3">
        <v>106.7760024</v>
      </c>
      <c r="K112" s="6" t="s">
        <v>761</v>
      </c>
      <c r="L112" s="7">
        <f t="shared" si="1"/>
        <v>30902777.78</v>
      </c>
      <c r="M112" s="7">
        <f>8900000000/288</f>
        <v>30902777.78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8" t="s">
        <v>762</v>
      </c>
    </row>
    <row r="113">
      <c r="A113" s="3" t="s">
        <v>48</v>
      </c>
      <c r="B113" s="4" t="s">
        <v>763</v>
      </c>
      <c r="C113" s="1" t="s">
        <v>764</v>
      </c>
      <c r="D113" s="3" t="s">
        <v>765</v>
      </c>
      <c r="E113" s="1" t="s">
        <v>30</v>
      </c>
      <c r="F113" s="5">
        <v>11540.0</v>
      </c>
      <c r="G113" s="1" t="s">
        <v>31</v>
      </c>
      <c r="H113" s="3" t="s">
        <v>32</v>
      </c>
      <c r="I113" s="1">
        <v>-6.206076</v>
      </c>
      <c r="J113" s="3">
        <v>106.7738157</v>
      </c>
      <c r="K113" s="6" t="s">
        <v>766</v>
      </c>
      <c r="L113" s="7">
        <f t="shared" si="1"/>
        <v>22000000</v>
      </c>
      <c r="M113" s="7">
        <f t="shared" ref="M113:N113" si="45">1100000000/50</f>
        <v>22000000</v>
      </c>
      <c r="N113" s="7">
        <f t="shared" si="45"/>
        <v>22000000</v>
      </c>
      <c r="O113" s="7">
        <f>1100000000/70</f>
        <v>15714285.71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8" t="s">
        <v>767</v>
      </c>
    </row>
    <row r="114">
      <c r="A114" s="3" t="s">
        <v>48</v>
      </c>
      <c r="B114" s="4" t="s">
        <v>768</v>
      </c>
      <c r="C114" s="1" t="s">
        <v>769</v>
      </c>
      <c r="D114" s="3" t="s">
        <v>770</v>
      </c>
      <c r="E114" s="1" t="s">
        <v>30</v>
      </c>
      <c r="F114" s="5">
        <v>11540.0</v>
      </c>
      <c r="G114" s="1" t="s">
        <v>31</v>
      </c>
      <c r="H114" s="3" t="s">
        <v>32</v>
      </c>
      <c r="I114" s="1">
        <v>-6.2127703</v>
      </c>
      <c r="J114" s="3">
        <v>106.773578</v>
      </c>
      <c r="K114" s="6" t="s">
        <v>771</v>
      </c>
      <c r="L114" s="7" t="str">
        <f t="shared" si="1"/>
        <v/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2" t="s">
        <v>34</v>
      </c>
    </row>
    <row r="115">
      <c r="A115" s="3" t="s">
        <v>48</v>
      </c>
      <c r="B115" s="4" t="s">
        <v>772</v>
      </c>
      <c r="C115" s="1" t="s">
        <v>773</v>
      </c>
      <c r="D115" s="3" t="s">
        <v>774</v>
      </c>
      <c r="E115" s="1" t="s">
        <v>30</v>
      </c>
      <c r="F115" s="5">
        <v>11810.0</v>
      </c>
      <c r="G115" s="1" t="s">
        <v>31</v>
      </c>
      <c r="H115" s="3" t="s">
        <v>32</v>
      </c>
      <c r="I115" s="1">
        <v>-6.1214949</v>
      </c>
      <c r="J115" s="3">
        <v>106.7035061</v>
      </c>
      <c r="K115" s="6" t="s">
        <v>775</v>
      </c>
      <c r="L115" s="7">
        <f t="shared" si="1"/>
        <v>15000000</v>
      </c>
      <c r="M115" s="7">
        <f>1650000000/128</f>
        <v>12890625</v>
      </c>
      <c r="N115" s="7">
        <f>1680000000/129</f>
        <v>13023255.81</v>
      </c>
      <c r="O115" s="7">
        <f>2200000000/128</f>
        <v>17187500</v>
      </c>
      <c r="P115" s="7">
        <f>1880000000/128</f>
        <v>14687500</v>
      </c>
      <c r="Q115" s="7">
        <f>1650000000/128</f>
        <v>12890625</v>
      </c>
      <c r="R115" s="7">
        <f>8000000000/360</f>
        <v>22222222.22</v>
      </c>
      <c r="S115" s="7">
        <f>1850000000/108</f>
        <v>17129629.63</v>
      </c>
      <c r="T115" s="7">
        <f t="shared" ref="T115:U115" si="46">2150000000/92</f>
        <v>23369565.22</v>
      </c>
      <c r="U115" s="7">
        <f t="shared" si="46"/>
        <v>23369565.22</v>
      </c>
      <c r="V115" s="7">
        <f>1900000000/128</f>
        <v>14843750</v>
      </c>
      <c r="W115" s="7">
        <f>1800000000/120</f>
        <v>15000000</v>
      </c>
      <c r="X115" s="7"/>
      <c r="Y115" s="7"/>
      <c r="Z115" s="8" t="s">
        <v>776</v>
      </c>
    </row>
    <row r="116">
      <c r="A116" s="3" t="s">
        <v>48</v>
      </c>
      <c r="B116" s="4" t="s">
        <v>777</v>
      </c>
      <c r="C116" s="1" t="s">
        <v>778</v>
      </c>
      <c r="D116" s="3" t="s">
        <v>779</v>
      </c>
      <c r="E116" s="1" t="s">
        <v>30</v>
      </c>
      <c r="F116" s="5">
        <v>11810.0</v>
      </c>
      <c r="G116" s="1" t="s">
        <v>31</v>
      </c>
      <c r="H116" s="3" t="s">
        <v>32</v>
      </c>
      <c r="I116" s="1">
        <v>-6.1032804</v>
      </c>
      <c r="J116" s="3">
        <v>106.7062886</v>
      </c>
      <c r="K116" s="6" t="s">
        <v>780</v>
      </c>
      <c r="L116" s="7" t="str">
        <f t="shared" si="1"/>
        <v/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2" t="s">
        <v>34</v>
      </c>
    </row>
    <row r="117">
      <c r="A117" s="3" t="s">
        <v>48</v>
      </c>
      <c r="B117" s="4" t="s">
        <v>781</v>
      </c>
      <c r="C117" s="1" t="s">
        <v>782</v>
      </c>
      <c r="D117" s="3" t="s">
        <v>783</v>
      </c>
      <c r="E117" s="1" t="s">
        <v>30</v>
      </c>
      <c r="F117" s="5">
        <v>11840.0</v>
      </c>
      <c r="G117" s="1" t="s">
        <v>31</v>
      </c>
      <c r="H117" s="3" t="s">
        <v>32</v>
      </c>
      <c r="I117" s="1">
        <v>-6.1464964</v>
      </c>
      <c r="J117" s="3">
        <v>106.699787</v>
      </c>
      <c r="K117" s="6" t="s">
        <v>784</v>
      </c>
      <c r="L117" s="7" t="str">
        <f t="shared" si="1"/>
        <v/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2" t="s">
        <v>34</v>
      </c>
    </row>
    <row r="118">
      <c r="A118" s="3" t="s">
        <v>48</v>
      </c>
      <c r="B118" s="4" t="s">
        <v>785</v>
      </c>
      <c r="C118" s="1" t="s">
        <v>786</v>
      </c>
      <c r="D118" s="3" t="s">
        <v>787</v>
      </c>
      <c r="E118" s="1" t="s">
        <v>30</v>
      </c>
      <c r="F118" s="5">
        <v>11830.0</v>
      </c>
      <c r="G118" s="1" t="s">
        <v>31</v>
      </c>
      <c r="H118" s="3" t="s">
        <v>32</v>
      </c>
      <c r="I118" s="1">
        <v>-6.1363226</v>
      </c>
      <c r="J118" s="3">
        <v>106.6943464</v>
      </c>
      <c r="K118" s="6" t="s">
        <v>788</v>
      </c>
      <c r="L118" s="7">
        <f t="shared" si="1"/>
        <v>17490530.3</v>
      </c>
      <c r="M118" s="7">
        <f>1700000000/96</f>
        <v>17708333.33</v>
      </c>
      <c r="N118" s="7">
        <f>2280000000/132</f>
        <v>17272727.27</v>
      </c>
      <c r="O118" s="7">
        <f>2900000000/129</f>
        <v>22480620.16</v>
      </c>
      <c r="P118" s="7">
        <f>1800000000/117</f>
        <v>15384615.38</v>
      </c>
      <c r="Q118" s="7">
        <f>1300000000/102</f>
        <v>12745098.04</v>
      </c>
      <c r="R118" s="7">
        <f>2000000000/108</f>
        <v>18518518.52</v>
      </c>
      <c r="S118" s="7"/>
      <c r="T118" s="7"/>
      <c r="U118" s="7"/>
      <c r="V118" s="7"/>
      <c r="W118" s="7"/>
      <c r="X118" s="7"/>
      <c r="Y118" s="7"/>
      <c r="Z118" s="8" t="s">
        <v>789</v>
      </c>
    </row>
    <row r="119">
      <c r="A119" s="3" t="s">
        <v>48</v>
      </c>
      <c r="B119" s="4" t="s">
        <v>790</v>
      </c>
      <c r="C119" s="1" t="s">
        <v>791</v>
      </c>
      <c r="D119" s="3" t="s">
        <v>569</v>
      </c>
      <c r="E119" s="1" t="s">
        <v>30</v>
      </c>
      <c r="F119" s="5">
        <v>11830.0</v>
      </c>
      <c r="G119" s="1" t="s">
        <v>31</v>
      </c>
      <c r="H119" s="3" t="s">
        <v>32</v>
      </c>
      <c r="I119" s="1">
        <v>-6.1337623</v>
      </c>
      <c r="J119" s="3">
        <v>106.7012365</v>
      </c>
      <c r="K119" s="6" t="s">
        <v>792</v>
      </c>
      <c r="L119" s="7" t="str">
        <f t="shared" si="1"/>
        <v/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2" t="s">
        <v>34</v>
      </c>
    </row>
    <row r="120">
      <c r="A120" s="3" t="s">
        <v>48</v>
      </c>
      <c r="B120" s="4" t="s">
        <v>793</v>
      </c>
      <c r="C120" s="1" t="s">
        <v>794</v>
      </c>
      <c r="D120" s="3" t="s">
        <v>795</v>
      </c>
      <c r="E120" s="1" t="s">
        <v>30</v>
      </c>
      <c r="F120" s="5">
        <v>11840.0</v>
      </c>
      <c r="G120" s="1" t="s">
        <v>31</v>
      </c>
      <c r="H120" s="3" t="s">
        <v>32</v>
      </c>
      <c r="I120" s="1">
        <v>-6.1473154</v>
      </c>
      <c r="J120" s="3">
        <v>106.7000204</v>
      </c>
      <c r="K120" s="6" t="s">
        <v>796</v>
      </c>
      <c r="L120" s="7">
        <f t="shared" si="1"/>
        <v>27163461.54</v>
      </c>
      <c r="M120" s="7">
        <f>4500000000/144</f>
        <v>31250000</v>
      </c>
      <c r="N120" s="7">
        <f>4800000000/208</f>
        <v>23076923.08</v>
      </c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10" t="s">
        <v>175</v>
      </c>
    </row>
    <row r="121">
      <c r="A121" s="3" t="s">
        <v>48</v>
      </c>
      <c r="B121" s="4" t="s">
        <v>797</v>
      </c>
      <c r="C121" s="1" t="s">
        <v>798</v>
      </c>
      <c r="D121" s="3" t="s">
        <v>799</v>
      </c>
      <c r="E121" s="1" t="s">
        <v>30</v>
      </c>
      <c r="F121" s="5">
        <v>11420.0</v>
      </c>
      <c r="G121" s="1" t="s">
        <v>31</v>
      </c>
      <c r="H121" s="3" t="s">
        <v>32</v>
      </c>
      <c r="I121" s="1">
        <v>-6.1841108</v>
      </c>
      <c r="J121" s="3">
        <v>106.8094304</v>
      </c>
      <c r="K121" s="6" t="s">
        <v>800</v>
      </c>
      <c r="L121" s="7" t="str">
        <f t="shared" si="1"/>
        <v/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2" t="s">
        <v>34</v>
      </c>
    </row>
    <row r="122">
      <c r="A122" s="3" t="s">
        <v>48</v>
      </c>
      <c r="B122" s="4" t="s">
        <v>801</v>
      </c>
      <c r="C122" s="1" t="s">
        <v>802</v>
      </c>
      <c r="D122" s="3" t="s">
        <v>803</v>
      </c>
      <c r="E122" s="1" t="s">
        <v>30</v>
      </c>
      <c r="F122" s="5">
        <v>11610.0</v>
      </c>
      <c r="G122" s="1" t="s">
        <v>31</v>
      </c>
      <c r="H122" s="3" t="s">
        <v>32</v>
      </c>
      <c r="I122" s="1">
        <v>-6.1820708</v>
      </c>
      <c r="J122" s="3">
        <v>106.7423255</v>
      </c>
      <c r="K122" s="6" t="s">
        <v>804</v>
      </c>
      <c r="L122" s="7">
        <f t="shared" si="1"/>
        <v>34107142.86</v>
      </c>
      <c r="M122" s="7">
        <f>19500000000/600</f>
        <v>32500000</v>
      </c>
      <c r="N122" s="7">
        <f>5800000000/180</f>
        <v>32222222.22</v>
      </c>
      <c r="O122" s="7">
        <f>5000000000/140</f>
        <v>35714285.71</v>
      </c>
      <c r="P122" s="7">
        <f>10800000000/240</f>
        <v>45000000</v>
      </c>
      <c r="Q122" s="7"/>
      <c r="R122" s="7"/>
      <c r="S122" s="7"/>
      <c r="T122" s="7"/>
      <c r="U122" s="7"/>
      <c r="V122" s="7"/>
      <c r="W122" s="7"/>
      <c r="X122" s="7"/>
      <c r="Y122" s="7"/>
      <c r="Z122" s="8" t="s">
        <v>805</v>
      </c>
    </row>
    <row r="123">
      <c r="A123" s="3" t="s">
        <v>48</v>
      </c>
      <c r="B123" s="4" t="s">
        <v>806</v>
      </c>
      <c r="C123" s="1" t="s">
        <v>807</v>
      </c>
      <c r="D123" s="3" t="s">
        <v>808</v>
      </c>
      <c r="E123" s="1" t="s">
        <v>30</v>
      </c>
      <c r="F123" s="5">
        <v>11610.0</v>
      </c>
      <c r="G123" s="1" t="s">
        <v>31</v>
      </c>
      <c r="H123" s="9">
        <v>2.16E8</v>
      </c>
      <c r="I123" s="1">
        <v>-6.1835961</v>
      </c>
      <c r="J123" s="3">
        <v>106.755811</v>
      </c>
      <c r="K123" s="6" t="s">
        <v>809</v>
      </c>
      <c r="L123" s="7">
        <f t="shared" si="1"/>
        <v>23399855.91</v>
      </c>
      <c r="M123" s="7">
        <f>17100000000/592</f>
        <v>28885135.14</v>
      </c>
      <c r="N123" s="7">
        <f>12700000000/694</f>
        <v>18299711.82</v>
      </c>
      <c r="O123" s="7">
        <f>12000000000/360</f>
        <v>33333333.33</v>
      </c>
      <c r="P123" s="7">
        <f t="shared" ref="P123:Q123" si="47">12500000000/694</f>
        <v>18011527.38</v>
      </c>
      <c r="Q123" s="7">
        <f t="shared" si="47"/>
        <v>18011527.38</v>
      </c>
      <c r="R123" s="7">
        <f>12700000000/694</f>
        <v>18299711.82</v>
      </c>
      <c r="S123" s="7">
        <f>12500000000/694</f>
        <v>18011527.38</v>
      </c>
      <c r="T123" s="7">
        <f>17200000000/595</f>
        <v>28907563.03</v>
      </c>
      <c r="U123" s="7">
        <f>17100000000/600</f>
        <v>28500000</v>
      </c>
      <c r="V123" s="7">
        <f>47000000000/1280</f>
        <v>36718750</v>
      </c>
      <c r="W123" s="7"/>
      <c r="X123" s="7"/>
      <c r="Y123" s="7"/>
      <c r="Z123" s="8" t="s">
        <v>810</v>
      </c>
    </row>
    <row r="124">
      <c r="A124" s="3" t="s">
        <v>48</v>
      </c>
      <c r="B124" s="4" t="s">
        <v>811</v>
      </c>
      <c r="C124" s="1" t="s">
        <v>812</v>
      </c>
      <c r="D124" s="3" t="s">
        <v>813</v>
      </c>
      <c r="E124" s="1" t="s">
        <v>30</v>
      </c>
      <c r="F124" s="5">
        <v>11610.0</v>
      </c>
      <c r="G124" s="1" t="s">
        <v>31</v>
      </c>
      <c r="H124" s="3" t="s">
        <v>32</v>
      </c>
      <c r="I124" s="1">
        <v>-6.1806998</v>
      </c>
      <c r="J124" s="3">
        <v>106.7260998</v>
      </c>
      <c r="K124" s="6" t="s">
        <v>814</v>
      </c>
      <c r="L124" s="7">
        <f t="shared" si="1"/>
        <v>34166666.67</v>
      </c>
      <c r="M124" s="7">
        <f>3750000000/120</f>
        <v>31250000</v>
      </c>
      <c r="N124" s="7">
        <f>4750000000/120</f>
        <v>39583333.33</v>
      </c>
      <c r="O124" s="7">
        <f>4100000000/120</f>
        <v>34166666.67</v>
      </c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8" t="s">
        <v>815</v>
      </c>
    </row>
    <row r="125">
      <c r="A125" s="3" t="s">
        <v>48</v>
      </c>
      <c r="B125" s="4" t="s">
        <v>816</v>
      </c>
      <c r="C125" s="1" t="s">
        <v>817</v>
      </c>
      <c r="D125" s="3" t="s">
        <v>818</v>
      </c>
      <c r="E125" s="1" t="s">
        <v>30</v>
      </c>
      <c r="F125" s="5">
        <v>11610.0</v>
      </c>
      <c r="G125" s="1" t="s">
        <v>31</v>
      </c>
      <c r="H125" s="3" t="s">
        <v>32</v>
      </c>
      <c r="I125" s="1">
        <v>-6.1591298</v>
      </c>
      <c r="J125" s="3">
        <v>106.7549904</v>
      </c>
      <c r="K125" s="6" t="s">
        <v>819</v>
      </c>
      <c r="L125" s="7">
        <f t="shared" si="1"/>
        <v>15666666.67</v>
      </c>
      <c r="M125" s="7">
        <f>1750000000/144</f>
        <v>12152777.78</v>
      </c>
      <c r="N125" s="7">
        <f>1300000000/96</f>
        <v>13541666.67</v>
      </c>
      <c r="O125" s="7">
        <f>2000000000/144</f>
        <v>13888888.89</v>
      </c>
      <c r="P125" s="7">
        <f>3000000000/96</f>
        <v>31250000</v>
      </c>
      <c r="Q125" s="7">
        <f>2800000000/200</f>
        <v>14000000</v>
      </c>
      <c r="R125" s="7">
        <f>1950000000/112</f>
        <v>17410714.29</v>
      </c>
      <c r="S125" s="7">
        <f>19000000000/800</f>
        <v>23750000</v>
      </c>
      <c r="T125" s="7">
        <f>1110000000/60</f>
        <v>18500000</v>
      </c>
      <c r="U125" s="7">
        <f>1880000000/120</f>
        <v>15666666.67</v>
      </c>
      <c r="V125" s="7">
        <f>2330000000/90</f>
        <v>25888888.89</v>
      </c>
      <c r="W125" s="7">
        <f>2550000000/162</f>
        <v>15740740.74</v>
      </c>
      <c r="X125" s="7">
        <f>3260000000/215</f>
        <v>15162790.7</v>
      </c>
      <c r="Y125" s="7">
        <f>1660000000/120</f>
        <v>13833333.33</v>
      </c>
      <c r="Z125" s="8" t="s">
        <v>820</v>
      </c>
    </row>
    <row r="126">
      <c r="A126" s="3" t="s">
        <v>48</v>
      </c>
      <c r="B126" s="4" t="s">
        <v>821</v>
      </c>
      <c r="C126" s="1" t="s">
        <v>822</v>
      </c>
      <c r="D126" s="3" t="s">
        <v>823</v>
      </c>
      <c r="E126" s="1" t="s">
        <v>30</v>
      </c>
      <c r="F126" s="5">
        <v>11620.0</v>
      </c>
      <c r="G126" s="1" t="s">
        <v>31</v>
      </c>
      <c r="H126" s="3" t="s">
        <v>32</v>
      </c>
      <c r="I126" s="1">
        <v>-6.1969783</v>
      </c>
      <c r="J126" s="3">
        <v>106.7367161</v>
      </c>
      <c r="K126" s="6" t="s">
        <v>824</v>
      </c>
      <c r="L126" s="7" t="str">
        <f t="shared" si="1"/>
        <v/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2" t="s">
        <v>34</v>
      </c>
    </row>
    <row r="127">
      <c r="A127" s="3" t="s">
        <v>48</v>
      </c>
      <c r="B127" s="4" t="s">
        <v>825</v>
      </c>
      <c r="C127" s="1" t="s">
        <v>826</v>
      </c>
      <c r="D127" s="3" t="s">
        <v>827</v>
      </c>
      <c r="E127" s="1" t="s">
        <v>30</v>
      </c>
      <c r="F127" s="5">
        <v>11630.0</v>
      </c>
      <c r="G127" s="1" t="s">
        <v>31</v>
      </c>
      <c r="H127" s="3" t="s">
        <v>32</v>
      </c>
      <c r="I127" s="1">
        <v>-6.2068253</v>
      </c>
      <c r="J127" s="3">
        <v>106.7553725</v>
      </c>
      <c r="K127" s="6" t="s">
        <v>828</v>
      </c>
      <c r="L127" s="7" t="str">
        <f t="shared" si="1"/>
        <v/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2" t="s">
        <v>34</v>
      </c>
    </row>
    <row r="128">
      <c r="A128" s="3" t="s">
        <v>48</v>
      </c>
      <c r="B128" s="4" t="s">
        <v>829</v>
      </c>
      <c r="C128" s="1" t="s">
        <v>830</v>
      </c>
      <c r="D128" s="3" t="s">
        <v>831</v>
      </c>
      <c r="E128" s="1" t="s">
        <v>30</v>
      </c>
      <c r="F128" s="5">
        <v>11650.0</v>
      </c>
      <c r="G128" s="1" t="s">
        <v>31</v>
      </c>
      <c r="H128" s="3" t="s">
        <v>32</v>
      </c>
      <c r="I128" s="1">
        <v>-6.2149068</v>
      </c>
      <c r="J128" s="3">
        <v>106.7284166</v>
      </c>
      <c r="K128" s="6" t="s">
        <v>832</v>
      </c>
      <c r="L128" s="7" t="str">
        <f t="shared" si="1"/>
        <v/>
      </c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2" t="s">
        <v>34</v>
      </c>
    </row>
    <row r="129">
      <c r="A129" s="3" t="s">
        <v>833</v>
      </c>
      <c r="B129" s="4" t="s">
        <v>834</v>
      </c>
      <c r="C129" s="1" t="s">
        <v>835</v>
      </c>
      <c r="D129" s="3" t="s">
        <v>836</v>
      </c>
      <c r="E129" s="1" t="s">
        <v>30</v>
      </c>
      <c r="F129" s="5">
        <v>11710.0</v>
      </c>
      <c r="G129" s="1" t="s">
        <v>31</v>
      </c>
      <c r="H129" s="3" t="s">
        <v>32</v>
      </c>
      <c r="I129" s="1">
        <v>-6.1469192</v>
      </c>
      <c r="J129" s="3">
        <v>106.75122</v>
      </c>
      <c r="K129" s="6" t="s">
        <v>837</v>
      </c>
      <c r="L129" s="7">
        <f t="shared" si="1"/>
        <v>4677966.102</v>
      </c>
      <c r="M129" s="7">
        <f>1380000000/295</f>
        <v>4677966.102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8" t="s">
        <v>838</v>
      </c>
    </row>
    <row r="130">
      <c r="A130" s="3" t="s">
        <v>839</v>
      </c>
      <c r="B130" s="4" t="s">
        <v>840</v>
      </c>
      <c r="C130" s="1" t="s">
        <v>841</v>
      </c>
      <c r="D130" s="3" t="s">
        <v>842</v>
      </c>
      <c r="E130" s="1" t="s">
        <v>30</v>
      </c>
      <c r="F130" s="5">
        <v>11810.0</v>
      </c>
      <c r="G130" s="1" t="s">
        <v>31</v>
      </c>
      <c r="H130" s="3" t="s">
        <v>32</v>
      </c>
      <c r="I130" s="1">
        <v>-6.1048473</v>
      </c>
      <c r="J130" s="3">
        <v>106.6906176</v>
      </c>
      <c r="K130" s="6" t="s">
        <v>843</v>
      </c>
      <c r="L130" s="7">
        <f t="shared" si="1"/>
        <v>13989898.99</v>
      </c>
      <c r="M130" s="7">
        <f>600000000/66</f>
        <v>9090909.091</v>
      </c>
      <c r="N130" s="7">
        <f>1700000000/90</f>
        <v>18888888.89</v>
      </c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8" t="s">
        <v>844</v>
      </c>
    </row>
    <row r="131">
      <c r="A131" s="3" t="s">
        <v>845</v>
      </c>
      <c r="B131" s="4" t="s">
        <v>846</v>
      </c>
      <c r="C131" s="1" t="s">
        <v>847</v>
      </c>
      <c r="D131" s="3" t="s">
        <v>848</v>
      </c>
      <c r="E131" s="1" t="s">
        <v>30</v>
      </c>
      <c r="F131" s="5">
        <v>11460.0</v>
      </c>
      <c r="G131" s="1" t="s">
        <v>31</v>
      </c>
      <c r="H131" s="3" t="s">
        <v>32</v>
      </c>
      <c r="I131" s="1">
        <v>-6.1500452</v>
      </c>
      <c r="J131" s="3">
        <v>106.7729583</v>
      </c>
      <c r="K131" s="6" t="s">
        <v>849</v>
      </c>
      <c r="L131" s="7">
        <f t="shared" si="1"/>
        <v>31585330.49</v>
      </c>
      <c r="M131" s="7">
        <f>5500000000/141</f>
        <v>39007092.2</v>
      </c>
      <c r="N131" s="7">
        <f>6500000000/269</f>
        <v>24163568.77</v>
      </c>
      <c r="O131" s="7">
        <f>5800000000/114</f>
        <v>50877192.98</v>
      </c>
      <c r="P131" s="7">
        <f>6500000000/269</f>
        <v>24163568.77</v>
      </c>
      <c r="Q131" s="7"/>
      <c r="R131" s="7"/>
      <c r="S131" s="7"/>
      <c r="T131" s="7"/>
      <c r="U131" s="7"/>
      <c r="V131" s="7"/>
      <c r="W131" s="7"/>
      <c r="X131" s="7"/>
      <c r="Y131" s="7"/>
      <c r="Z131" s="8" t="s">
        <v>850</v>
      </c>
    </row>
    <row r="132">
      <c r="A132" s="3" t="s">
        <v>845</v>
      </c>
      <c r="B132" s="4" t="s">
        <v>851</v>
      </c>
      <c r="C132" s="1" t="s">
        <v>852</v>
      </c>
      <c r="D132" s="3" t="s">
        <v>853</v>
      </c>
      <c r="E132" s="1" t="s">
        <v>30</v>
      </c>
      <c r="F132" s="5">
        <v>11550.0</v>
      </c>
      <c r="G132" s="1" t="s">
        <v>31</v>
      </c>
      <c r="H132" s="9">
        <v>2.15E9</v>
      </c>
      <c r="I132" s="1">
        <v>-6.2032876</v>
      </c>
      <c r="J132" s="3">
        <v>106.7721678</v>
      </c>
      <c r="K132" s="6" t="s">
        <v>854</v>
      </c>
      <c r="L132" s="7">
        <f t="shared" si="1"/>
        <v>41047619.05</v>
      </c>
      <c r="M132" s="7">
        <f>4310000000/105</f>
        <v>41047619.05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8" t="s">
        <v>855</v>
      </c>
    </row>
    <row r="133">
      <c r="A133" s="3" t="s">
        <v>119</v>
      </c>
      <c r="B133" s="4" t="s">
        <v>856</v>
      </c>
      <c r="C133" s="1" t="s">
        <v>857</v>
      </c>
      <c r="D133" s="3" t="s">
        <v>858</v>
      </c>
      <c r="E133" s="1" t="s">
        <v>30</v>
      </c>
      <c r="F133" s="5">
        <v>11510.0</v>
      </c>
      <c r="G133" s="1" t="s">
        <v>31</v>
      </c>
      <c r="H133" s="3" t="s">
        <v>32</v>
      </c>
      <c r="I133" s="1">
        <v>-6.1676426</v>
      </c>
      <c r="J133" s="3">
        <v>106.7702772</v>
      </c>
      <c r="K133" s="6" t="s">
        <v>859</v>
      </c>
      <c r="L133" s="7">
        <f t="shared" si="1"/>
        <v>35000000</v>
      </c>
      <c r="M133" s="7">
        <f>1750000000/75</f>
        <v>23333333.33</v>
      </c>
      <c r="N133" s="7">
        <f>2700000000/65</f>
        <v>41538461.54</v>
      </c>
      <c r="O133" s="7">
        <f>3100000000/123</f>
        <v>25203252.03</v>
      </c>
      <c r="P133" s="7">
        <f>1750000000/50</f>
        <v>35000000</v>
      </c>
      <c r="Q133" s="7">
        <f>4200000000/126</f>
        <v>33333333.33</v>
      </c>
      <c r="R133" s="7">
        <f>1890000000/48</f>
        <v>39375000</v>
      </c>
      <c r="S133" s="7">
        <f>1900000000/200</f>
        <v>9500000</v>
      </c>
      <c r="T133" s="7">
        <f>1850000000/75</f>
        <v>24666666.67</v>
      </c>
      <c r="U133" s="7">
        <f>3100000000/100</f>
        <v>31000000</v>
      </c>
      <c r="V133" s="7">
        <f>1890000000/48</f>
        <v>39375000</v>
      </c>
      <c r="W133" s="7">
        <f>1490000000/31</f>
        <v>48064516.13</v>
      </c>
      <c r="X133" s="7">
        <f>1390000000/31</f>
        <v>44838709.68</v>
      </c>
      <c r="Y133" s="7">
        <f>2500000000/68</f>
        <v>36764705.88</v>
      </c>
      <c r="Z133" s="8" t="s">
        <v>860</v>
      </c>
    </row>
    <row r="134">
      <c r="A134" s="3" t="s">
        <v>119</v>
      </c>
      <c r="B134" s="4" t="s">
        <v>861</v>
      </c>
      <c r="C134" s="1" t="s">
        <v>862</v>
      </c>
      <c r="D134" s="3" t="s">
        <v>863</v>
      </c>
      <c r="E134" s="1" t="s">
        <v>30</v>
      </c>
      <c r="F134" s="5">
        <v>11520.0</v>
      </c>
      <c r="G134" s="1" t="s">
        <v>31</v>
      </c>
      <c r="H134" s="3" t="s">
        <v>32</v>
      </c>
      <c r="I134" s="1">
        <v>-6.1794696</v>
      </c>
      <c r="J134" s="3">
        <v>106.7567375</v>
      </c>
      <c r="K134" s="6" t="s">
        <v>864</v>
      </c>
      <c r="L134" s="7">
        <f t="shared" si="1"/>
        <v>13827586.21</v>
      </c>
      <c r="M134" s="7">
        <f t="shared" ref="M134:N134" si="48">6000000000/435</f>
        <v>13793103.45</v>
      </c>
      <c r="N134" s="7">
        <f t="shared" si="48"/>
        <v>13793103.45</v>
      </c>
      <c r="O134" s="7">
        <f>6030000000/435</f>
        <v>13862068.97</v>
      </c>
      <c r="P134" s="7">
        <f>6000000000/435</f>
        <v>13793103.45</v>
      </c>
      <c r="Q134" s="7">
        <f>4500000000/152</f>
        <v>29605263.16</v>
      </c>
      <c r="R134" s="7">
        <f>6000000000/435</f>
        <v>13793103.45</v>
      </c>
      <c r="S134" s="7">
        <f>4500000000/152</f>
        <v>29605263.16</v>
      </c>
      <c r="T134" s="7">
        <f>5450000000/435</f>
        <v>12528735.63</v>
      </c>
      <c r="U134" s="7">
        <f>4300000000/153</f>
        <v>28104575.16</v>
      </c>
      <c r="V134" s="7">
        <f>6600000000/435</f>
        <v>15172413.79</v>
      </c>
      <c r="W134" s="7"/>
      <c r="X134" s="7"/>
      <c r="Y134" s="7"/>
      <c r="Z134" s="8" t="s">
        <v>865</v>
      </c>
    </row>
    <row r="135">
      <c r="A135" s="3" t="s">
        <v>119</v>
      </c>
      <c r="B135" s="4" t="s">
        <v>866</v>
      </c>
      <c r="C135" s="1" t="s">
        <v>867</v>
      </c>
      <c r="D135" s="3" t="s">
        <v>868</v>
      </c>
      <c r="E135" s="1" t="s">
        <v>30</v>
      </c>
      <c r="F135" s="5">
        <v>11820.0</v>
      </c>
      <c r="G135" s="1" t="s">
        <v>31</v>
      </c>
      <c r="H135" s="3" t="s">
        <v>32</v>
      </c>
      <c r="I135" s="1">
        <v>-6.1159624</v>
      </c>
      <c r="J135" s="3">
        <v>106.7037721</v>
      </c>
      <c r="K135" s="6" t="s">
        <v>869</v>
      </c>
      <c r="L135" s="7" t="str">
        <f t="shared" si="1"/>
        <v/>
      </c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2" t="s">
        <v>34</v>
      </c>
    </row>
    <row r="136">
      <c r="A136" s="3" t="s">
        <v>119</v>
      </c>
      <c r="B136" s="4" t="s">
        <v>870</v>
      </c>
      <c r="C136" s="1" t="s">
        <v>871</v>
      </c>
      <c r="D136" s="3" t="s">
        <v>872</v>
      </c>
      <c r="E136" s="1" t="s">
        <v>30</v>
      </c>
      <c r="F136" s="5">
        <v>11460.0</v>
      </c>
      <c r="G136" s="1" t="s">
        <v>31</v>
      </c>
      <c r="H136" s="3" t="s">
        <v>32</v>
      </c>
      <c r="I136" s="1">
        <v>-6.1487639</v>
      </c>
      <c r="J136" s="3">
        <v>106.7796455</v>
      </c>
      <c r="K136" s="6" t="s">
        <v>873</v>
      </c>
      <c r="L136" s="7">
        <f t="shared" si="1"/>
        <v>25073170.73</v>
      </c>
      <c r="M136" s="7">
        <f>2500000000/140</f>
        <v>17857142.86</v>
      </c>
      <c r="N136" s="7">
        <f>3500000000/153</f>
        <v>22875816.99</v>
      </c>
      <c r="O136" s="7">
        <f>7800000000/300</f>
        <v>26000000</v>
      </c>
      <c r="P136" s="7">
        <f>9000000000/270</f>
        <v>33333333.33</v>
      </c>
      <c r="Q136" s="7">
        <f>25000000000/450</f>
        <v>55555555.56</v>
      </c>
      <c r="R136" s="7">
        <f>2700000000/140</f>
        <v>19285714.29</v>
      </c>
      <c r="S136" s="7">
        <f>7800000000/300</f>
        <v>26000000</v>
      </c>
      <c r="T136" s="7">
        <f>1980000000/82</f>
        <v>24146341.46</v>
      </c>
      <c r="U136" s="7">
        <f>8900000000/270</f>
        <v>32962962.96</v>
      </c>
      <c r="V136" s="7">
        <f>2850000000/85</f>
        <v>33529411.76</v>
      </c>
      <c r="W136" s="7">
        <f>3700000000/180</f>
        <v>20555555.56</v>
      </c>
      <c r="X136" s="7">
        <f>5000000000/216</f>
        <v>23148148.15</v>
      </c>
      <c r="Y136" s="7"/>
      <c r="Z136" s="8" t="s">
        <v>874</v>
      </c>
    </row>
    <row r="137">
      <c r="A137" s="3" t="s">
        <v>119</v>
      </c>
      <c r="B137" s="4" t="s">
        <v>875</v>
      </c>
      <c r="C137" s="1" t="s">
        <v>876</v>
      </c>
      <c r="D137" s="3" t="s">
        <v>877</v>
      </c>
      <c r="E137" s="1" t="s">
        <v>30</v>
      </c>
      <c r="F137" s="5">
        <v>11820.0</v>
      </c>
      <c r="G137" s="1" t="s">
        <v>31</v>
      </c>
      <c r="H137" s="3" t="s">
        <v>32</v>
      </c>
      <c r="I137" s="1">
        <v>-6.1251177</v>
      </c>
      <c r="J137" s="3">
        <v>106.7112099</v>
      </c>
      <c r="K137" s="6" t="s">
        <v>878</v>
      </c>
      <c r="L137" s="7">
        <f t="shared" si="1"/>
        <v>37601626.02</v>
      </c>
      <c r="M137" s="7">
        <f>9970000000/288</f>
        <v>34618055.56</v>
      </c>
      <c r="N137" s="7">
        <f>9350000000/240</f>
        <v>38958333.33</v>
      </c>
      <c r="O137" s="7">
        <f>3400000000/90</f>
        <v>37777777.78</v>
      </c>
      <c r="P137" s="7">
        <f>7000000000/190</f>
        <v>36842105.26</v>
      </c>
      <c r="Q137" s="7">
        <f>9970000000/288</f>
        <v>34618055.56</v>
      </c>
      <c r="R137" s="7">
        <f>6500000000/190</f>
        <v>34210526.32</v>
      </c>
      <c r="S137" s="7">
        <f>9970000000/300</f>
        <v>33233333.33</v>
      </c>
      <c r="T137" s="7">
        <f>7150000000/143</f>
        <v>50000000</v>
      </c>
      <c r="U137" s="7">
        <f>12000000000/300</f>
        <v>40000000</v>
      </c>
      <c r="V137" s="7">
        <f t="shared" ref="V137:W137" si="49">9250000000/246</f>
        <v>37601626.02</v>
      </c>
      <c r="W137" s="7">
        <f t="shared" si="49"/>
        <v>37601626.02</v>
      </c>
      <c r="X137" s="7">
        <f>6600000000/190</f>
        <v>34736842.11</v>
      </c>
      <c r="Y137" s="7">
        <f>7200000000/190</f>
        <v>37894736.84</v>
      </c>
      <c r="Z137" s="8" t="s">
        <v>879</v>
      </c>
    </row>
    <row r="138">
      <c r="A138" s="3" t="s">
        <v>239</v>
      </c>
      <c r="B138" s="4" t="s">
        <v>880</v>
      </c>
      <c r="C138" s="1" t="s">
        <v>881</v>
      </c>
      <c r="D138" s="3" t="s">
        <v>882</v>
      </c>
      <c r="E138" s="1" t="s">
        <v>30</v>
      </c>
      <c r="F138" s="5">
        <v>11460.0</v>
      </c>
      <c r="G138" s="1" t="s">
        <v>31</v>
      </c>
      <c r="H138" s="3" t="s">
        <v>32</v>
      </c>
      <c r="I138" s="1">
        <v>-6.1464774</v>
      </c>
      <c r="J138" s="3">
        <v>106.785938</v>
      </c>
      <c r="K138" s="6" t="s">
        <v>883</v>
      </c>
      <c r="L138" s="7">
        <f t="shared" si="1"/>
        <v>26162790.7</v>
      </c>
      <c r="M138" s="7">
        <f>4500000000/174</f>
        <v>25862068.97</v>
      </c>
      <c r="N138" s="7">
        <f>8200000000/360</f>
        <v>22777777.78</v>
      </c>
      <c r="O138" s="7">
        <f>12300000000/360</f>
        <v>34166666.67</v>
      </c>
      <c r="P138" s="7">
        <f t="shared" ref="P138:R138" si="50">4500000000/174</f>
        <v>25862068.97</v>
      </c>
      <c r="Q138" s="7">
        <f t="shared" si="50"/>
        <v>25862068.97</v>
      </c>
      <c r="R138" s="7">
        <f t="shared" si="50"/>
        <v>25862068.97</v>
      </c>
      <c r="S138" s="7">
        <f>6500000000/246</f>
        <v>26422764.23</v>
      </c>
      <c r="T138" s="7">
        <f>4500000000/172</f>
        <v>26162790.7</v>
      </c>
      <c r="U138" s="7">
        <f>4600000000/80</f>
        <v>57500000</v>
      </c>
      <c r="V138" s="7">
        <f>13500000000/360</f>
        <v>37500000</v>
      </c>
      <c r="W138" s="7">
        <f>12000000000/360</f>
        <v>33333333.33</v>
      </c>
      <c r="X138" s="7">
        <f>4500000000/172</f>
        <v>26162790.7</v>
      </c>
      <c r="Y138" s="7">
        <f>13500000000/360</f>
        <v>37500000</v>
      </c>
      <c r="Z138" s="8" t="s">
        <v>884</v>
      </c>
    </row>
    <row r="139">
      <c r="A139" s="3" t="s">
        <v>239</v>
      </c>
      <c r="B139" s="4" t="s">
        <v>885</v>
      </c>
      <c r="C139" s="1" t="s">
        <v>886</v>
      </c>
      <c r="D139" s="3" t="s">
        <v>887</v>
      </c>
      <c r="E139" s="1" t="s">
        <v>30</v>
      </c>
      <c r="F139" s="5">
        <v>11430.0</v>
      </c>
      <c r="G139" s="1" t="s">
        <v>31</v>
      </c>
      <c r="H139" s="3" t="s">
        <v>32</v>
      </c>
      <c r="I139" s="1">
        <v>-6.1752772</v>
      </c>
      <c r="J139" s="3">
        <v>106.8051275</v>
      </c>
      <c r="K139" s="6" t="s">
        <v>888</v>
      </c>
      <c r="L139" s="7">
        <f t="shared" si="1"/>
        <v>41666666.67</v>
      </c>
      <c r="M139" s="7">
        <f>4500000000/108</f>
        <v>41666666.67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8" t="s">
        <v>889</v>
      </c>
    </row>
    <row r="140">
      <c r="A140" s="3" t="s">
        <v>239</v>
      </c>
      <c r="B140" s="4" t="s">
        <v>890</v>
      </c>
      <c r="C140" s="1" t="s">
        <v>891</v>
      </c>
      <c r="D140" s="3" t="s">
        <v>892</v>
      </c>
      <c r="E140" s="1" t="s">
        <v>30</v>
      </c>
      <c r="F140" s="5">
        <v>11620.0</v>
      </c>
      <c r="G140" s="1" t="s">
        <v>31</v>
      </c>
      <c r="H140" s="3" t="s">
        <v>32</v>
      </c>
      <c r="I140" s="1">
        <v>-6.1951047</v>
      </c>
      <c r="J140" s="3">
        <v>106.730549</v>
      </c>
      <c r="K140" s="6" t="s">
        <v>893</v>
      </c>
      <c r="L140" s="7" t="str">
        <f t="shared" si="1"/>
        <v/>
      </c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2" t="s">
        <v>34</v>
      </c>
    </row>
    <row r="141">
      <c r="A141" s="3" t="s">
        <v>239</v>
      </c>
      <c r="B141" s="4" t="s">
        <v>894</v>
      </c>
      <c r="C141" s="1" t="s">
        <v>895</v>
      </c>
      <c r="D141" s="3" t="s">
        <v>896</v>
      </c>
      <c r="E141" s="1" t="s">
        <v>30</v>
      </c>
      <c r="F141" s="5">
        <v>11720.0</v>
      </c>
      <c r="G141" s="1" t="s">
        <v>31</v>
      </c>
      <c r="H141" s="9">
        <v>8.13E10</v>
      </c>
      <c r="I141" s="1">
        <v>-6.144831</v>
      </c>
      <c r="J141" s="3">
        <v>106.7482056</v>
      </c>
      <c r="K141" s="6" t="s">
        <v>897</v>
      </c>
      <c r="L141" s="7" t="str">
        <f t="shared" si="1"/>
        <v/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2" t="s">
        <v>34</v>
      </c>
    </row>
    <row r="142">
      <c r="A142" s="3" t="s">
        <v>239</v>
      </c>
      <c r="B142" s="4" t="s">
        <v>898</v>
      </c>
      <c r="C142" s="1" t="s">
        <v>899</v>
      </c>
      <c r="D142" s="3" t="s">
        <v>900</v>
      </c>
      <c r="E142" s="1" t="s">
        <v>30</v>
      </c>
      <c r="F142" s="5">
        <v>11730.0</v>
      </c>
      <c r="G142" s="1" t="s">
        <v>31</v>
      </c>
      <c r="H142" s="3" t="s">
        <v>32</v>
      </c>
      <c r="I142" s="1">
        <v>-6.13639</v>
      </c>
      <c r="J142" s="3">
        <v>106.7356034</v>
      </c>
      <c r="K142" s="6" t="s">
        <v>901</v>
      </c>
      <c r="L142" s="7">
        <f t="shared" si="1"/>
        <v>26111111.11</v>
      </c>
      <c r="M142" s="7">
        <f>2500000000/108</f>
        <v>23148148.15</v>
      </c>
      <c r="N142" s="7">
        <f>2700000000/108</f>
        <v>25000000</v>
      </c>
      <c r="O142" s="7">
        <f>2400000000/90</f>
        <v>26666666.67</v>
      </c>
      <c r="P142" s="7">
        <f>2300000000/90</f>
        <v>25555555.56</v>
      </c>
      <c r="Q142" s="7">
        <f>2200000000/90</f>
        <v>24444444.44</v>
      </c>
      <c r="R142" s="7">
        <f>2900000000/108</f>
        <v>26851851.85</v>
      </c>
      <c r="S142" s="7">
        <f t="shared" ref="S142:T142" si="51">3500000000/120</f>
        <v>29166666.67</v>
      </c>
      <c r="T142" s="7">
        <f t="shared" si="51"/>
        <v>29166666.67</v>
      </c>
      <c r="U142" s="7"/>
      <c r="V142" s="7"/>
      <c r="W142" s="7"/>
      <c r="X142" s="7"/>
      <c r="Y142" s="7"/>
      <c r="Z142" s="8" t="s">
        <v>902</v>
      </c>
    </row>
    <row r="143">
      <c r="A143" s="3" t="s">
        <v>239</v>
      </c>
      <c r="B143" s="4" t="s">
        <v>903</v>
      </c>
      <c r="C143" s="1" t="s">
        <v>904</v>
      </c>
      <c r="D143" s="3" t="s">
        <v>905</v>
      </c>
      <c r="E143" s="1" t="s">
        <v>30</v>
      </c>
      <c r="F143" s="5">
        <v>11460.0</v>
      </c>
      <c r="G143" s="1" t="s">
        <v>31</v>
      </c>
      <c r="H143" s="9">
        <v>2.16E8</v>
      </c>
      <c r="I143" s="1">
        <v>-6.1647309</v>
      </c>
      <c r="J143" s="3">
        <v>106.7793608</v>
      </c>
      <c r="K143" s="6" t="s">
        <v>906</v>
      </c>
      <c r="L143" s="7">
        <f t="shared" si="1"/>
        <v>16666666.67</v>
      </c>
      <c r="M143" s="7">
        <f t="shared" ref="M143:N143" si="52">3000000000/180</f>
        <v>16666666.67</v>
      </c>
      <c r="N143" s="7">
        <f t="shared" si="52"/>
        <v>16666666.67</v>
      </c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8" t="s">
        <v>907</v>
      </c>
    </row>
    <row r="144">
      <c r="A144" s="3" t="s">
        <v>239</v>
      </c>
      <c r="B144" s="4" t="s">
        <v>908</v>
      </c>
      <c r="C144" s="1" t="s">
        <v>909</v>
      </c>
      <c r="D144" s="3" t="s">
        <v>910</v>
      </c>
      <c r="E144" s="1" t="s">
        <v>30</v>
      </c>
      <c r="F144" s="5">
        <v>11830.0</v>
      </c>
      <c r="G144" s="1" t="s">
        <v>31</v>
      </c>
      <c r="H144" s="3" t="s">
        <v>32</v>
      </c>
      <c r="I144" s="1">
        <v>-6.1374118</v>
      </c>
      <c r="J144" s="3">
        <v>106.6960832</v>
      </c>
      <c r="K144" s="6" t="s">
        <v>911</v>
      </c>
      <c r="L144" s="7">
        <f t="shared" si="1"/>
        <v>20952380.95</v>
      </c>
      <c r="M144" s="7">
        <f>2200000000/105</f>
        <v>20952380.95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8" t="s">
        <v>912</v>
      </c>
    </row>
    <row r="145">
      <c r="A145" s="3" t="s">
        <v>239</v>
      </c>
      <c r="B145" s="4" t="s">
        <v>913</v>
      </c>
      <c r="C145" s="1" t="s">
        <v>914</v>
      </c>
      <c r="D145" s="3" t="s">
        <v>915</v>
      </c>
      <c r="E145" s="1" t="s">
        <v>30</v>
      </c>
      <c r="F145" s="5">
        <v>11640.0</v>
      </c>
      <c r="G145" s="1" t="s">
        <v>31</v>
      </c>
      <c r="H145" s="3" t="s">
        <v>32</v>
      </c>
      <c r="I145" s="1">
        <v>-6.2156086</v>
      </c>
      <c r="J145" s="3">
        <v>106.7275564</v>
      </c>
      <c r="K145" s="6" t="s">
        <v>916</v>
      </c>
      <c r="L145" s="7" t="str">
        <f t="shared" si="1"/>
        <v/>
      </c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2" t="s">
        <v>34</v>
      </c>
    </row>
    <row r="146">
      <c r="A146" s="3" t="s">
        <v>35</v>
      </c>
      <c r="B146" s="4" t="s">
        <v>917</v>
      </c>
      <c r="C146" s="1" t="s">
        <v>918</v>
      </c>
      <c r="D146" s="3" t="s">
        <v>919</v>
      </c>
      <c r="E146" s="1" t="s">
        <v>30</v>
      </c>
      <c r="F146" s="5">
        <v>11550.0</v>
      </c>
      <c r="G146" s="1" t="s">
        <v>31</v>
      </c>
      <c r="H146" s="3" t="s">
        <v>32</v>
      </c>
      <c r="I146" s="1">
        <v>-6.2147028</v>
      </c>
      <c r="J146" s="3">
        <v>106.765539</v>
      </c>
      <c r="K146" s="6" t="s">
        <v>920</v>
      </c>
      <c r="L146" s="7">
        <f t="shared" si="1"/>
        <v>19629629.63</v>
      </c>
      <c r="M146" s="7">
        <f>5300000000/270</f>
        <v>19629629.63</v>
      </c>
      <c r="N146" s="7">
        <f>3800000000/270</f>
        <v>14074074.07</v>
      </c>
      <c r="O146" s="7">
        <f>5300000000/270</f>
        <v>19629629.63</v>
      </c>
      <c r="P146" s="7">
        <f>4500000000/270</f>
        <v>16666666.67</v>
      </c>
      <c r="Q146" s="7">
        <f>3000000000/174</f>
        <v>17241379.31</v>
      </c>
      <c r="R146" s="7">
        <f>2500000000/145</f>
        <v>17241379.31</v>
      </c>
      <c r="S146" s="7">
        <f>3650000000/176</f>
        <v>20738636.36</v>
      </c>
      <c r="T146" s="7">
        <f>7000000000/251</f>
        <v>27888446.22</v>
      </c>
      <c r="U146" s="7">
        <f>6000000000/270</f>
        <v>22222222.22</v>
      </c>
      <c r="V146" s="7">
        <f>2900000000/108</f>
        <v>26851851.85</v>
      </c>
      <c r="W146" s="7">
        <f t="shared" ref="W146:X146" si="53">4500000000/270</f>
        <v>16666666.67</v>
      </c>
      <c r="X146" s="7">
        <f t="shared" si="53"/>
        <v>16666666.67</v>
      </c>
      <c r="Y146" s="7">
        <f>2900000000/108</f>
        <v>26851851.85</v>
      </c>
      <c r="Z146" s="8" t="s">
        <v>921</v>
      </c>
    </row>
    <row r="147">
      <c r="A147" s="3" t="s">
        <v>125</v>
      </c>
      <c r="B147" s="4" t="s">
        <v>922</v>
      </c>
      <c r="C147" s="1" t="s">
        <v>923</v>
      </c>
      <c r="D147" s="3" t="s">
        <v>924</v>
      </c>
      <c r="E147" s="1" t="s">
        <v>30</v>
      </c>
      <c r="F147" s="5">
        <v>11720.0</v>
      </c>
      <c r="G147" s="1" t="s">
        <v>31</v>
      </c>
      <c r="H147" s="3" t="s">
        <v>32</v>
      </c>
      <c r="I147" s="1">
        <v>-6.1482519</v>
      </c>
      <c r="J147" s="3">
        <v>106.7675971</v>
      </c>
      <c r="K147" s="6" t="s">
        <v>925</v>
      </c>
      <c r="L147" s="7">
        <f t="shared" si="1"/>
        <v>13757440.48</v>
      </c>
      <c r="M147" s="7">
        <f t="shared" ref="M147:O147" si="54">1750000000/96</f>
        <v>18229166.67</v>
      </c>
      <c r="N147" s="7">
        <f t="shared" si="54"/>
        <v>18229166.67</v>
      </c>
      <c r="O147" s="7">
        <f t="shared" si="54"/>
        <v>18229166.67</v>
      </c>
      <c r="P147" s="7">
        <f t="shared" ref="P147:R147" si="55">1300000000/140</f>
        <v>9285714.286</v>
      </c>
      <c r="Q147" s="7">
        <f t="shared" si="55"/>
        <v>9285714.286</v>
      </c>
      <c r="R147" s="7">
        <f t="shared" si="55"/>
        <v>9285714.286</v>
      </c>
      <c r="S147" s="7"/>
      <c r="T147" s="7"/>
      <c r="U147" s="7"/>
      <c r="V147" s="7"/>
      <c r="W147" s="7"/>
      <c r="X147" s="7"/>
      <c r="Y147" s="7"/>
      <c r="Z147" s="8" t="s">
        <v>926</v>
      </c>
    </row>
    <row r="148">
      <c r="A148" s="3" t="s">
        <v>125</v>
      </c>
      <c r="B148" s="4" t="s">
        <v>927</v>
      </c>
      <c r="C148" s="1" t="s">
        <v>928</v>
      </c>
      <c r="D148" s="3" t="s">
        <v>929</v>
      </c>
      <c r="E148" s="1" t="s">
        <v>30</v>
      </c>
      <c r="F148" s="5">
        <v>11460.0</v>
      </c>
      <c r="G148" s="1" t="s">
        <v>31</v>
      </c>
      <c r="H148" s="3" t="s">
        <v>32</v>
      </c>
      <c r="I148" s="1">
        <v>-6.1625607</v>
      </c>
      <c r="J148" s="3">
        <v>106.7767217</v>
      </c>
      <c r="K148" s="6" t="s">
        <v>930</v>
      </c>
      <c r="L148" s="7" t="str">
        <f t="shared" si="1"/>
        <v/>
      </c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2" t="s">
        <v>34</v>
      </c>
    </row>
    <row r="149">
      <c r="A149" s="3" t="s">
        <v>125</v>
      </c>
      <c r="B149" s="4" t="s">
        <v>931</v>
      </c>
      <c r="C149" s="1" t="s">
        <v>932</v>
      </c>
      <c r="D149" s="3" t="s">
        <v>933</v>
      </c>
      <c r="E149" s="1" t="s">
        <v>30</v>
      </c>
      <c r="F149" s="5">
        <v>11160.0</v>
      </c>
      <c r="G149" s="1" t="s">
        <v>31</v>
      </c>
      <c r="H149" s="3" t="s">
        <v>32</v>
      </c>
      <c r="I149" s="1">
        <v>-6.1596165</v>
      </c>
      <c r="J149" s="3">
        <v>106.8255176</v>
      </c>
      <c r="K149" s="6" t="s">
        <v>934</v>
      </c>
      <c r="L149" s="7">
        <f t="shared" si="1"/>
        <v>30454545.45</v>
      </c>
      <c r="M149" s="7">
        <f>670000000/22</f>
        <v>30454545.45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8" t="s">
        <v>935</v>
      </c>
    </row>
    <row r="150">
      <c r="A150" s="3" t="s">
        <v>125</v>
      </c>
      <c r="B150" s="4" t="s">
        <v>936</v>
      </c>
      <c r="C150" s="1" t="s">
        <v>937</v>
      </c>
      <c r="D150" s="3" t="s">
        <v>938</v>
      </c>
      <c r="E150" s="1" t="s">
        <v>30</v>
      </c>
      <c r="F150" s="5">
        <v>11270.0</v>
      </c>
      <c r="G150" s="1" t="s">
        <v>31</v>
      </c>
      <c r="H150" s="3" t="s">
        <v>32</v>
      </c>
      <c r="I150" s="1">
        <v>-6.1538749</v>
      </c>
      <c r="J150" s="3">
        <v>106.8073107</v>
      </c>
      <c r="K150" s="6" t="s">
        <v>939</v>
      </c>
      <c r="L150" s="7" t="str">
        <f t="shared" si="1"/>
        <v/>
      </c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2" t="s">
        <v>34</v>
      </c>
    </row>
    <row r="151">
      <c r="A151" s="3" t="s">
        <v>125</v>
      </c>
      <c r="B151" s="4" t="s">
        <v>940</v>
      </c>
      <c r="C151" s="1" t="s">
        <v>941</v>
      </c>
      <c r="D151" s="3" t="s">
        <v>753</v>
      </c>
      <c r="E151" s="1" t="s">
        <v>30</v>
      </c>
      <c r="F151" s="5">
        <v>11530.0</v>
      </c>
      <c r="G151" s="1" t="s">
        <v>31</v>
      </c>
      <c r="H151" s="9">
        <v>8.78E10</v>
      </c>
      <c r="I151" s="1">
        <v>-6.1959449</v>
      </c>
      <c r="J151" s="3">
        <v>106.7661743</v>
      </c>
      <c r="K151" s="6" t="s">
        <v>942</v>
      </c>
      <c r="L151" s="7" t="str">
        <f t="shared" si="1"/>
        <v/>
      </c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2" t="s">
        <v>34</v>
      </c>
    </row>
    <row r="152">
      <c r="A152" s="3" t="s">
        <v>125</v>
      </c>
      <c r="B152" s="4" t="s">
        <v>943</v>
      </c>
      <c r="C152" s="1" t="s">
        <v>944</v>
      </c>
      <c r="D152" s="3" t="s">
        <v>945</v>
      </c>
      <c r="E152" s="1" t="s">
        <v>30</v>
      </c>
      <c r="F152" s="5">
        <v>11410.0</v>
      </c>
      <c r="G152" s="1" t="s">
        <v>31</v>
      </c>
      <c r="H152" s="3" t="s">
        <v>32</v>
      </c>
      <c r="I152" s="1">
        <v>-6.196399</v>
      </c>
      <c r="J152" s="3">
        <v>106.8026639</v>
      </c>
      <c r="K152" s="6" t="s">
        <v>946</v>
      </c>
      <c r="L152" s="7" t="str">
        <f t="shared" si="1"/>
        <v/>
      </c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2" t="s">
        <v>34</v>
      </c>
    </row>
    <row r="153">
      <c r="A153" s="3" t="s">
        <v>125</v>
      </c>
      <c r="B153" s="4" t="s">
        <v>947</v>
      </c>
      <c r="C153" s="1" t="s">
        <v>948</v>
      </c>
      <c r="D153" s="3" t="s">
        <v>949</v>
      </c>
      <c r="E153" s="1" t="s">
        <v>30</v>
      </c>
      <c r="F153" s="5">
        <v>11510.0</v>
      </c>
      <c r="G153" s="1" t="s">
        <v>31</v>
      </c>
      <c r="H153" s="3" t="s">
        <v>32</v>
      </c>
      <c r="I153" s="1">
        <v>-6.1709254</v>
      </c>
      <c r="J153" s="3">
        <v>106.772528</v>
      </c>
      <c r="K153" s="6" t="s">
        <v>950</v>
      </c>
      <c r="L153" s="7" t="str">
        <f t="shared" si="1"/>
        <v/>
      </c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2" t="s">
        <v>34</v>
      </c>
    </row>
    <row r="154">
      <c r="A154" s="3" t="s">
        <v>125</v>
      </c>
      <c r="B154" s="4" t="s">
        <v>951</v>
      </c>
      <c r="C154" s="1" t="s">
        <v>952</v>
      </c>
      <c r="D154" s="3" t="s">
        <v>953</v>
      </c>
      <c r="E154" s="1" t="s">
        <v>30</v>
      </c>
      <c r="F154" s="5">
        <v>11530.0</v>
      </c>
      <c r="G154" s="1" t="s">
        <v>31</v>
      </c>
      <c r="H154" s="3" t="s">
        <v>32</v>
      </c>
      <c r="I154" s="1">
        <v>-6.1939957</v>
      </c>
      <c r="J154" s="3">
        <v>106.770264</v>
      </c>
      <c r="K154" s="6" t="s">
        <v>954</v>
      </c>
      <c r="L154" s="7" t="str">
        <f t="shared" si="1"/>
        <v/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2" t="s">
        <v>34</v>
      </c>
    </row>
    <row r="155">
      <c r="A155" s="3" t="s">
        <v>35</v>
      </c>
      <c r="B155" s="4" t="s">
        <v>955</v>
      </c>
      <c r="C155" s="1" t="s">
        <v>956</v>
      </c>
      <c r="D155" s="3" t="s">
        <v>957</v>
      </c>
      <c r="E155" s="1" t="s">
        <v>30</v>
      </c>
      <c r="F155" s="5">
        <v>11740.0</v>
      </c>
      <c r="G155" s="1" t="s">
        <v>31</v>
      </c>
      <c r="H155" s="3" t="s">
        <v>32</v>
      </c>
      <c r="I155" s="1">
        <v>-6.1639249</v>
      </c>
      <c r="J155" s="3">
        <v>106.7438827</v>
      </c>
      <c r="K155" s="6" t="s">
        <v>958</v>
      </c>
      <c r="L155" s="7">
        <f t="shared" si="1"/>
        <v>25833333.33</v>
      </c>
      <c r="M155" s="7">
        <f>1550000000/60</f>
        <v>25833333.33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8" t="s">
        <v>959</v>
      </c>
    </row>
    <row r="156">
      <c r="A156" s="3" t="s">
        <v>35</v>
      </c>
      <c r="B156" s="4" t="s">
        <v>960</v>
      </c>
      <c r="C156" s="1" t="s">
        <v>961</v>
      </c>
      <c r="D156" s="3" t="s">
        <v>962</v>
      </c>
      <c r="E156" s="1" t="s">
        <v>30</v>
      </c>
      <c r="F156" s="5">
        <v>11750.0</v>
      </c>
      <c r="G156" s="1" t="s">
        <v>31</v>
      </c>
      <c r="H156" s="9">
        <v>8.57E10</v>
      </c>
      <c r="I156" s="1">
        <v>-6.1815969</v>
      </c>
      <c r="J156" s="3">
        <v>106.7150495</v>
      </c>
      <c r="K156" s="6" t="s">
        <v>963</v>
      </c>
      <c r="L156" s="7">
        <f t="shared" si="1"/>
        <v>18666666.67</v>
      </c>
      <c r="M156" s="7">
        <f>1300000000/70</f>
        <v>18571428.57</v>
      </c>
      <c r="N156" s="7">
        <f>1400000000/75</f>
        <v>18666666.67</v>
      </c>
      <c r="O156" s="7">
        <f>1500000000/78</f>
        <v>19230769.23</v>
      </c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8" t="s">
        <v>964</v>
      </c>
    </row>
    <row r="157">
      <c r="A157" s="3" t="s">
        <v>35</v>
      </c>
      <c r="B157" s="4" t="s">
        <v>965</v>
      </c>
      <c r="C157" s="1" t="s">
        <v>966</v>
      </c>
      <c r="D157" s="3" t="s">
        <v>967</v>
      </c>
      <c r="E157" s="1" t="s">
        <v>30</v>
      </c>
      <c r="F157" s="5">
        <v>11510.0</v>
      </c>
      <c r="G157" s="1" t="s">
        <v>31</v>
      </c>
      <c r="H157" s="3" t="s">
        <v>32</v>
      </c>
      <c r="I157" s="1">
        <v>-6.1728004</v>
      </c>
      <c r="J157" s="3">
        <v>106.7774187</v>
      </c>
      <c r="K157" s="6" t="s">
        <v>968</v>
      </c>
      <c r="L157" s="7">
        <f t="shared" si="1"/>
        <v>27222222.22</v>
      </c>
      <c r="M157" s="7">
        <f>3100000000/100</f>
        <v>31000000</v>
      </c>
      <c r="N157" s="7">
        <f>13500000000/795</f>
        <v>16981132.08</v>
      </c>
      <c r="O157" s="7">
        <f>3600000000/150</f>
        <v>24000000</v>
      </c>
      <c r="P157" s="7">
        <f>3900000000/220</f>
        <v>17727272.73</v>
      </c>
      <c r="Q157" s="7">
        <f>2450000000/90</f>
        <v>27222222.22</v>
      </c>
      <c r="R157" s="7">
        <f>2980000000/90</f>
        <v>33111111.11</v>
      </c>
      <c r="S157" s="7">
        <f>1600000000/90</f>
        <v>17777777.78</v>
      </c>
      <c r="T157" s="7">
        <f>2400000000/90</f>
        <v>26666666.67</v>
      </c>
      <c r="U157" s="7">
        <f>2500000000/90</f>
        <v>27777777.78</v>
      </c>
      <c r="V157" s="7">
        <f>5900000000/220</f>
        <v>26818181.82</v>
      </c>
      <c r="W157" s="7">
        <f>2800000000/90</f>
        <v>31111111.11</v>
      </c>
      <c r="X157" s="7">
        <f>2550000000/90</f>
        <v>28333333.33</v>
      </c>
      <c r="Y157" s="7">
        <f>3200000000/100</f>
        <v>32000000</v>
      </c>
      <c r="Z157" s="8" t="s">
        <v>479</v>
      </c>
    </row>
    <row r="158">
      <c r="A158" s="3" t="s">
        <v>35</v>
      </c>
      <c r="B158" s="4" t="s">
        <v>969</v>
      </c>
      <c r="C158" s="1" t="s">
        <v>970</v>
      </c>
      <c r="D158" s="3" t="s">
        <v>971</v>
      </c>
      <c r="E158" s="1" t="s">
        <v>30</v>
      </c>
      <c r="F158" s="5">
        <v>11720.0</v>
      </c>
      <c r="G158" s="1" t="s">
        <v>31</v>
      </c>
      <c r="H158" s="3" t="s">
        <v>32</v>
      </c>
      <c r="I158" s="1">
        <v>-6.1459092</v>
      </c>
      <c r="J158" s="3">
        <v>106.7413057</v>
      </c>
      <c r="K158" s="6" t="s">
        <v>972</v>
      </c>
      <c r="L158" s="7">
        <f t="shared" si="1"/>
        <v>15000000</v>
      </c>
      <c r="M158" s="7">
        <f>1200000000/80</f>
        <v>15000000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8" t="s">
        <v>973</v>
      </c>
    </row>
    <row r="159">
      <c r="A159" s="3" t="s">
        <v>35</v>
      </c>
      <c r="B159" s="4" t="s">
        <v>974</v>
      </c>
      <c r="C159" s="1" t="s">
        <v>975</v>
      </c>
      <c r="D159" s="3" t="s">
        <v>976</v>
      </c>
      <c r="E159" s="1" t="s">
        <v>30</v>
      </c>
      <c r="F159" s="5">
        <v>11730.0</v>
      </c>
      <c r="G159" s="1" t="s">
        <v>31</v>
      </c>
      <c r="H159" s="3" t="s">
        <v>32</v>
      </c>
      <c r="I159" s="1">
        <v>-6.1402323</v>
      </c>
      <c r="J159" s="3">
        <v>106.7327866</v>
      </c>
      <c r="K159" s="6" t="s">
        <v>977</v>
      </c>
      <c r="L159" s="7">
        <f t="shared" si="1"/>
        <v>22500000</v>
      </c>
      <c r="M159" s="7">
        <f>2300000000/90</f>
        <v>25555555.56</v>
      </c>
      <c r="N159" s="7">
        <f>2350000000/120</f>
        <v>19583333.33</v>
      </c>
      <c r="O159" s="7">
        <f>2300000000/120</f>
        <v>19166666.67</v>
      </c>
      <c r="P159" s="7">
        <f>2100000000/90</f>
        <v>23333333.33</v>
      </c>
      <c r="Q159" s="7">
        <f>2300000000/90</f>
        <v>25555555.56</v>
      </c>
      <c r="R159" s="7">
        <f>2400000000/90</f>
        <v>26666666.67</v>
      </c>
      <c r="S159" s="7">
        <f t="shared" ref="S159:T159" si="56">2200000000/120</f>
        <v>18333333.33</v>
      </c>
      <c r="T159" s="7">
        <f t="shared" si="56"/>
        <v>18333333.33</v>
      </c>
      <c r="U159" s="7">
        <f>2300000000/90</f>
        <v>25555555.56</v>
      </c>
      <c r="V159" s="7">
        <f>2700000000/120</f>
        <v>22500000</v>
      </c>
      <c r="W159" s="7">
        <f>2600000000/120</f>
        <v>21666666.67</v>
      </c>
      <c r="X159" s="7">
        <f>1900000000/90</f>
        <v>21111111.11</v>
      </c>
      <c r="Y159" s="7">
        <f>2100000000/90</f>
        <v>23333333.33</v>
      </c>
      <c r="Z159" s="8" t="s">
        <v>709</v>
      </c>
    </row>
    <row r="160">
      <c r="A160" s="3" t="s">
        <v>35</v>
      </c>
      <c r="B160" s="4" t="s">
        <v>978</v>
      </c>
      <c r="C160" s="1" t="s">
        <v>979</v>
      </c>
      <c r="D160" s="3" t="s">
        <v>980</v>
      </c>
      <c r="E160" s="1" t="s">
        <v>30</v>
      </c>
      <c r="F160" s="5">
        <v>11130.0</v>
      </c>
      <c r="G160" s="1" t="s">
        <v>31</v>
      </c>
      <c r="H160" s="9">
        <v>8.11E9</v>
      </c>
      <c r="I160" s="1">
        <v>-6.1511554</v>
      </c>
      <c r="J160" s="3">
        <v>106.815126</v>
      </c>
      <c r="K160" s="6" t="s">
        <v>981</v>
      </c>
      <c r="L160" s="7" t="str">
        <f t="shared" si="1"/>
        <v/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2" t="s">
        <v>34</v>
      </c>
    </row>
    <row r="161">
      <c r="A161" s="3" t="s">
        <v>35</v>
      </c>
      <c r="B161" s="4" t="s">
        <v>982</v>
      </c>
      <c r="C161" s="1" t="s">
        <v>983</v>
      </c>
      <c r="D161" s="3" t="s">
        <v>984</v>
      </c>
      <c r="E161" s="1" t="s">
        <v>30</v>
      </c>
      <c r="F161" s="5">
        <v>11520.0</v>
      </c>
      <c r="G161" s="1" t="s">
        <v>31</v>
      </c>
      <c r="H161" s="9">
        <v>8.51E10</v>
      </c>
      <c r="I161" s="1">
        <v>-6.1695954</v>
      </c>
      <c r="J161" s="3">
        <v>106.7643388</v>
      </c>
      <c r="K161" s="6" t="s">
        <v>985</v>
      </c>
      <c r="L161" s="7">
        <f t="shared" si="1"/>
        <v>28333333.33</v>
      </c>
      <c r="M161" s="7">
        <f>6800000000/240</f>
        <v>28333333.33</v>
      </c>
      <c r="N161" s="7">
        <f>6200000000/225</f>
        <v>27555555.56</v>
      </c>
      <c r="O161" s="7">
        <f>2500000000/205</f>
        <v>12195121.95</v>
      </c>
      <c r="P161" s="7">
        <f>3300000000/115</f>
        <v>28695652.17</v>
      </c>
      <c r="Q161" s="7">
        <f>5800000000/150</f>
        <v>38666666.67</v>
      </c>
      <c r="R161" s="7">
        <f>3600000000/160</f>
        <v>22500000</v>
      </c>
      <c r="S161" s="7">
        <f>13500000000/509</f>
        <v>26522593.32</v>
      </c>
      <c r="T161" s="7">
        <f>3900000000/105</f>
        <v>37142857.14</v>
      </c>
      <c r="U161" s="7">
        <f>2760000000/84</f>
        <v>32857142.86</v>
      </c>
      <c r="V161" s="7">
        <f>9200000000/350</f>
        <v>26285714.29</v>
      </c>
      <c r="W161" s="7">
        <f>3800000000/165</f>
        <v>23030303.03</v>
      </c>
      <c r="X161" s="7">
        <f>2810000000/75</f>
        <v>37466666.67</v>
      </c>
      <c r="Y161" s="7">
        <f>4300000000/150</f>
        <v>28666666.67</v>
      </c>
      <c r="Z161" s="8" t="s">
        <v>986</v>
      </c>
    </row>
    <row r="162">
      <c r="A162" s="3" t="s">
        <v>35</v>
      </c>
      <c r="B162" s="4" t="s">
        <v>987</v>
      </c>
      <c r="C162" s="1" t="s">
        <v>988</v>
      </c>
      <c r="D162" s="3" t="s">
        <v>989</v>
      </c>
      <c r="E162" s="1" t="s">
        <v>30</v>
      </c>
      <c r="F162" s="5">
        <v>11520.0</v>
      </c>
      <c r="G162" s="1" t="s">
        <v>31</v>
      </c>
      <c r="H162" s="9">
        <v>8.22E10</v>
      </c>
      <c r="I162" s="1">
        <v>-6.173246</v>
      </c>
      <c r="J162" s="3">
        <v>106.7666082</v>
      </c>
      <c r="K162" s="6" t="s">
        <v>990</v>
      </c>
      <c r="L162" s="7" t="str">
        <f t="shared" si="1"/>
        <v/>
      </c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2" t="s">
        <v>34</v>
      </c>
    </row>
    <row r="163">
      <c r="A163" s="3" t="s">
        <v>35</v>
      </c>
      <c r="B163" s="4" t="s">
        <v>991</v>
      </c>
      <c r="C163" s="1" t="s">
        <v>992</v>
      </c>
      <c r="D163" s="3" t="s">
        <v>993</v>
      </c>
      <c r="E163" s="1" t="s">
        <v>30</v>
      </c>
      <c r="F163" s="5">
        <v>11840.0</v>
      </c>
      <c r="G163" s="1" t="s">
        <v>31</v>
      </c>
      <c r="H163" s="3" t="s">
        <v>32</v>
      </c>
      <c r="I163" s="1">
        <v>-6.1451326</v>
      </c>
      <c r="J163" s="3">
        <v>106.7004012</v>
      </c>
      <c r="K163" s="6" t="s">
        <v>994</v>
      </c>
      <c r="L163" s="7">
        <f t="shared" si="1"/>
        <v>24534161.49</v>
      </c>
      <c r="M163" s="7">
        <f>4100000000/144</f>
        <v>28472222.22</v>
      </c>
      <c r="N163" s="7">
        <f>3500000000/120</f>
        <v>29166666.67</v>
      </c>
      <c r="O163" s="7">
        <f>3800000000/161</f>
        <v>23602484.47</v>
      </c>
      <c r="P163" s="7">
        <f>3900000000/161</f>
        <v>24223602.48</v>
      </c>
      <c r="Q163" s="7">
        <f>3800000000/161</f>
        <v>23602484.47</v>
      </c>
      <c r="R163" s="7">
        <f>2500000000/99</f>
        <v>25252525.25</v>
      </c>
      <c r="S163" s="7">
        <f>3700000000/161</f>
        <v>22981366.46</v>
      </c>
      <c r="T163" s="7">
        <f>4000000000/161</f>
        <v>24844720.5</v>
      </c>
      <c r="U163" s="7">
        <f>3350000000/105</f>
        <v>31904761.9</v>
      </c>
      <c r="V163" s="7">
        <f>5800000000/240</f>
        <v>24166666.67</v>
      </c>
      <c r="W163" s="7"/>
      <c r="X163" s="7"/>
      <c r="Y163" s="7"/>
      <c r="Z163" s="8" t="s">
        <v>995</v>
      </c>
    </row>
    <row r="164">
      <c r="A164" s="3" t="s">
        <v>35</v>
      </c>
      <c r="B164" s="4" t="s">
        <v>996</v>
      </c>
      <c r="C164" s="1" t="s">
        <v>997</v>
      </c>
      <c r="D164" s="3" t="s">
        <v>998</v>
      </c>
      <c r="E164" s="1" t="s">
        <v>30</v>
      </c>
      <c r="F164" s="5">
        <v>11640.0</v>
      </c>
      <c r="G164" s="1" t="s">
        <v>31</v>
      </c>
      <c r="H164" s="3" t="s">
        <v>32</v>
      </c>
      <c r="I164" s="1">
        <v>-6.2218722</v>
      </c>
      <c r="J164" s="3">
        <v>106.7434557</v>
      </c>
      <c r="K164" s="6" t="s">
        <v>999</v>
      </c>
      <c r="L164" s="7">
        <f t="shared" si="1"/>
        <v>33125000</v>
      </c>
      <c r="M164" s="7">
        <f>5300000000/160</f>
        <v>33125000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8" t="s">
        <v>1000</v>
      </c>
    </row>
    <row r="165">
      <c r="A165" s="3" t="s">
        <v>35</v>
      </c>
      <c r="B165" s="4" t="s">
        <v>1001</v>
      </c>
      <c r="C165" s="1" t="s">
        <v>1002</v>
      </c>
      <c r="D165" s="3" t="s">
        <v>1003</v>
      </c>
      <c r="E165" s="1" t="s">
        <v>30</v>
      </c>
      <c r="F165" s="5">
        <v>11650.0</v>
      </c>
      <c r="G165" s="1" t="s">
        <v>31</v>
      </c>
      <c r="H165" s="3" t="s">
        <v>32</v>
      </c>
      <c r="I165" s="1">
        <v>-6.2087993</v>
      </c>
      <c r="J165" s="3">
        <v>106.7352565</v>
      </c>
      <c r="K165" s="6" t="s">
        <v>1004</v>
      </c>
      <c r="L165" s="7">
        <f t="shared" si="1"/>
        <v>17857142.86</v>
      </c>
      <c r="M165" s="7">
        <f t="shared" ref="M165:N165" si="57">1500000000/84</f>
        <v>17857142.86</v>
      </c>
      <c r="N165" s="7">
        <f t="shared" si="57"/>
        <v>17857142.86</v>
      </c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8" t="s">
        <v>1005</v>
      </c>
    </row>
    <row r="166">
      <c r="A166" s="3" t="s">
        <v>35</v>
      </c>
      <c r="B166" s="4" t="s">
        <v>1006</v>
      </c>
      <c r="C166" s="1" t="s">
        <v>1007</v>
      </c>
      <c r="D166" s="3" t="s">
        <v>321</v>
      </c>
      <c r="E166" s="1" t="s">
        <v>30</v>
      </c>
      <c r="F166" s="5">
        <v>11830.0</v>
      </c>
      <c r="G166" s="1" t="s">
        <v>31</v>
      </c>
      <c r="H166" s="3" t="s">
        <v>32</v>
      </c>
      <c r="I166" s="1">
        <v>-6.1213067</v>
      </c>
      <c r="J166" s="3">
        <v>106.7008851</v>
      </c>
      <c r="K166" s="6" t="s">
        <v>1008</v>
      </c>
      <c r="L166" s="7">
        <f t="shared" si="1"/>
        <v>25000000</v>
      </c>
      <c r="M166" s="7">
        <f>1250000000/50</f>
        <v>25000000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8" t="s">
        <v>1009</v>
      </c>
    </row>
    <row r="167">
      <c r="J167" s="11">
        <f>sum(K167:Y167)</f>
        <v>847</v>
      </c>
      <c r="K167" s="11">
        <f>COUNTA(K2:K166)</f>
        <v>165</v>
      </c>
      <c r="M167" s="11">
        <f t="shared" ref="M167:Y167" si="58">COUNTA(M2:M166)</f>
        <v>99</v>
      </c>
      <c r="N167" s="11">
        <f t="shared" si="58"/>
        <v>75</v>
      </c>
      <c r="O167" s="11">
        <f t="shared" si="58"/>
        <v>64</v>
      </c>
      <c r="P167" s="11">
        <f t="shared" si="58"/>
        <v>58</v>
      </c>
      <c r="Q167" s="11">
        <f t="shared" si="58"/>
        <v>56</v>
      </c>
      <c r="R167" s="11">
        <f t="shared" si="58"/>
        <v>53</v>
      </c>
      <c r="S167" s="11">
        <f t="shared" si="58"/>
        <v>48</v>
      </c>
      <c r="T167" s="11">
        <f t="shared" si="58"/>
        <v>46</v>
      </c>
      <c r="U167" s="11">
        <f t="shared" si="58"/>
        <v>42</v>
      </c>
      <c r="V167" s="11">
        <f t="shared" si="58"/>
        <v>42</v>
      </c>
      <c r="W167" s="11">
        <f t="shared" si="58"/>
        <v>36</v>
      </c>
      <c r="X167" s="11">
        <f t="shared" si="58"/>
        <v>33</v>
      </c>
      <c r="Y167" s="11">
        <f t="shared" si="58"/>
        <v>30</v>
      </c>
    </row>
  </sheetData>
  <hyperlinks>
    <hyperlink r:id="rId1" ref="K2"/>
    <hyperlink r:id="rId2" ref="K3"/>
    <hyperlink r:id="rId3" ref="K4"/>
    <hyperlink r:id="rId4" ref="Z4"/>
    <hyperlink r:id="rId5" ref="K5"/>
    <hyperlink r:id="rId6" ref="K6"/>
    <hyperlink r:id="rId7" ref="Z6"/>
    <hyperlink r:id="rId8" ref="K7"/>
    <hyperlink r:id="rId9" ref="Z7"/>
    <hyperlink r:id="rId10" ref="K8"/>
    <hyperlink r:id="rId11" ref="Z8"/>
    <hyperlink r:id="rId12" ref="K9"/>
    <hyperlink r:id="rId13" ref="Z9"/>
    <hyperlink r:id="rId14" ref="K10"/>
    <hyperlink r:id="rId15" ref="Z10"/>
    <hyperlink r:id="rId16" ref="K11"/>
    <hyperlink r:id="rId17" ref="Z11"/>
    <hyperlink r:id="rId18" ref="K12"/>
    <hyperlink r:id="rId19" ref="Z12"/>
    <hyperlink r:id="rId20" ref="K13"/>
    <hyperlink r:id="rId21" ref="K14"/>
    <hyperlink r:id="rId22" ref="K15"/>
    <hyperlink r:id="rId23" ref="Z15"/>
    <hyperlink r:id="rId24" ref="K16"/>
    <hyperlink r:id="rId25" ref="Z16"/>
    <hyperlink r:id="rId26" ref="K17"/>
    <hyperlink r:id="rId27" ref="Z17"/>
    <hyperlink r:id="rId28" ref="K18"/>
    <hyperlink r:id="rId29" ref="K19"/>
    <hyperlink r:id="rId30" ref="Z19"/>
    <hyperlink r:id="rId31" ref="K20"/>
    <hyperlink r:id="rId32" ref="K21"/>
    <hyperlink r:id="rId33" ref="K22"/>
    <hyperlink r:id="rId34" ref="K23"/>
    <hyperlink r:id="rId35" ref="Z23"/>
    <hyperlink r:id="rId36" ref="K24"/>
    <hyperlink r:id="rId37" ref="Z24"/>
    <hyperlink r:id="rId38" ref="K25"/>
    <hyperlink r:id="rId39" ref="Z25"/>
    <hyperlink r:id="rId40" ref="K26"/>
    <hyperlink r:id="rId41" ref="Z26"/>
    <hyperlink r:id="rId42" ref="K27"/>
    <hyperlink r:id="rId43" ref="Z27"/>
    <hyperlink r:id="rId44" ref="K28"/>
    <hyperlink r:id="rId45" ref="Z28"/>
    <hyperlink r:id="rId46" ref="K29"/>
    <hyperlink r:id="rId47" ref="Z29"/>
    <hyperlink r:id="rId48" ref="K30"/>
    <hyperlink r:id="rId49" ref="K31"/>
    <hyperlink r:id="rId50" ref="Z31"/>
    <hyperlink r:id="rId51" ref="K32"/>
    <hyperlink r:id="rId52" ref="Z32"/>
    <hyperlink r:id="rId53" ref="K33"/>
    <hyperlink r:id="rId54" ref="Z33"/>
    <hyperlink r:id="rId55" ref="K34"/>
    <hyperlink r:id="rId56" ref="Z34"/>
    <hyperlink r:id="rId57" ref="K35"/>
    <hyperlink r:id="rId58" ref="Z35"/>
    <hyperlink r:id="rId59" ref="K36"/>
    <hyperlink r:id="rId60" ref="K37"/>
    <hyperlink r:id="rId61" ref="K38"/>
    <hyperlink r:id="rId62" ref="K39"/>
    <hyperlink r:id="rId63" ref="K40"/>
    <hyperlink r:id="rId64" ref="K41"/>
    <hyperlink r:id="rId65" ref="K42"/>
    <hyperlink r:id="rId66" ref="Z42"/>
    <hyperlink r:id="rId67" ref="K43"/>
    <hyperlink r:id="rId68" ref="K44"/>
    <hyperlink r:id="rId69" ref="K45"/>
    <hyperlink r:id="rId70" ref="Z45"/>
    <hyperlink r:id="rId71" ref="K46"/>
    <hyperlink r:id="rId72" ref="K47"/>
    <hyperlink r:id="rId73" ref="K48"/>
    <hyperlink r:id="rId74" ref="Z48"/>
    <hyperlink r:id="rId75" ref="K49"/>
    <hyperlink r:id="rId76" ref="Z49"/>
    <hyperlink r:id="rId77" ref="K50"/>
    <hyperlink r:id="rId78" ref="Z50"/>
    <hyperlink r:id="rId79" ref="K51"/>
    <hyperlink r:id="rId80" ref="K52"/>
    <hyperlink r:id="rId81" ref="Z52"/>
    <hyperlink r:id="rId82" ref="K53"/>
    <hyperlink r:id="rId83" ref="Z53"/>
    <hyperlink r:id="rId84" ref="K54"/>
    <hyperlink r:id="rId85" ref="Z54"/>
    <hyperlink r:id="rId86" ref="K55"/>
    <hyperlink r:id="rId87" ref="K56"/>
    <hyperlink r:id="rId88" ref="Z56"/>
    <hyperlink r:id="rId89" ref="K57"/>
    <hyperlink r:id="rId90" ref="K58"/>
    <hyperlink r:id="rId91" ref="Z58"/>
    <hyperlink r:id="rId92" ref="K59"/>
    <hyperlink r:id="rId93" ref="Z59"/>
    <hyperlink r:id="rId94" ref="K60"/>
    <hyperlink r:id="rId95" ref="K61"/>
    <hyperlink r:id="rId96" ref="K62"/>
    <hyperlink r:id="rId97" ref="Z62"/>
    <hyperlink r:id="rId98" ref="K63"/>
    <hyperlink r:id="rId99" ref="Z63"/>
    <hyperlink r:id="rId100" ref="K64"/>
    <hyperlink r:id="rId101" ref="K65"/>
    <hyperlink r:id="rId102" ref="Z65"/>
    <hyperlink r:id="rId103" ref="K66"/>
    <hyperlink r:id="rId104" ref="Z66"/>
    <hyperlink r:id="rId105" ref="K67"/>
    <hyperlink r:id="rId106" ref="K68"/>
    <hyperlink r:id="rId107" ref="Z68"/>
    <hyperlink r:id="rId108" ref="K69"/>
    <hyperlink r:id="rId109" ref="Z69"/>
    <hyperlink r:id="rId110" ref="K70"/>
    <hyperlink r:id="rId111" ref="Z70"/>
    <hyperlink r:id="rId112" ref="K71"/>
    <hyperlink r:id="rId113" ref="Z71"/>
    <hyperlink r:id="rId114" ref="K72"/>
    <hyperlink r:id="rId115" ref="Z72"/>
    <hyperlink r:id="rId116" ref="K73"/>
    <hyperlink r:id="rId117" ref="K74"/>
    <hyperlink r:id="rId118" ref="K75"/>
    <hyperlink r:id="rId119" ref="K76"/>
    <hyperlink r:id="rId120" ref="Z76"/>
    <hyperlink r:id="rId121" ref="K77"/>
    <hyperlink r:id="rId122" ref="K78"/>
    <hyperlink r:id="rId123" ref="K79"/>
    <hyperlink r:id="rId124" ref="Z79"/>
    <hyperlink r:id="rId125" ref="K80"/>
    <hyperlink r:id="rId126" ref="K81"/>
    <hyperlink r:id="rId127" ref="Z81"/>
    <hyperlink r:id="rId128" ref="K82"/>
    <hyperlink r:id="rId129" ref="K83"/>
    <hyperlink r:id="rId130" ref="K84"/>
    <hyperlink r:id="rId131" ref="K85"/>
    <hyperlink r:id="rId132" ref="K86"/>
    <hyperlink r:id="rId133" ref="Z86"/>
    <hyperlink r:id="rId134" ref="K87"/>
    <hyperlink r:id="rId135" ref="Z87"/>
    <hyperlink r:id="rId136" ref="K88"/>
    <hyperlink r:id="rId137" ref="Z88"/>
    <hyperlink r:id="rId138" ref="K89"/>
    <hyperlink r:id="rId139" ref="Z89"/>
    <hyperlink r:id="rId140" ref="K90"/>
    <hyperlink r:id="rId141" ref="Z90"/>
    <hyperlink r:id="rId142" ref="K91"/>
    <hyperlink r:id="rId143" ref="Z91"/>
    <hyperlink r:id="rId144" ref="K92"/>
    <hyperlink r:id="rId145" ref="Z92"/>
    <hyperlink r:id="rId146" ref="K93"/>
    <hyperlink r:id="rId147" ref="K94"/>
    <hyperlink r:id="rId148" ref="K95"/>
    <hyperlink r:id="rId149" ref="Z95"/>
    <hyperlink r:id="rId150" ref="K96"/>
    <hyperlink r:id="rId151" ref="Z96"/>
    <hyperlink r:id="rId152" ref="K97"/>
    <hyperlink r:id="rId153" ref="K98"/>
    <hyperlink r:id="rId154" ref="Z98"/>
    <hyperlink r:id="rId155" ref="K99"/>
    <hyperlink r:id="rId156" ref="Z99"/>
    <hyperlink r:id="rId157" ref="K100"/>
    <hyperlink r:id="rId158" ref="Z100"/>
    <hyperlink r:id="rId159" ref="K101"/>
    <hyperlink r:id="rId160" ref="K102"/>
    <hyperlink r:id="rId161" ref="K103"/>
    <hyperlink r:id="rId162" ref="Z103"/>
    <hyperlink r:id="rId163" ref="K104"/>
    <hyperlink r:id="rId164" ref="K105"/>
    <hyperlink r:id="rId165" ref="Z105"/>
    <hyperlink r:id="rId166" ref="K106"/>
    <hyperlink r:id="rId167" ref="Z106"/>
    <hyperlink r:id="rId168" ref="K107"/>
    <hyperlink r:id="rId169" ref="Z107"/>
    <hyperlink r:id="rId170" ref="K108"/>
    <hyperlink r:id="rId171" ref="Z108"/>
    <hyperlink r:id="rId172" ref="K109"/>
    <hyperlink r:id="rId173" ref="K110"/>
    <hyperlink r:id="rId174" ref="K111"/>
    <hyperlink r:id="rId175" ref="K112"/>
    <hyperlink r:id="rId176" ref="Z112"/>
    <hyperlink r:id="rId177" ref="K113"/>
    <hyperlink r:id="rId178" ref="Z113"/>
    <hyperlink r:id="rId179" ref="K114"/>
    <hyperlink r:id="rId180" ref="K115"/>
    <hyperlink r:id="rId181" ref="Z115"/>
    <hyperlink r:id="rId182" ref="K116"/>
    <hyperlink r:id="rId183" ref="K117"/>
    <hyperlink r:id="rId184" ref="K118"/>
    <hyperlink r:id="rId185" ref="Z118"/>
    <hyperlink r:id="rId186" ref="K119"/>
    <hyperlink r:id="rId187" ref="K120"/>
    <hyperlink r:id="rId188" ref="Z120"/>
    <hyperlink r:id="rId189" ref="K121"/>
    <hyperlink r:id="rId190" ref="K122"/>
    <hyperlink r:id="rId191" ref="Z122"/>
    <hyperlink r:id="rId192" ref="K123"/>
    <hyperlink r:id="rId193" ref="Z123"/>
    <hyperlink r:id="rId194" ref="K124"/>
    <hyperlink r:id="rId195" ref="Z124"/>
    <hyperlink r:id="rId196" ref="K125"/>
    <hyperlink r:id="rId197" ref="Z125"/>
    <hyperlink r:id="rId198" ref="K126"/>
    <hyperlink r:id="rId199" ref="K127"/>
    <hyperlink r:id="rId200" ref="K128"/>
    <hyperlink r:id="rId201" ref="K129"/>
    <hyperlink r:id="rId202" ref="Z129"/>
    <hyperlink r:id="rId203" ref="K130"/>
    <hyperlink r:id="rId204" ref="Z130"/>
    <hyperlink r:id="rId205" ref="K131"/>
    <hyperlink r:id="rId206" ref="Z131"/>
    <hyperlink r:id="rId207" ref="K132"/>
    <hyperlink r:id="rId208" ref="Z132"/>
    <hyperlink r:id="rId209" ref="K133"/>
    <hyperlink r:id="rId210" ref="Z133"/>
    <hyperlink r:id="rId211" ref="K134"/>
    <hyperlink r:id="rId212" ref="Z134"/>
    <hyperlink r:id="rId213" ref="K135"/>
    <hyperlink r:id="rId214" ref="K136"/>
    <hyperlink r:id="rId215" ref="Z136"/>
    <hyperlink r:id="rId216" ref="K137"/>
    <hyperlink r:id="rId217" ref="Z137"/>
    <hyperlink r:id="rId218" ref="K138"/>
    <hyperlink r:id="rId219" ref="Z138"/>
    <hyperlink r:id="rId220" ref="K139"/>
    <hyperlink r:id="rId221" ref="Z139"/>
    <hyperlink r:id="rId222" ref="K140"/>
    <hyperlink r:id="rId223" ref="K141"/>
    <hyperlink r:id="rId224" ref="K142"/>
    <hyperlink r:id="rId225" ref="Z142"/>
    <hyperlink r:id="rId226" ref="K143"/>
    <hyperlink r:id="rId227" ref="Z143"/>
    <hyperlink r:id="rId228" ref="K144"/>
    <hyperlink r:id="rId229" ref="Z144"/>
    <hyperlink r:id="rId230" ref="K145"/>
    <hyperlink r:id="rId231" ref="K146"/>
    <hyperlink r:id="rId232" ref="Z146"/>
    <hyperlink r:id="rId233" ref="K147"/>
    <hyperlink r:id="rId234" ref="Z147"/>
    <hyperlink r:id="rId235" ref="K148"/>
    <hyperlink r:id="rId236" ref="K149"/>
    <hyperlink r:id="rId237" ref="Z149"/>
    <hyperlink r:id="rId238" ref="K150"/>
    <hyperlink r:id="rId239" ref="K151"/>
    <hyperlink r:id="rId240" ref="K152"/>
    <hyperlink r:id="rId241" ref="K153"/>
    <hyperlink r:id="rId242" ref="K154"/>
    <hyperlink r:id="rId243" ref="K155"/>
    <hyperlink r:id="rId244" ref="Z155"/>
    <hyperlink r:id="rId245" ref="K156"/>
    <hyperlink r:id="rId246" ref="Z156"/>
    <hyperlink r:id="rId247" ref="K157"/>
    <hyperlink r:id="rId248" ref="Z157"/>
    <hyperlink r:id="rId249" ref="K158"/>
    <hyperlink r:id="rId250" ref="Z158"/>
    <hyperlink r:id="rId251" ref="K159"/>
    <hyperlink r:id="rId252" ref="Z159"/>
    <hyperlink r:id="rId253" ref="K160"/>
    <hyperlink r:id="rId254" ref="K161"/>
    <hyperlink r:id="rId255" ref="Z161"/>
    <hyperlink r:id="rId256" ref="K162"/>
    <hyperlink r:id="rId257" ref="K163"/>
    <hyperlink r:id="rId258" ref="Z163"/>
    <hyperlink r:id="rId259" ref="K164"/>
    <hyperlink r:id="rId260" ref="Z164"/>
    <hyperlink r:id="rId261" ref="K165"/>
    <hyperlink r:id="rId262" ref="Z165"/>
    <hyperlink r:id="rId263" ref="K166"/>
    <hyperlink r:id="rId264" ref="Z166"/>
  </hyperlinks>
  <drawing r:id="rId2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2" t="s">
        <v>11</v>
      </c>
      <c r="M1" s="12" t="s">
        <v>1010</v>
      </c>
      <c r="N1" s="12" t="s">
        <v>1011</v>
      </c>
      <c r="O1" s="12" t="s">
        <v>1012</v>
      </c>
      <c r="P1" s="12" t="s">
        <v>1013</v>
      </c>
      <c r="Q1" s="12" t="s">
        <v>1014</v>
      </c>
      <c r="R1" s="12" t="s">
        <v>1015</v>
      </c>
      <c r="S1" s="12" t="s">
        <v>1016</v>
      </c>
      <c r="T1" s="12" t="s">
        <v>1017</v>
      </c>
      <c r="U1" s="12" t="s">
        <v>1018</v>
      </c>
      <c r="V1" s="12" t="s">
        <v>1019</v>
      </c>
      <c r="W1" s="12" t="s">
        <v>1020</v>
      </c>
      <c r="X1" s="12" t="s">
        <v>1021</v>
      </c>
      <c r="Y1" s="12" t="s">
        <v>1022</v>
      </c>
      <c r="Z1" s="12" t="s">
        <v>25</v>
      </c>
    </row>
    <row r="2">
      <c r="A2" s="3" t="s">
        <v>1023</v>
      </c>
      <c r="B2" s="4" t="s">
        <v>1024</v>
      </c>
      <c r="C2" s="1" t="s">
        <v>1025</v>
      </c>
      <c r="D2" s="3" t="s">
        <v>1026</v>
      </c>
      <c r="E2" s="1" t="s">
        <v>30</v>
      </c>
      <c r="F2" s="5">
        <v>13880.0</v>
      </c>
      <c r="G2" s="1" t="s">
        <v>31</v>
      </c>
      <c r="H2" s="3" t="s">
        <v>32</v>
      </c>
      <c r="I2" s="1">
        <v>-6.309319</v>
      </c>
      <c r="J2" s="3">
        <v>106.9202375</v>
      </c>
      <c r="K2" s="6" t="s">
        <v>1027</v>
      </c>
      <c r="L2" s="11">
        <f t="shared" ref="L2:L378" si="1">IFERROR(MEDIAN(M2:Y2),"")</f>
        <v>9677419.355</v>
      </c>
      <c r="M2" s="11">
        <f>1200000000/124</f>
        <v>9677419.355</v>
      </c>
      <c r="Z2" s="8" t="s">
        <v>1028</v>
      </c>
    </row>
    <row r="3">
      <c r="A3" s="3" t="s">
        <v>1029</v>
      </c>
      <c r="B3" s="4" t="s">
        <v>1030</v>
      </c>
      <c r="C3" s="1" t="s">
        <v>1031</v>
      </c>
      <c r="D3" s="3" t="s">
        <v>1032</v>
      </c>
      <c r="E3" s="1" t="s">
        <v>30</v>
      </c>
      <c r="F3" s="5">
        <v>13840.0</v>
      </c>
      <c r="G3" s="1" t="s">
        <v>31</v>
      </c>
      <c r="H3" s="3" t="s">
        <v>32</v>
      </c>
      <c r="I3" s="1">
        <v>-6.3227011</v>
      </c>
      <c r="J3" s="3">
        <v>106.9058674</v>
      </c>
      <c r="K3" s="6" t="s">
        <v>1033</v>
      </c>
      <c r="L3" s="11">
        <f t="shared" si="1"/>
        <v>17083333.33</v>
      </c>
      <c r="M3" s="11">
        <f>1640000000/96</f>
        <v>17083333.33</v>
      </c>
      <c r="Z3" s="8" t="s">
        <v>1034</v>
      </c>
    </row>
    <row r="4">
      <c r="A4" s="3" t="s">
        <v>35</v>
      </c>
      <c r="B4" s="4" t="s">
        <v>1035</v>
      </c>
      <c r="C4" s="1" t="s">
        <v>1036</v>
      </c>
      <c r="D4" s="3" t="s">
        <v>1037</v>
      </c>
      <c r="E4" s="1" t="s">
        <v>30</v>
      </c>
      <c r="F4" s="5">
        <v>13910.0</v>
      </c>
      <c r="G4" s="1" t="s">
        <v>31</v>
      </c>
      <c r="H4" s="3" t="s">
        <v>32</v>
      </c>
      <c r="I4" s="1">
        <v>-6.1830278</v>
      </c>
      <c r="J4" s="3">
        <v>106.9290762</v>
      </c>
      <c r="K4" s="6" t="s">
        <v>1038</v>
      </c>
      <c r="L4" s="11" t="str">
        <f t="shared" si="1"/>
        <v/>
      </c>
      <c r="Z4" s="2" t="s">
        <v>34</v>
      </c>
    </row>
    <row r="5">
      <c r="A5" s="3" t="s">
        <v>134</v>
      </c>
      <c r="B5" s="4" t="s">
        <v>1039</v>
      </c>
      <c r="C5" s="1" t="s">
        <v>1040</v>
      </c>
      <c r="D5" s="3" t="s">
        <v>1041</v>
      </c>
      <c r="E5" s="1" t="s">
        <v>30</v>
      </c>
      <c r="F5" s="5">
        <v>13430.0</v>
      </c>
      <c r="G5" s="1" t="s">
        <v>31</v>
      </c>
      <c r="H5" s="9">
        <v>8.12E9</v>
      </c>
      <c r="I5" s="1">
        <v>-6.2417694</v>
      </c>
      <c r="J5" s="3">
        <v>106.9037135</v>
      </c>
      <c r="K5" s="6" t="s">
        <v>1042</v>
      </c>
      <c r="L5" s="11">
        <f t="shared" si="1"/>
        <v>22093023.26</v>
      </c>
      <c r="M5" s="11">
        <f>3800000000/172</f>
        <v>22093023.26</v>
      </c>
      <c r="Z5" s="8" t="s">
        <v>1043</v>
      </c>
    </row>
    <row r="6">
      <c r="A6" s="3" t="s">
        <v>134</v>
      </c>
      <c r="B6" s="4" t="s">
        <v>1044</v>
      </c>
      <c r="C6" s="1" t="s">
        <v>1045</v>
      </c>
      <c r="D6" s="3" t="s">
        <v>1046</v>
      </c>
      <c r="E6" s="1" t="s">
        <v>30</v>
      </c>
      <c r="F6" s="5">
        <v>13430.0</v>
      </c>
      <c r="G6" s="1" t="s">
        <v>31</v>
      </c>
      <c r="H6" s="9">
        <v>8.2E10</v>
      </c>
      <c r="I6" s="1">
        <v>-6.2239063</v>
      </c>
      <c r="J6" s="3">
        <v>106.8983815</v>
      </c>
      <c r="K6" s="6" t="s">
        <v>1047</v>
      </c>
      <c r="L6" s="11">
        <f t="shared" si="1"/>
        <v>9880952.381</v>
      </c>
      <c r="M6" s="11">
        <f>415000000/42</f>
        <v>9880952.381</v>
      </c>
      <c r="Z6" s="8" t="s">
        <v>1048</v>
      </c>
    </row>
    <row r="7">
      <c r="A7" s="3" t="s">
        <v>134</v>
      </c>
      <c r="B7" s="4" t="s">
        <v>1049</v>
      </c>
      <c r="C7" s="1" t="s">
        <v>1050</v>
      </c>
      <c r="D7" s="3" t="s">
        <v>1051</v>
      </c>
      <c r="E7" s="1" t="s">
        <v>30</v>
      </c>
      <c r="F7" s="5">
        <v>13210.0</v>
      </c>
      <c r="G7" s="1" t="s">
        <v>31</v>
      </c>
      <c r="H7" s="9">
        <v>2.15E8</v>
      </c>
      <c r="I7" s="1">
        <v>-6.1814556</v>
      </c>
      <c r="J7" s="3">
        <v>106.8850241</v>
      </c>
      <c r="K7" s="6" t="s">
        <v>1052</v>
      </c>
      <c r="L7" s="11">
        <f t="shared" si="1"/>
        <v>40000000</v>
      </c>
      <c r="M7" s="11">
        <f>6500000000/150</f>
        <v>43333333.33</v>
      </c>
      <c r="N7" s="11">
        <f>5500000000/150</f>
        <v>36666666.67</v>
      </c>
      <c r="Z7" s="8" t="s">
        <v>1053</v>
      </c>
    </row>
    <row r="8">
      <c r="A8" s="3" t="s">
        <v>1054</v>
      </c>
      <c r="B8" s="4" t="s">
        <v>1055</v>
      </c>
      <c r="C8" s="1" t="s">
        <v>1056</v>
      </c>
      <c r="D8" s="3" t="s">
        <v>1057</v>
      </c>
      <c r="E8" s="1" t="s">
        <v>30</v>
      </c>
      <c r="F8" s="5">
        <v>13330.0</v>
      </c>
      <c r="G8" s="1" t="s">
        <v>31</v>
      </c>
      <c r="H8" s="3" t="s">
        <v>32</v>
      </c>
      <c r="I8" s="1">
        <v>-6.2433784</v>
      </c>
      <c r="J8" s="3">
        <v>106.8680898</v>
      </c>
      <c r="K8" s="6" t="s">
        <v>1058</v>
      </c>
      <c r="L8" s="11">
        <f t="shared" si="1"/>
        <v>18918918.92</v>
      </c>
      <c r="M8" s="11">
        <f>700000000/37</f>
        <v>18918918.92</v>
      </c>
      <c r="Z8" s="8" t="s">
        <v>1059</v>
      </c>
    </row>
    <row r="9">
      <c r="A9" s="3" t="s">
        <v>35</v>
      </c>
      <c r="B9" s="4" t="s">
        <v>1060</v>
      </c>
      <c r="C9" s="1" t="s">
        <v>1061</v>
      </c>
      <c r="D9" s="3" t="s">
        <v>1062</v>
      </c>
      <c r="E9" s="1" t="s">
        <v>30</v>
      </c>
      <c r="F9" s="5">
        <v>13440.0</v>
      </c>
      <c r="G9" s="1" t="s">
        <v>31</v>
      </c>
      <c r="H9" s="3" t="s">
        <v>32</v>
      </c>
      <c r="I9" s="1">
        <v>-6.2217921</v>
      </c>
      <c r="J9" s="3">
        <v>106.9218122</v>
      </c>
      <c r="K9" s="6" t="s">
        <v>1063</v>
      </c>
      <c r="L9" s="11" t="str">
        <f t="shared" si="1"/>
        <v/>
      </c>
      <c r="Z9" s="2" t="s">
        <v>34</v>
      </c>
    </row>
    <row r="10">
      <c r="A10" s="3" t="s">
        <v>35</v>
      </c>
      <c r="B10" s="4" t="s">
        <v>1064</v>
      </c>
      <c r="C10" s="1" t="s">
        <v>1065</v>
      </c>
      <c r="D10" s="3" t="s">
        <v>1066</v>
      </c>
      <c r="E10" s="1" t="s">
        <v>30</v>
      </c>
      <c r="F10" s="5">
        <v>13890.0</v>
      </c>
      <c r="G10" s="1" t="s">
        <v>31</v>
      </c>
      <c r="H10" s="3" t="s">
        <v>32</v>
      </c>
      <c r="I10" s="1">
        <v>-6.3010157</v>
      </c>
      <c r="J10" s="3">
        <v>106.9077694</v>
      </c>
      <c r="K10" s="6" t="s">
        <v>1067</v>
      </c>
      <c r="L10" s="11" t="str">
        <f t="shared" si="1"/>
        <v/>
      </c>
      <c r="Z10" s="2" t="s">
        <v>34</v>
      </c>
    </row>
    <row r="11">
      <c r="A11" s="3" t="s">
        <v>35</v>
      </c>
      <c r="B11" s="4" t="s">
        <v>1068</v>
      </c>
      <c r="C11" s="1" t="s">
        <v>1069</v>
      </c>
      <c r="D11" s="3" t="s">
        <v>1070</v>
      </c>
      <c r="E11" s="1" t="s">
        <v>30</v>
      </c>
      <c r="F11" s="5">
        <v>13520.0</v>
      </c>
      <c r="G11" s="1" t="s">
        <v>31</v>
      </c>
      <c r="H11" s="3" t="s">
        <v>32</v>
      </c>
      <c r="I11" s="1">
        <v>-6.2832553</v>
      </c>
      <c r="J11" s="3">
        <v>106.8641063</v>
      </c>
      <c r="K11" s="6" t="s">
        <v>1071</v>
      </c>
      <c r="L11" s="11">
        <f t="shared" si="1"/>
        <v>13709677.42</v>
      </c>
      <c r="M11" s="11">
        <f>1700000000/124</f>
        <v>13709677.42</v>
      </c>
      <c r="Z11" s="8" t="s">
        <v>1072</v>
      </c>
    </row>
    <row r="12">
      <c r="A12" s="3" t="s">
        <v>26</v>
      </c>
      <c r="B12" s="4" t="s">
        <v>1073</v>
      </c>
      <c r="C12" s="1" t="s">
        <v>1074</v>
      </c>
      <c r="D12" s="3" t="s">
        <v>1075</v>
      </c>
      <c r="E12" s="1" t="s">
        <v>30</v>
      </c>
      <c r="F12" s="5">
        <v>13570.0</v>
      </c>
      <c r="G12" s="1" t="s">
        <v>31</v>
      </c>
      <c r="H12" s="3" t="s">
        <v>32</v>
      </c>
      <c r="I12" s="1">
        <v>-6.27854</v>
      </c>
      <c r="J12" s="3">
        <v>106.8783052</v>
      </c>
      <c r="K12" s="6" t="s">
        <v>1076</v>
      </c>
      <c r="L12" s="11">
        <f t="shared" si="1"/>
        <v>25553662.69</v>
      </c>
      <c r="M12" s="11">
        <f>15000000000/587</f>
        <v>25553662.69</v>
      </c>
      <c r="Z12" s="8" t="s">
        <v>1077</v>
      </c>
    </row>
    <row r="13">
      <c r="A13" s="3" t="s">
        <v>185</v>
      </c>
      <c r="B13" s="4" t="s">
        <v>1078</v>
      </c>
      <c r="C13" s="1" t="s">
        <v>1079</v>
      </c>
      <c r="D13" s="3" t="s">
        <v>1080</v>
      </c>
      <c r="E13" s="1" t="s">
        <v>30</v>
      </c>
      <c r="F13" s="5">
        <v>13940.0</v>
      </c>
      <c r="G13" s="1" t="s">
        <v>31</v>
      </c>
      <c r="H13" s="3" t="s">
        <v>32</v>
      </c>
      <c r="I13" s="1">
        <v>-6.2031783</v>
      </c>
      <c r="J13" s="3">
        <v>106.9368288</v>
      </c>
      <c r="K13" s="6" t="s">
        <v>1081</v>
      </c>
      <c r="L13" s="11" t="str">
        <f t="shared" si="1"/>
        <v/>
      </c>
      <c r="Z13" s="2" t="s">
        <v>34</v>
      </c>
    </row>
    <row r="14">
      <c r="A14" s="3" t="s">
        <v>185</v>
      </c>
      <c r="B14" s="4" t="s">
        <v>1082</v>
      </c>
      <c r="C14" s="1" t="s">
        <v>1083</v>
      </c>
      <c r="D14" s="3" t="s">
        <v>1084</v>
      </c>
      <c r="E14" s="1" t="s">
        <v>30</v>
      </c>
      <c r="F14" s="5">
        <v>13950.0</v>
      </c>
      <c r="G14" s="1" t="s">
        <v>31</v>
      </c>
      <c r="H14" s="3" t="s">
        <v>32</v>
      </c>
      <c r="I14" s="1">
        <v>-6.1939478</v>
      </c>
      <c r="J14" s="3">
        <v>106.9395118</v>
      </c>
      <c r="K14" s="6" t="s">
        <v>1085</v>
      </c>
      <c r="L14" s="11" t="str">
        <f t="shared" si="1"/>
        <v/>
      </c>
      <c r="Z14" s="2" t="s">
        <v>34</v>
      </c>
    </row>
    <row r="15">
      <c r="A15" s="3" t="s">
        <v>185</v>
      </c>
      <c r="B15" s="4" t="s">
        <v>1086</v>
      </c>
      <c r="C15" s="1" t="s">
        <v>1087</v>
      </c>
      <c r="D15" s="3" t="s">
        <v>1088</v>
      </c>
      <c r="E15" s="1" t="s">
        <v>30</v>
      </c>
      <c r="F15" s="5">
        <v>13810.0</v>
      </c>
      <c r="G15" s="1" t="s">
        <v>31</v>
      </c>
      <c r="H15" s="9">
        <v>8.13E10</v>
      </c>
      <c r="I15" s="1">
        <v>-6.2885427</v>
      </c>
      <c r="J15" s="3">
        <v>106.9025378</v>
      </c>
      <c r="K15" s="6" t="s">
        <v>1089</v>
      </c>
      <c r="L15" s="11">
        <f t="shared" si="1"/>
        <v>12500000</v>
      </c>
      <c r="M15" s="11">
        <f>500000000/40</f>
        <v>12500000</v>
      </c>
      <c r="Z15" s="8" t="s">
        <v>1090</v>
      </c>
    </row>
    <row r="16">
      <c r="A16" s="3" t="s">
        <v>185</v>
      </c>
      <c r="B16" s="4" t="s">
        <v>1091</v>
      </c>
      <c r="C16" s="1" t="s">
        <v>1092</v>
      </c>
      <c r="D16" s="3" t="s">
        <v>1093</v>
      </c>
      <c r="E16" s="1" t="s">
        <v>30</v>
      </c>
      <c r="F16" s="5">
        <v>13810.0</v>
      </c>
      <c r="G16" s="1" t="s">
        <v>31</v>
      </c>
      <c r="H16" s="3" t="s">
        <v>32</v>
      </c>
      <c r="I16" s="1">
        <v>-6.2932735</v>
      </c>
      <c r="J16" s="3">
        <v>106.9090956</v>
      </c>
      <c r="K16" s="6" t="s">
        <v>1094</v>
      </c>
      <c r="L16" s="11" t="str">
        <f t="shared" si="1"/>
        <v/>
      </c>
      <c r="Z16" s="2" t="s">
        <v>34</v>
      </c>
    </row>
    <row r="17">
      <c r="A17" s="3" t="s">
        <v>1095</v>
      </c>
      <c r="B17" s="3" t="s">
        <v>1096</v>
      </c>
      <c r="C17" s="1" t="s">
        <v>1097</v>
      </c>
      <c r="D17" s="3" t="s">
        <v>1098</v>
      </c>
      <c r="E17" s="1" t="s">
        <v>30</v>
      </c>
      <c r="F17" s="5">
        <v>13850.0</v>
      </c>
      <c r="G17" s="1" t="s">
        <v>31</v>
      </c>
      <c r="H17" s="3" t="s">
        <v>32</v>
      </c>
      <c r="I17" s="1">
        <v>-6.3531708</v>
      </c>
      <c r="J17" s="3">
        <v>106.8957841</v>
      </c>
      <c r="K17" s="6" t="s">
        <v>1099</v>
      </c>
      <c r="L17" s="11" t="str">
        <f t="shared" si="1"/>
        <v/>
      </c>
      <c r="Z17" s="2" t="s">
        <v>34</v>
      </c>
    </row>
    <row r="18">
      <c r="A18" s="3" t="s">
        <v>185</v>
      </c>
      <c r="B18" s="4" t="s">
        <v>1100</v>
      </c>
      <c r="C18" s="1" t="s">
        <v>1101</v>
      </c>
      <c r="D18" s="3" t="s">
        <v>1102</v>
      </c>
      <c r="E18" s="1" t="s">
        <v>30</v>
      </c>
      <c r="F18" s="5">
        <v>13860.0</v>
      </c>
      <c r="G18" s="1" t="s">
        <v>31</v>
      </c>
      <c r="H18" s="9">
        <v>8.52E10</v>
      </c>
      <c r="I18" s="1">
        <v>-6.3511094</v>
      </c>
      <c r="J18" s="3">
        <v>106.907591</v>
      </c>
      <c r="K18" s="6" t="s">
        <v>1103</v>
      </c>
      <c r="L18" s="11">
        <f t="shared" si="1"/>
        <v>11111111.11</v>
      </c>
      <c r="M18" s="11">
        <f>500000000/45</f>
        <v>11111111.11</v>
      </c>
      <c r="Z18" s="8" t="s">
        <v>1104</v>
      </c>
    </row>
    <row r="19">
      <c r="A19" s="3" t="s">
        <v>185</v>
      </c>
      <c r="B19" s="4" t="s">
        <v>1105</v>
      </c>
      <c r="C19" s="1" t="s">
        <v>1106</v>
      </c>
      <c r="D19" s="3" t="s">
        <v>1107</v>
      </c>
      <c r="E19" s="1" t="s">
        <v>30</v>
      </c>
      <c r="F19" s="5">
        <v>13860.0</v>
      </c>
      <c r="G19" s="1" t="s">
        <v>31</v>
      </c>
      <c r="H19" s="3" t="s">
        <v>32</v>
      </c>
      <c r="I19" s="1">
        <v>-6.358441</v>
      </c>
      <c r="J19" s="3">
        <v>106.9063667</v>
      </c>
      <c r="K19" s="6" t="s">
        <v>1108</v>
      </c>
      <c r="L19" s="11">
        <f t="shared" si="1"/>
        <v>15476190.48</v>
      </c>
      <c r="M19" s="11">
        <f>1300000000/84</f>
        <v>15476190.48</v>
      </c>
      <c r="Z19" s="8" t="s">
        <v>1109</v>
      </c>
    </row>
    <row r="20">
      <c r="A20" s="3" t="s">
        <v>185</v>
      </c>
      <c r="B20" s="4" t="s">
        <v>1110</v>
      </c>
      <c r="C20" s="1" t="s">
        <v>1111</v>
      </c>
      <c r="D20" s="3" t="s">
        <v>1112</v>
      </c>
      <c r="E20" s="1" t="s">
        <v>30</v>
      </c>
      <c r="F20" s="5">
        <v>13740.0</v>
      </c>
      <c r="G20" s="1" t="s">
        <v>31</v>
      </c>
      <c r="H20" s="3" t="s">
        <v>32</v>
      </c>
      <c r="I20" s="1">
        <v>-6.3250774</v>
      </c>
      <c r="J20" s="3">
        <v>106.8818202</v>
      </c>
      <c r="K20" s="6" t="s">
        <v>1113</v>
      </c>
      <c r="L20" s="11">
        <f t="shared" si="1"/>
        <v>12714285.71</v>
      </c>
      <c r="M20" s="11">
        <f>890000000/70</f>
        <v>12714285.71</v>
      </c>
      <c r="Z20" s="8" t="s">
        <v>1114</v>
      </c>
    </row>
    <row r="21">
      <c r="A21" s="3" t="s">
        <v>185</v>
      </c>
      <c r="B21" s="4" t="s">
        <v>1115</v>
      </c>
      <c r="C21" s="1" t="s">
        <v>1116</v>
      </c>
      <c r="D21" s="3" t="s">
        <v>1117</v>
      </c>
      <c r="E21" s="1" t="s">
        <v>30</v>
      </c>
      <c r="F21" s="5">
        <v>13340.0</v>
      </c>
      <c r="G21" s="1" t="s">
        <v>31</v>
      </c>
      <c r="H21" s="3" t="s">
        <v>32</v>
      </c>
      <c r="I21" s="1">
        <v>-6.2453241</v>
      </c>
      <c r="J21" s="3">
        <v>106.8719453</v>
      </c>
      <c r="K21" s="6" t="s">
        <v>1118</v>
      </c>
      <c r="L21" s="11">
        <f t="shared" si="1"/>
        <v>21980574.32</v>
      </c>
      <c r="M21" s="11">
        <f>1300000000/64</f>
        <v>20312500</v>
      </c>
      <c r="N21" s="11">
        <f>875000000/37</f>
        <v>23648648.65</v>
      </c>
      <c r="Z21" s="8" t="s">
        <v>1119</v>
      </c>
    </row>
    <row r="22">
      <c r="A22" s="3" t="s">
        <v>185</v>
      </c>
      <c r="B22" s="4" t="s">
        <v>1120</v>
      </c>
      <c r="C22" s="1" t="s">
        <v>1121</v>
      </c>
      <c r="D22" s="3" t="s">
        <v>1122</v>
      </c>
      <c r="E22" s="1" t="s">
        <v>30</v>
      </c>
      <c r="F22" s="5">
        <v>13520.0</v>
      </c>
      <c r="G22" s="1" t="s">
        <v>31</v>
      </c>
      <c r="H22" s="9">
        <v>8.14E10</v>
      </c>
      <c r="I22" s="1">
        <v>-6.2845044</v>
      </c>
      <c r="J22" s="3">
        <v>106.8631806</v>
      </c>
      <c r="K22" s="6" t="s">
        <v>1123</v>
      </c>
      <c r="L22" s="11">
        <f t="shared" si="1"/>
        <v>18666666.67</v>
      </c>
      <c r="M22" s="11">
        <f>1400000000/75</f>
        <v>18666666.67</v>
      </c>
      <c r="Z22" s="8" t="s">
        <v>1124</v>
      </c>
    </row>
    <row r="23">
      <c r="A23" s="3" t="s">
        <v>185</v>
      </c>
      <c r="B23" s="4" t="s">
        <v>1125</v>
      </c>
      <c r="C23" s="1" t="s">
        <v>1126</v>
      </c>
      <c r="D23" s="3" t="s">
        <v>1127</v>
      </c>
      <c r="E23" s="1" t="s">
        <v>30</v>
      </c>
      <c r="F23" s="5">
        <v>13550.0</v>
      </c>
      <c r="G23" s="1" t="s">
        <v>31</v>
      </c>
      <c r="H23" s="3" t="s">
        <v>32</v>
      </c>
      <c r="I23" s="1">
        <v>-6.2938624</v>
      </c>
      <c r="J23" s="3">
        <v>106.8748138</v>
      </c>
      <c r="K23" s="6" t="s">
        <v>1128</v>
      </c>
      <c r="L23" s="11" t="str">
        <f t="shared" si="1"/>
        <v/>
      </c>
      <c r="Z23" s="2" t="s">
        <v>34</v>
      </c>
    </row>
    <row r="24">
      <c r="A24" s="3" t="s">
        <v>1095</v>
      </c>
      <c r="B24" s="3" t="s">
        <v>1129</v>
      </c>
      <c r="C24" s="1" t="s">
        <v>1130</v>
      </c>
      <c r="D24" s="3" t="s">
        <v>1131</v>
      </c>
      <c r="E24" s="1" t="s">
        <v>30</v>
      </c>
      <c r="F24" s="5">
        <v>13540.0</v>
      </c>
      <c r="G24" s="1" t="s">
        <v>31</v>
      </c>
      <c r="H24" s="3" t="s">
        <v>32</v>
      </c>
      <c r="I24" s="1">
        <v>-6.2849401</v>
      </c>
      <c r="J24" s="3">
        <v>106.8705247</v>
      </c>
      <c r="K24" s="6" t="s">
        <v>1132</v>
      </c>
      <c r="L24" s="11">
        <f t="shared" si="1"/>
        <v>14516129.03</v>
      </c>
      <c r="M24" s="11">
        <f>1800000000/124</f>
        <v>14516129.03</v>
      </c>
      <c r="Z24" s="8" t="s">
        <v>1133</v>
      </c>
    </row>
    <row r="25">
      <c r="A25" s="3" t="s">
        <v>1095</v>
      </c>
      <c r="B25" s="3" t="s">
        <v>1134</v>
      </c>
      <c r="C25" s="1" t="s">
        <v>1135</v>
      </c>
      <c r="D25" s="3" t="s">
        <v>1136</v>
      </c>
      <c r="E25" s="1" t="s">
        <v>30</v>
      </c>
      <c r="F25" s="5">
        <v>13550.0</v>
      </c>
      <c r="G25" s="1" t="s">
        <v>31</v>
      </c>
      <c r="H25" s="3" t="s">
        <v>32</v>
      </c>
      <c r="I25" s="1">
        <v>-6.297248</v>
      </c>
      <c r="J25" s="3">
        <v>106.880982</v>
      </c>
      <c r="K25" s="6" t="s">
        <v>1137</v>
      </c>
      <c r="L25" s="11">
        <f t="shared" si="1"/>
        <v>18032786.89</v>
      </c>
      <c r="M25" s="11">
        <f>1100000000/61</f>
        <v>18032786.89</v>
      </c>
      <c r="Z25" s="8" t="s">
        <v>1138</v>
      </c>
    </row>
    <row r="26">
      <c r="A26" s="3" t="s">
        <v>185</v>
      </c>
      <c r="B26" s="4" t="s">
        <v>1139</v>
      </c>
      <c r="C26" s="1" t="s">
        <v>1140</v>
      </c>
      <c r="D26" s="3" t="s">
        <v>1141</v>
      </c>
      <c r="E26" s="1" t="s">
        <v>30</v>
      </c>
      <c r="F26" s="5">
        <v>13110.0</v>
      </c>
      <c r="G26" s="1" t="s">
        <v>31</v>
      </c>
      <c r="H26" s="3" t="s">
        <v>32</v>
      </c>
      <c r="I26" s="1">
        <v>-6.2097358</v>
      </c>
      <c r="J26" s="3">
        <v>106.8709188</v>
      </c>
      <c r="K26" s="6" t="s">
        <v>1142</v>
      </c>
      <c r="L26" s="11">
        <f t="shared" si="1"/>
        <v>18533333.33</v>
      </c>
      <c r="M26" s="11">
        <f>278000000/15</f>
        <v>18533333.33</v>
      </c>
      <c r="Z26" s="8" t="s">
        <v>1143</v>
      </c>
    </row>
    <row r="27">
      <c r="A27" s="3" t="s">
        <v>185</v>
      </c>
      <c r="B27" s="4" t="s">
        <v>1144</v>
      </c>
      <c r="C27" s="1" t="s">
        <v>1145</v>
      </c>
      <c r="D27" s="3" t="s">
        <v>1146</v>
      </c>
      <c r="E27" s="1" t="s">
        <v>30</v>
      </c>
      <c r="F27" s="5">
        <v>13780.0</v>
      </c>
      <c r="G27" s="1" t="s">
        <v>31</v>
      </c>
      <c r="H27" s="3" t="s">
        <v>32</v>
      </c>
      <c r="I27" s="1">
        <v>-6.3264194</v>
      </c>
      <c r="J27" s="3">
        <v>106.8531804</v>
      </c>
      <c r="K27" s="6" t="s">
        <v>1147</v>
      </c>
      <c r="L27" s="11" t="str">
        <f t="shared" si="1"/>
        <v/>
      </c>
      <c r="Z27" s="2" t="s">
        <v>34</v>
      </c>
    </row>
    <row r="28">
      <c r="A28" s="3" t="s">
        <v>1095</v>
      </c>
      <c r="B28" s="3" t="s">
        <v>1148</v>
      </c>
      <c r="C28" s="1" t="s">
        <v>1149</v>
      </c>
      <c r="D28" s="3" t="s">
        <v>1150</v>
      </c>
      <c r="E28" s="1" t="s">
        <v>30</v>
      </c>
      <c r="F28" s="5">
        <v>13790.0</v>
      </c>
      <c r="G28" s="1" t="s">
        <v>31</v>
      </c>
      <c r="H28" s="3" t="s">
        <v>32</v>
      </c>
      <c r="I28" s="1">
        <v>-6.3396586</v>
      </c>
      <c r="J28" s="3">
        <v>106.8510992</v>
      </c>
      <c r="K28" s="6" t="s">
        <v>1151</v>
      </c>
      <c r="L28" s="11">
        <f t="shared" si="1"/>
        <v>15909090.91</v>
      </c>
      <c r="M28" s="11">
        <f>700000000/44</f>
        <v>15909090.91</v>
      </c>
      <c r="Z28" s="8" t="s">
        <v>1152</v>
      </c>
    </row>
    <row r="29">
      <c r="A29" s="3" t="s">
        <v>185</v>
      </c>
      <c r="B29" s="4" t="s">
        <v>1153</v>
      </c>
      <c r="C29" s="1" t="s">
        <v>1154</v>
      </c>
      <c r="D29" s="3" t="s">
        <v>1155</v>
      </c>
      <c r="E29" s="1" t="s">
        <v>30</v>
      </c>
      <c r="F29" s="5">
        <v>13790.0</v>
      </c>
      <c r="G29" s="1" t="s">
        <v>31</v>
      </c>
      <c r="H29" s="9">
        <v>8.13E10</v>
      </c>
      <c r="I29" s="1">
        <v>-6.3351761</v>
      </c>
      <c r="J29" s="3">
        <v>106.8604409</v>
      </c>
      <c r="K29" s="6" t="s">
        <v>1156</v>
      </c>
      <c r="L29" s="11">
        <f t="shared" si="1"/>
        <v>21052631.58</v>
      </c>
      <c r="M29" s="11">
        <f>1600000000/76</f>
        <v>21052631.58</v>
      </c>
      <c r="Z29" s="8" t="s">
        <v>1157</v>
      </c>
    </row>
    <row r="30">
      <c r="A30" s="3" t="s">
        <v>1095</v>
      </c>
      <c r="B30" s="3" t="s">
        <v>1158</v>
      </c>
      <c r="C30" s="1" t="s">
        <v>1159</v>
      </c>
      <c r="D30" s="3" t="s">
        <v>1160</v>
      </c>
      <c r="E30" s="1" t="s">
        <v>30</v>
      </c>
      <c r="F30" s="5">
        <v>13230.0</v>
      </c>
      <c r="G30" s="1" t="s">
        <v>31</v>
      </c>
      <c r="H30" s="3" t="s">
        <v>32</v>
      </c>
      <c r="I30" s="1">
        <v>-6.2092435</v>
      </c>
      <c r="J30" s="3">
        <v>106.8825536</v>
      </c>
      <c r="K30" s="6" t="s">
        <v>1161</v>
      </c>
      <c r="L30" s="11">
        <f t="shared" si="1"/>
        <v>28888888.89</v>
      </c>
      <c r="M30" s="11">
        <f>2600000000/90</f>
        <v>28888888.89</v>
      </c>
      <c r="Z30" s="8" t="s">
        <v>1162</v>
      </c>
    </row>
    <row r="31">
      <c r="A31" s="3" t="s">
        <v>351</v>
      </c>
      <c r="B31" s="4" t="s">
        <v>1163</v>
      </c>
      <c r="C31" s="1" t="s">
        <v>1164</v>
      </c>
      <c r="D31" s="3" t="s">
        <v>1165</v>
      </c>
      <c r="E31" s="1" t="s">
        <v>30</v>
      </c>
      <c r="F31" s="5">
        <v>13790.0</v>
      </c>
      <c r="G31" s="1" t="s">
        <v>31</v>
      </c>
      <c r="H31" s="3" t="s">
        <v>32</v>
      </c>
      <c r="I31" s="1">
        <v>-6.336583</v>
      </c>
      <c r="J31" s="3">
        <v>106.842408</v>
      </c>
      <c r="K31" s="6" t="s">
        <v>1166</v>
      </c>
      <c r="L31" s="11" t="str">
        <f t="shared" si="1"/>
        <v/>
      </c>
      <c r="Z31" s="2" t="s">
        <v>34</v>
      </c>
    </row>
    <row r="32">
      <c r="A32" s="3" t="s">
        <v>48</v>
      </c>
      <c r="B32" s="4" t="s">
        <v>1167</v>
      </c>
      <c r="C32" s="1" t="s">
        <v>1168</v>
      </c>
      <c r="D32" s="3" t="s">
        <v>1169</v>
      </c>
      <c r="E32" s="1" t="s">
        <v>30</v>
      </c>
      <c r="F32" s="5">
        <v>13910.0</v>
      </c>
      <c r="G32" s="1" t="s">
        <v>31</v>
      </c>
      <c r="H32" s="3" t="s">
        <v>32</v>
      </c>
      <c r="I32" s="1">
        <v>-6.1710911</v>
      </c>
      <c r="J32" s="3">
        <v>106.9432704</v>
      </c>
      <c r="K32" s="6" t="s">
        <v>1170</v>
      </c>
      <c r="L32" s="11">
        <f t="shared" si="1"/>
        <v>19642857.14</v>
      </c>
      <c r="M32" s="11">
        <f>2200000000/112</f>
        <v>19642857.14</v>
      </c>
      <c r="Z32" s="8" t="s">
        <v>1171</v>
      </c>
    </row>
    <row r="33">
      <c r="A33" s="3" t="s">
        <v>48</v>
      </c>
      <c r="B33" s="4" t="s">
        <v>1172</v>
      </c>
      <c r="C33" s="1" t="s">
        <v>1173</v>
      </c>
      <c r="D33" s="3" t="s">
        <v>1174</v>
      </c>
      <c r="E33" s="1" t="s">
        <v>30</v>
      </c>
      <c r="F33" s="5">
        <v>13910.0</v>
      </c>
      <c r="G33" s="1" t="s">
        <v>31</v>
      </c>
      <c r="H33" s="3" t="s">
        <v>32</v>
      </c>
      <c r="I33" s="1">
        <v>-6.1698052</v>
      </c>
      <c r="J33" s="3">
        <v>106.9609447</v>
      </c>
      <c r="K33" s="6" t="s">
        <v>1175</v>
      </c>
      <c r="L33" s="11">
        <f t="shared" si="1"/>
        <v>28571428.57</v>
      </c>
      <c r="M33" s="11">
        <f>2800000000/98</f>
        <v>28571428.57</v>
      </c>
      <c r="Z33" s="8" t="s">
        <v>1176</v>
      </c>
    </row>
    <row r="34">
      <c r="A34" s="3" t="s">
        <v>48</v>
      </c>
      <c r="B34" s="4" t="s">
        <v>1177</v>
      </c>
      <c r="C34" s="1" t="s">
        <v>1178</v>
      </c>
      <c r="D34" s="3" t="s">
        <v>1179</v>
      </c>
      <c r="E34" s="1" t="s">
        <v>30</v>
      </c>
      <c r="F34" s="5">
        <v>13930.0</v>
      </c>
      <c r="G34" s="1" t="s">
        <v>31</v>
      </c>
      <c r="H34" s="3" t="s">
        <v>32</v>
      </c>
      <c r="I34" s="1">
        <v>-6.2042597</v>
      </c>
      <c r="J34" s="3">
        <v>106.9050676</v>
      </c>
      <c r="K34" s="6" t="s">
        <v>1180</v>
      </c>
      <c r="L34" s="11" t="str">
        <f t="shared" si="1"/>
        <v/>
      </c>
      <c r="Z34" s="2" t="s">
        <v>34</v>
      </c>
    </row>
    <row r="35">
      <c r="A35" s="3" t="s">
        <v>48</v>
      </c>
      <c r="B35" s="4" t="s">
        <v>1181</v>
      </c>
      <c r="C35" s="1" t="s">
        <v>1182</v>
      </c>
      <c r="D35" s="3" t="s">
        <v>1183</v>
      </c>
      <c r="E35" s="1" t="s">
        <v>30</v>
      </c>
      <c r="F35" s="5">
        <v>13930.0</v>
      </c>
      <c r="G35" s="1" t="s">
        <v>31</v>
      </c>
      <c r="H35" s="3" t="s">
        <v>32</v>
      </c>
      <c r="I35" s="1">
        <v>-6.2040828</v>
      </c>
      <c r="J35" s="3">
        <v>106.9069179</v>
      </c>
      <c r="K35" s="6" t="s">
        <v>1184</v>
      </c>
      <c r="L35" s="11" t="str">
        <f t="shared" si="1"/>
        <v/>
      </c>
      <c r="Z35" s="2" t="s">
        <v>34</v>
      </c>
    </row>
    <row r="36">
      <c r="A36" s="3" t="s">
        <v>48</v>
      </c>
      <c r="B36" s="3" t="s">
        <v>1185</v>
      </c>
      <c r="C36" s="1" t="s">
        <v>1186</v>
      </c>
      <c r="D36" s="3" t="s">
        <v>1187</v>
      </c>
      <c r="E36" s="1" t="s">
        <v>30</v>
      </c>
      <c r="F36" s="5">
        <v>13930.0</v>
      </c>
      <c r="G36" s="1" t="s">
        <v>31</v>
      </c>
      <c r="H36" s="3" t="s">
        <v>32</v>
      </c>
      <c r="I36" s="1">
        <v>-6.2004461</v>
      </c>
      <c r="J36" s="3">
        <v>106.9254066</v>
      </c>
      <c r="K36" s="6" t="s">
        <v>1188</v>
      </c>
      <c r="L36" s="11">
        <f t="shared" si="1"/>
        <v>26000000</v>
      </c>
      <c r="M36" s="11">
        <f>2600000000/100</f>
        <v>26000000</v>
      </c>
      <c r="Z36" s="8" t="s">
        <v>1189</v>
      </c>
    </row>
    <row r="37">
      <c r="A37" s="3" t="s">
        <v>48</v>
      </c>
      <c r="B37" s="4" t="s">
        <v>1190</v>
      </c>
      <c r="C37" s="1" t="s">
        <v>1191</v>
      </c>
      <c r="D37" s="3" t="s">
        <v>1192</v>
      </c>
      <c r="E37" s="1" t="s">
        <v>30</v>
      </c>
      <c r="F37" s="5">
        <v>13940.0</v>
      </c>
      <c r="G37" s="1" t="s">
        <v>31</v>
      </c>
      <c r="H37" s="3" t="s">
        <v>32</v>
      </c>
      <c r="I37" s="1">
        <v>-6.1938237</v>
      </c>
      <c r="J37" s="3">
        <v>106.9398516</v>
      </c>
      <c r="K37" s="6" t="s">
        <v>1193</v>
      </c>
      <c r="L37" s="11">
        <f t="shared" si="1"/>
        <v>6631250</v>
      </c>
      <c r="M37" s="11">
        <f>954900000/144</f>
        <v>6631250</v>
      </c>
      <c r="Z37" s="8" t="s">
        <v>1194</v>
      </c>
    </row>
    <row r="38">
      <c r="A38" s="3" t="s">
        <v>48</v>
      </c>
      <c r="B38" s="4" t="s">
        <v>1195</v>
      </c>
      <c r="C38" s="1" t="s">
        <v>1196</v>
      </c>
      <c r="D38" s="3" t="s">
        <v>1197</v>
      </c>
      <c r="E38" s="1" t="s">
        <v>30</v>
      </c>
      <c r="F38" s="5">
        <v>13960.0</v>
      </c>
      <c r="G38" s="1" t="s">
        <v>31</v>
      </c>
      <c r="H38" s="9">
        <v>8.11E9</v>
      </c>
      <c r="I38" s="1">
        <v>-6.1956179</v>
      </c>
      <c r="J38" s="3">
        <v>106.9569314</v>
      </c>
      <c r="K38" s="6" t="s">
        <v>1198</v>
      </c>
      <c r="L38" s="11">
        <f t="shared" si="1"/>
        <v>27500000</v>
      </c>
      <c r="M38" s="11">
        <f>6500000000/220</f>
        <v>29545454.55</v>
      </c>
      <c r="N38" s="11">
        <f>3200000000/180</f>
        <v>17777777.78</v>
      </c>
      <c r="O38" s="11">
        <f>5500000000/200</f>
        <v>27500000</v>
      </c>
      <c r="Z38" s="8" t="s">
        <v>1199</v>
      </c>
    </row>
    <row r="39">
      <c r="A39" s="3" t="s">
        <v>48</v>
      </c>
      <c r="B39" s="4" t="s">
        <v>1200</v>
      </c>
      <c r="C39" s="1" t="s">
        <v>1201</v>
      </c>
      <c r="D39" s="3" t="s">
        <v>1202</v>
      </c>
      <c r="E39" s="1" t="s">
        <v>30</v>
      </c>
      <c r="F39" s="5">
        <v>13960.0</v>
      </c>
      <c r="G39" s="1" t="s">
        <v>31</v>
      </c>
      <c r="H39" s="3" t="s">
        <v>32</v>
      </c>
      <c r="I39" s="1">
        <v>-6.1773661</v>
      </c>
      <c r="J39" s="3">
        <v>106.9645108</v>
      </c>
      <c r="K39" s="6" t="s">
        <v>1203</v>
      </c>
      <c r="L39" s="11">
        <f t="shared" si="1"/>
        <v>18750000</v>
      </c>
      <c r="M39" s="11">
        <f>1800000000/96</f>
        <v>18750000</v>
      </c>
      <c r="Z39" s="8" t="s">
        <v>1204</v>
      </c>
    </row>
    <row r="40">
      <c r="A40" s="3" t="s">
        <v>48</v>
      </c>
      <c r="B40" s="4" t="s">
        <v>1205</v>
      </c>
      <c r="C40" s="1" t="s">
        <v>1206</v>
      </c>
      <c r="D40" s="3" t="s">
        <v>1207</v>
      </c>
      <c r="E40" s="1" t="s">
        <v>30</v>
      </c>
      <c r="F40" s="5">
        <v>13950.0</v>
      </c>
      <c r="G40" s="1" t="s">
        <v>31</v>
      </c>
      <c r="H40" s="3" t="s">
        <v>32</v>
      </c>
      <c r="I40" s="1">
        <v>-6.2009088</v>
      </c>
      <c r="J40" s="3">
        <v>106.9585408</v>
      </c>
      <c r="K40" s="6" t="s">
        <v>1208</v>
      </c>
      <c r="L40" s="11">
        <f t="shared" si="1"/>
        <v>11224489.8</v>
      </c>
      <c r="M40" s="11">
        <f>550000000/49</f>
        <v>11224489.8</v>
      </c>
      <c r="Z40" s="8" t="s">
        <v>1209</v>
      </c>
    </row>
    <row r="41">
      <c r="A41" s="3" t="s">
        <v>48</v>
      </c>
      <c r="B41" s="4" t="s">
        <v>1210</v>
      </c>
      <c r="C41" s="1" t="s">
        <v>1211</v>
      </c>
      <c r="D41" s="3" t="s">
        <v>1212</v>
      </c>
      <c r="E41" s="1" t="s">
        <v>30</v>
      </c>
      <c r="F41" s="5">
        <v>13960.0</v>
      </c>
      <c r="G41" s="1" t="s">
        <v>31</v>
      </c>
      <c r="H41" s="3" t="s">
        <v>32</v>
      </c>
      <c r="I41" s="1">
        <v>-6.1907055</v>
      </c>
      <c r="J41" s="3">
        <v>106.9568491</v>
      </c>
      <c r="K41" s="6" t="s">
        <v>1213</v>
      </c>
      <c r="L41" s="11">
        <f t="shared" si="1"/>
        <v>19108280.25</v>
      </c>
      <c r="M41" s="11">
        <f>3000000000/157</f>
        <v>19108280.25</v>
      </c>
      <c r="Z41" s="8" t="s">
        <v>1214</v>
      </c>
    </row>
    <row r="42">
      <c r="A42" s="3" t="s">
        <v>48</v>
      </c>
      <c r="B42" s="4" t="s">
        <v>1215</v>
      </c>
      <c r="C42" s="1" t="s">
        <v>1216</v>
      </c>
      <c r="D42" s="3" t="s">
        <v>1217</v>
      </c>
      <c r="E42" s="1" t="s">
        <v>30</v>
      </c>
      <c r="F42" s="5">
        <v>13960.0</v>
      </c>
      <c r="G42" s="1" t="s">
        <v>31</v>
      </c>
      <c r="H42" s="3" t="s">
        <v>32</v>
      </c>
      <c r="I42" s="1">
        <v>-6.1947218</v>
      </c>
      <c r="J42" s="3">
        <v>106.9604533</v>
      </c>
      <c r="K42" s="6" t="s">
        <v>1218</v>
      </c>
      <c r="L42" s="11">
        <f t="shared" si="1"/>
        <v>29545454.55</v>
      </c>
      <c r="M42" s="11">
        <f>6500000000/220</f>
        <v>29545454.55</v>
      </c>
      <c r="Z42" s="8" t="s">
        <v>1199</v>
      </c>
    </row>
    <row r="43">
      <c r="A43" s="3" t="s">
        <v>48</v>
      </c>
      <c r="B43" s="4" t="s">
        <v>1219</v>
      </c>
      <c r="C43" s="1" t="s">
        <v>1220</v>
      </c>
      <c r="D43" s="3" t="s">
        <v>1221</v>
      </c>
      <c r="E43" s="1" t="s">
        <v>30</v>
      </c>
      <c r="F43" s="5">
        <v>13810.0</v>
      </c>
      <c r="G43" s="1" t="s">
        <v>31</v>
      </c>
      <c r="H43" s="3" t="s">
        <v>32</v>
      </c>
      <c r="I43" s="1">
        <v>-6.2920861</v>
      </c>
      <c r="J43" s="3">
        <v>106.9040155</v>
      </c>
      <c r="K43" s="6" t="s">
        <v>1222</v>
      </c>
      <c r="L43" s="11">
        <f t="shared" si="1"/>
        <v>18181818.18</v>
      </c>
      <c r="M43" s="11">
        <f>2000000000/110</f>
        <v>18181818.18</v>
      </c>
      <c r="Z43" s="8" t="s">
        <v>1223</v>
      </c>
    </row>
    <row r="44">
      <c r="A44" s="3" t="s">
        <v>48</v>
      </c>
      <c r="B44" s="4" t="s">
        <v>1224</v>
      </c>
      <c r="C44" s="1" t="s">
        <v>1225</v>
      </c>
      <c r="D44" s="3" t="s">
        <v>1226</v>
      </c>
      <c r="E44" s="1" t="s">
        <v>30</v>
      </c>
      <c r="F44" s="5">
        <v>13810.0</v>
      </c>
      <c r="G44" s="1" t="s">
        <v>31</v>
      </c>
      <c r="H44" s="3" t="s">
        <v>32</v>
      </c>
      <c r="I44" s="1">
        <v>-6.2948041</v>
      </c>
      <c r="J44" s="3">
        <v>106.9011818</v>
      </c>
      <c r="K44" s="6" t="s">
        <v>1227</v>
      </c>
      <c r="L44" s="11">
        <f t="shared" si="1"/>
        <v>17045454.55</v>
      </c>
      <c r="M44" s="11">
        <f>1500000000/88</f>
        <v>17045454.55</v>
      </c>
      <c r="Z44" s="8" t="s">
        <v>1228</v>
      </c>
    </row>
    <row r="45">
      <c r="A45" s="3" t="s">
        <v>48</v>
      </c>
      <c r="B45" s="4" t="s">
        <v>1229</v>
      </c>
      <c r="C45" s="1" t="s">
        <v>1230</v>
      </c>
      <c r="D45" s="3" t="s">
        <v>1231</v>
      </c>
      <c r="E45" s="1" t="s">
        <v>30</v>
      </c>
      <c r="F45" s="5">
        <v>13810.0</v>
      </c>
      <c r="G45" s="1" t="s">
        <v>31</v>
      </c>
      <c r="H45" s="3" t="s">
        <v>32</v>
      </c>
      <c r="I45" s="1">
        <v>-6.2976304</v>
      </c>
      <c r="J45" s="3">
        <v>106.9005258</v>
      </c>
      <c r="K45" s="6" t="s">
        <v>1232</v>
      </c>
      <c r="L45" s="11">
        <f t="shared" si="1"/>
        <v>21969696.97</v>
      </c>
      <c r="M45" s="11">
        <f>1450000000/66</f>
        <v>21969696.97</v>
      </c>
      <c r="Z45" s="8" t="s">
        <v>1233</v>
      </c>
    </row>
    <row r="46">
      <c r="A46" s="3" t="s">
        <v>48</v>
      </c>
      <c r="B46" s="4" t="s">
        <v>1234</v>
      </c>
      <c r="C46" s="1" t="s">
        <v>1235</v>
      </c>
      <c r="D46" s="3" t="s">
        <v>1236</v>
      </c>
      <c r="E46" s="1" t="s">
        <v>30</v>
      </c>
      <c r="F46" s="5">
        <v>13810.0</v>
      </c>
      <c r="G46" s="1" t="s">
        <v>31</v>
      </c>
      <c r="H46" s="3" t="s">
        <v>32</v>
      </c>
      <c r="I46" s="1">
        <v>-6.2937952</v>
      </c>
      <c r="J46" s="3">
        <v>106.9063567</v>
      </c>
      <c r="K46" s="6" t="s">
        <v>1237</v>
      </c>
      <c r="L46" s="11" t="str">
        <f t="shared" si="1"/>
        <v/>
      </c>
      <c r="Z46" s="2" t="s">
        <v>34</v>
      </c>
    </row>
    <row r="47">
      <c r="A47" s="3" t="s">
        <v>48</v>
      </c>
      <c r="B47" s="4" t="s">
        <v>1238</v>
      </c>
      <c r="C47" s="1" t="s">
        <v>1239</v>
      </c>
      <c r="D47" s="3" t="s">
        <v>1240</v>
      </c>
      <c r="E47" s="1" t="s">
        <v>30</v>
      </c>
      <c r="F47" s="5">
        <v>13810.0</v>
      </c>
      <c r="G47" s="1" t="s">
        <v>31</v>
      </c>
      <c r="H47" s="3" t="s">
        <v>32</v>
      </c>
      <c r="I47" s="1">
        <v>-6.2854389</v>
      </c>
      <c r="J47" s="3">
        <v>106.9019036</v>
      </c>
      <c r="K47" s="6" t="s">
        <v>1241</v>
      </c>
      <c r="L47" s="11" t="str">
        <f t="shared" si="1"/>
        <v/>
      </c>
      <c r="Z47" s="2" t="s">
        <v>34</v>
      </c>
    </row>
    <row r="48">
      <c r="A48" s="3" t="s">
        <v>48</v>
      </c>
      <c r="B48" s="4" t="s">
        <v>1242</v>
      </c>
      <c r="C48" s="1" t="s">
        <v>1243</v>
      </c>
      <c r="D48" s="3" t="s">
        <v>1244</v>
      </c>
      <c r="E48" s="1" t="s">
        <v>30</v>
      </c>
      <c r="F48" s="5">
        <v>13820.0</v>
      </c>
      <c r="G48" s="1" t="s">
        <v>31</v>
      </c>
      <c r="H48" s="3" t="s">
        <v>32</v>
      </c>
      <c r="I48" s="1">
        <v>-6.3149069</v>
      </c>
      <c r="J48" s="3">
        <v>106.8941781</v>
      </c>
      <c r="K48" s="6" t="s">
        <v>1245</v>
      </c>
      <c r="L48" s="11">
        <f t="shared" si="1"/>
        <v>28810408.92</v>
      </c>
      <c r="M48" s="11">
        <f>15500000000/538</f>
        <v>28810408.92</v>
      </c>
      <c r="Z48" s="8" t="s">
        <v>1246</v>
      </c>
    </row>
    <row r="49">
      <c r="A49" s="3" t="s">
        <v>48</v>
      </c>
      <c r="B49" s="4" t="s">
        <v>1247</v>
      </c>
      <c r="C49" s="1" t="s">
        <v>1248</v>
      </c>
      <c r="D49" s="3" t="s">
        <v>1249</v>
      </c>
      <c r="E49" s="1" t="s">
        <v>30</v>
      </c>
      <c r="F49" s="5">
        <v>13820.0</v>
      </c>
      <c r="G49" s="1" t="s">
        <v>31</v>
      </c>
      <c r="H49" s="9">
        <v>8.23E10</v>
      </c>
      <c r="I49" s="1">
        <v>-6.3172727</v>
      </c>
      <c r="J49" s="3">
        <v>106.8893072</v>
      </c>
      <c r="K49" s="6" t="s">
        <v>1250</v>
      </c>
      <c r="L49" s="11">
        <f t="shared" si="1"/>
        <v>12754629.63</v>
      </c>
      <c r="M49" s="11">
        <f>2450000000/105</f>
        <v>23333333.33</v>
      </c>
      <c r="N49" s="11">
        <f>235000000/108</f>
        <v>2175925.926</v>
      </c>
      <c r="Z49" s="8" t="s">
        <v>1251</v>
      </c>
    </row>
    <row r="50">
      <c r="A50" s="3" t="s">
        <v>48</v>
      </c>
      <c r="B50" s="4" t="s">
        <v>1252</v>
      </c>
      <c r="C50" s="1" t="s">
        <v>1253</v>
      </c>
      <c r="D50" s="3" t="s">
        <v>1254</v>
      </c>
      <c r="E50" s="1" t="s">
        <v>30</v>
      </c>
      <c r="F50" s="3" t="s">
        <v>32</v>
      </c>
      <c r="G50" s="1" t="s">
        <v>31</v>
      </c>
      <c r="H50" s="3" t="s">
        <v>32</v>
      </c>
      <c r="I50" s="1">
        <v>-6.3227219</v>
      </c>
      <c r="J50" s="3">
        <v>106.9055849</v>
      </c>
      <c r="K50" s="6" t="s">
        <v>1255</v>
      </c>
      <c r="L50" s="11" t="str">
        <f t="shared" si="1"/>
        <v/>
      </c>
      <c r="Z50" s="2" t="s">
        <v>34</v>
      </c>
    </row>
    <row r="51">
      <c r="A51" s="3" t="s">
        <v>48</v>
      </c>
      <c r="B51" s="4" t="s">
        <v>1256</v>
      </c>
      <c r="C51" s="1" t="s">
        <v>1257</v>
      </c>
      <c r="D51" s="3" t="s">
        <v>1258</v>
      </c>
      <c r="E51" s="1" t="s">
        <v>30</v>
      </c>
      <c r="F51" s="5">
        <v>13820.0</v>
      </c>
      <c r="G51" s="1" t="s">
        <v>31</v>
      </c>
      <c r="H51" s="3" t="s">
        <v>32</v>
      </c>
      <c r="I51" s="1">
        <v>-6.3129559</v>
      </c>
      <c r="J51" s="3">
        <v>106.892355</v>
      </c>
      <c r="K51" s="6" t="s">
        <v>1259</v>
      </c>
      <c r="L51" s="11" t="str">
        <f t="shared" si="1"/>
        <v/>
      </c>
      <c r="Z51" s="2" t="s">
        <v>34</v>
      </c>
    </row>
    <row r="52">
      <c r="A52" s="3" t="s">
        <v>48</v>
      </c>
      <c r="B52" s="4" t="s">
        <v>1260</v>
      </c>
      <c r="C52" s="1" t="s">
        <v>1261</v>
      </c>
      <c r="D52" s="3" t="s">
        <v>1262</v>
      </c>
      <c r="E52" s="1" t="s">
        <v>30</v>
      </c>
      <c r="F52" s="5">
        <v>13820.0</v>
      </c>
      <c r="G52" s="1" t="s">
        <v>31</v>
      </c>
      <c r="H52" s="3" t="s">
        <v>32</v>
      </c>
      <c r="I52" s="1">
        <v>-6.3090051</v>
      </c>
      <c r="J52" s="3">
        <v>106.88559</v>
      </c>
      <c r="K52" s="6" t="s">
        <v>1263</v>
      </c>
      <c r="L52" s="11">
        <f t="shared" si="1"/>
        <v>16666666.67</v>
      </c>
      <c r="M52" s="11">
        <f>400000000/24</f>
        <v>16666666.67</v>
      </c>
      <c r="Z52" s="8" t="s">
        <v>1264</v>
      </c>
    </row>
    <row r="53">
      <c r="A53" s="3" t="s">
        <v>48</v>
      </c>
      <c r="B53" s="4" t="s">
        <v>1265</v>
      </c>
      <c r="C53" s="1" t="s">
        <v>1266</v>
      </c>
      <c r="D53" s="3" t="s">
        <v>1267</v>
      </c>
      <c r="E53" s="1" t="s">
        <v>30</v>
      </c>
      <c r="F53" s="5">
        <v>13820.0</v>
      </c>
      <c r="G53" s="1" t="s">
        <v>31</v>
      </c>
      <c r="H53" s="3" t="s">
        <v>32</v>
      </c>
      <c r="I53" s="1">
        <v>-6.3146549</v>
      </c>
      <c r="J53" s="3">
        <v>106.891715</v>
      </c>
      <c r="K53" s="6" t="s">
        <v>1268</v>
      </c>
      <c r="L53" s="11" t="str">
        <f t="shared" si="1"/>
        <v/>
      </c>
      <c r="Z53" s="2" t="s">
        <v>34</v>
      </c>
    </row>
    <row r="54">
      <c r="A54" s="3" t="s">
        <v>48</v>
      </c>
      <c r="B54" s="4" t="s">
        <v>1269</v>
      </c>
      <c r="C54" s="1" t="s">
        <v>1270</v>
      </c>
      <c r="D54" s="3" t="s">
        <v>1271</v>
      </c>
      <c r="E54" s="1" t="s">
        <v>30</v>
      </c>
      <c r="F54" s="5">
        <v>13820.0</v>
      </c>
      <c r="G54" s="1" t="s">
        <v>31</v>
      </c>
      <c r="H54" s="3" t="s">
        <v>32</v>
      </c>
      <c r="I54" s="1">
        <v>-6.3107336</v>
      </c>
      <c r="J54" s="3">
        <v>106.8860304</v>
      </c>
      <c r="K54" s="6" t="s">
        <v>1272</v>
      </c>
      <c r="L54" s="11">
        <f t="shared" si="1"/>
        <v>10243339.25</v>
      </c>
      <c r="M54" s="11">
        <f>5767000000/563</f>
        <v>10243339.25</v>
      </c>
      <c r="Z54" s="8" t="s">
        <v>1273</v>
      </c>
    </row>
    <row r="55">
      <c r="A55" s="3" t="s">
        <v>48</v>
      </c>
      <c r="B55" s="4" t="s">
        <v>1274</v>
      </c>
      <c r="C55" s="1" t="s">
        <v>1275</v>
      </c>
      <c r="D55" s="3" t="s">
        <v>1276</v>
      </c>
      <c r="E55" s="1" t="s">
        <v>30</v>
      </c>
      <c r="F55" s="5">
        <v>13840.0</v>
      </c>
      <c r="G55" s="1" t="s">
        <v>31</v>
      </c>
      <c r="H55" s="3" t="s">
        <v>32</v>
      </c>
      <c r="I55" s="1">
        <v>-6.3334062</v>
      </c>
      <c r="J55" s="3">
        <v>106.8969341</v>
      </c>
      <c r="K55" s="6" t="s">
        <v>1277</v>
      </c>
      <c r="L55" s="11">
        <f t="shared" si="1"/>
        <v>13636363.64</v>
      </c>
      <c r="M55" s="11">
        <f>1650000000/121</f>
        <v>13636363.64</v>
      </c>
      <c r="Z55" s="8" t="s">
        <v>1278</v>
      </c>
    </row>
    <row r="56">
      <c r="A56" s="3" t="s">
        <v>48</v>
      </c>
      <c r="B56" s="4" t="s">
        <v>1279</v>
      </c>
      <c r="C56" s="1" t="s">
        <v>1280</v>
      </c>
      <c r="D56" s="3" t="s">
        <v>1281</v>
      </c>
      <c r="E56" s="1" t="s">
        <v>30</v>
      </c>
      <c r="F56" s="5">
        <v>13840.0</v>
      </c>
      <c r="G56" s="1" t="s">
        <v>31</v>
      </c>
      <c r="H56" s="9">
        <v>8.12E10</v>
      </c>
      <c r="I56" s="1">
        <v>-6.3226795</v>
      </c>
      <c r="J56" s="3">
        <v>106.9027491</v>
      </c>
      <c r="K56" s="6" t="s">
        <v>1282</v>
      </c>
      <c r="L56" s="11">
        <f t="shared" si="1"/>
        <v>17994310.1</v>
      </c>
      <c r="M56" s="11">
        <f>1400000000/76</f>
        <v>18421052.63</v>
      </c>
      <c r="N56" s="11">
        <f>1300000000/74</f>
        <v>17567567.57</v>
      </c>
      <c r="Z56" s="8" t="s">
        <v>1283</v>
      </c>
    </row>
    <row r="57">
      <c r="A57" s="3" t="s">
        <v>48</v>
      </c>
      <c r="B57" s="4" t="s">
        <v>1284</v>
      </c>
      <c r="C57" s="1" t="s">
        <v>1285</v>
      </c>
      <c r="D57" s="3" t="s">
        <v>1286</v>
      </c>
      <c r="E57" s="1" t="s">
        <v>30</v>
      </c>
      <c r="F57" s="5">
        <v>13840.0</v>
      </c>
      <c r="G57" s="1" t="s">
        <v>31</v>
      </c>
      <c r="H57" s="3" t="s">
        <v>32</v>
      </c>
      <c r="I57" s="1">
        <v>-6.329959</v>
      </c>
      <c r="J57" s="3">
        <v>106.895429</v>
      </c>
      <c r="K57" s="6" t="s">
        <v>1287</v>
      </c>
      <c r="L57" s="11">
        <f t="shared" si="1"/>
        <v>12500000</v>
      </c>
      <c r="M57" s="11">
        <f>1200000000/96</f>
        <v>12500000</v>
      </c>
      <c r="Z57" s="8" t="s">
        <v>1288</v>
      </c>
    </row>
    <row r="58">
      <c r="A58" s="3" t="s">
        <v>48</v>
      </c>
      <c r="B58" s="4" t="s">
        <v>1289</v>
      </c>
      <c r="C58" s="1" t="s">
        <v>1290</v>
      </c>
      <c r="D58" s="3" t="s">
        <v>1291</v>
      </c>
      <c r="E58" s="1" t="s">
        <v>30</v>
      </c>
      <c r="F58" s="5">
        <v>13840.0</v>
      </c>
      <c r="G58" s="1" t="s">
        <v>31</v>
      </c>
      <c r="H58" s="3" t="s">
        <v>32</v>
      </c>
      <c r="I58" s="1">
        <v>-6.3316523</v>
      </c>
      <c r="J58" s="3">
        <v>106.8881518</v>
      </c>
      <c r="K58" s="6" t="s">
        <v>1292</v>
      </c>
      <c r="L58" s="11">
        <f t="shared" si="1"/>
        <v>22368421.05</v>
      </c>
      <c r="M58" s="11">
        <f>1700000000/76</f>
        <v>22368421.05</v>
      </c>
      <c r="Z58" s="13" t="s">
        <v>1293</v>
      </c>
    </row>
    <row r="59">
      <c r="A59" s="3" t="s">
        <v>48</v>
      </c>
      <c r="B59" s="4" t="s">
        <v>1294</v>
      </c>
      <c r="C59" s="1" t="s">
        <v>1295</v>
      </c>
      <c r="D59" s="3" t="s">
        <v>1296</v>
      </c>
      <c r="E59" s="1" t="s">
        <v>30</v>
      </c>
      <c r="F59" s="5">
        <v>13840.0</v>
      </c>
      <c r="G59" s="1" t="s">
        <v>31</v>
      </c>
      <c r="H59" s="9">
        <v>8.12E8</v>
      </c>
      <c r="I59" s="1">
        <v>-6.3269381</v>
      </c>
      <c r="J59" s="3">
        <v>106.8881625</v>
      </c>
      <c r="K59" s="6" t="s">
        <v>1297</v>
      </c>
      <c r="L59" s="11">
        <f t="shared" si="1"/>
        <v>19780219.78</v>
      </c>
      <c r="M59" s="11">
        <f>9000000000/455</f>
        <v>19780219.78</v>
      </c>
      <c r="Z59" s="8" t="s">
        <v>1298</v>
      </c>
    </row>
    <row r="60">
      <c r="A60" s="3" t="s">
        <v>48</v>
      </c>
      <c r="B60" s="4" t="s">
        <v>1299</v>
      </c>
      <c r="C60" s="1" t="s">
        <v>1300</v>
      </c>
      <c r="D60" s="3" t="s">
        <v>1301</v>
      </c>
      <c r="E60" s="1" t="s">
        <v>30</v>
      </c>
      <c r="F60" s="5">
        <v>13840.0</v>
      </c>
      <c r="G60" s="1" t="s">
        <v>31</v>
      </c>
      <c r="H60" s="9">
        <v>2.18E8</v>
      </c>
      <c r="I60" s="1">
        <v>-6.3275512</v>
      </c>
      <c r="J60" s="3">
        <v>106.8925309</v>
      </c>
      <c r="K60" s="6" t="s">
        <v>1302</v>
      </c>
      <c r="L60" s="11" t="str">
        <f t="shared" si="1"/>
        <v/>
      </c>
      <c r="Z60" s="2" t="s">
        <v>34</v>
      </c>
    </row>
    <row r="61">
      <c r="A61" s="3" t="s">
        <v>48</v>
      </c>
      <c r="B61" s="4" t="s">
        <v>1303</v>
      </c>
      <c r="C61" s="1" t="s">
        <v>1304</v>
      </c>
      <c r="D61" s="3" t="s">
        <v>1305</v>
      </c>
      <c r="E61" s="1" t="s">
        <v>30</v>
      </c>
      <c r="F61" s="5">
        <v>13850.0</v>
      </c>
      <c r="G61" s="1" t="s">
        <v>31</v>
      </c>
      <c r="H61" s="3" t="s">
        <v>32</v>
      </c>
      <c r="I61" s="1">
        <v>-6.349567</v>
      </c>
      <c r="J61" s="3">
        <v>106.8928209</v>
      </c>
      <c r="K61" s="6" t="s">
        <v>1306</v>
      </c>
      <c r="L61" s="11" t="str">
        <f t="shared" si="1"/>
        <v/>
      </c>
      <c r="Z61" s="2" t="s">
        <v>34</v>
      </c>
    </row>
    <row r="62">
      <c r="A62" s="3" t="s">
        <v>48</v>
      </c>
      <c r="B62" s="4" t="s">
        <v>1307</v>
      </c>
      <c r="C62" s="1" t="s">
        <v>1308</v>
      </c>
      <c r="D62" s="3" t="s">
        <v>1309</v>
      </c>
      <c r="E62" s="1" t="s">
        <v>30</v>
      </c>
      <c r="F62" s="5">
        <v>13850.0</v>
      </c>
      <c r="G62" s="1" t="s">
        <v>31</v>
      </c>
      <c r="H62" s="3" t="s">
        <v>32</v>
      </c>
      <c r="I62" s="1">
        <v>-6.3398957</v>
      </c>
      <c r="J62" s="3">
        <v>106.8933567</v>
      </c>
      <c r="K62" s="6" t="s">
        <v>1310</v>
      </c>
      <c r="L62" s="11">
        <f t="shared" si="1"/>
        <v>9574468.085</v>
      </c>
      <c r="M62" s="11">
        <f>1350000000/141</f>
        <v>9574468.085</v>
      </c>
      <c r="Z62" s="8" t="s">
        <v>1311</v>
      </c>
    </row>
    <row r="63">
      <c r="A63" s="3" t="s">
        <v>48</v>
      </c>
      <c r="B63" s="4" t="s">
        <v>1312</v>
      </c>
      <c r="C63" s="1" t="s">
        <v>1313</v>
      </c>
      <c r="D63" s="3" t="s">
        <v>1314</v>
      </c>
      <c r="E63" s="1" t="s">
        <v>30</v>
      </c>
      <c r="F63" s="5">
        <v>13850.0</v>
      </c>
      <c r="G63" s="1" t="s">
        <v>31</v>
      </c>
      <c r="H63" s="9">
        <v>2.19E8</v>
      </c>
      <c r="I63" s="1">
        <v>-6.347163</v>
      </c>
      <c r="J63" s="3">
        <v>106.900355</v>
      </c>
      <c r="K63" s="6" t="s">
        <v>1315</v>
      </c>
      <c r="L63" s="11">
        <f t="shared" si="1"/>
        <v>22772277.23</v>
      </c>
      <c r="M63" s="11">
        <f>2300000000/101</f>
        <v>22772277.23</v>
      </c>
      <c r="Z63" s="8" t="s">
        <v>1316</v>
      </c>
    </row>
    <row r="64">
      <c r="A64" s="3" t="s">
        <v>48</v>
      </c>
      <c r="B64" s="4" t="s">
        <v>1317</v>
      </c>
      <c r="C64" s="1" t="s">
        <v>1318</v>
      </c>
      <c r="D64" s="3" t="s">
        <v>1319</v>
      </c>
      <c r="E64" s="1" t="s">
        <v>30</v>
      </c>
      <c r="F64" s="5">
        <v>13850.0</v>
      </c>
      <c r="G64" s="1" t="s">
        <v>31</v>
      </c>
      <c r="H64" s="14" t="s">
        <v>32</v>
      </c>
      <c r="I64" s="1">
        <v>-6.3440104</v>
      </c>
      <c r="J64" s="3">
        <v>106.8991932</v>
      </c>
      <c r="K64" s="6" t="s">
        <v>1320</v>
      </c>
      <c r="L64" s="11">
        <f t="shared" si="1"/>
        <v>10416666.67</v>
      </c>
      <c r="M64" s="11">
        <f>875000000/84</f>
        <v>10416666.67</v>
      </c>
      <c r="Z64" s="8" t="s">
        <v>1321</v>
      </c>
    </row>
    <row r="65">
      <c r="A65" s="3" t="s">
        <v>48</v>
      </c>
      <c r="B65" s="4" t="s">
        <v>1322</v>
      </c>
      <c r="C65" s="1" t="s">
        <v>1323</v>
      </c>
      <c r="D65" s="3" t="s">
        <v>1324</v>
      </c>
      <c r="E65" s="1" t="s">
        <v>30</v>
      </c>
      <c r="F65" s="5">
        <v>13850.0</v>
      </c>
      <c r="G65" s="1" t="s">
        <v>31</v>
      </c>
      <c r="H65" s="3" t="s">
        <v>32</v>
      </c>
      <c r="I65" s="1">
        <v>-6.348251</v>
      </c>
      <c r="J65" s="3">
        <v>106.8956312</v>
      </c>
      <c r="K65" s="6" t="s">
        <v>1325</v>
      </c>
      <c r="L65" s="11">
        <f t="shared" si="1"/>
        <v>14655172.41</v>
      </c>
      <c r="M65" s="11">
        <f>850000000/58</f>
        <v>14655172.41</v>
      </c>
      <c r="Z65" s="8" t="s">
        <v>1326</v>
      </c>
    </row>
    <row r="66">
      <c r="A66" s="3" t="s">
        <v>48</v>
      </c>
      <c r="B66" s="4" t="s">
        <v>1105</v>
      </c>
      <c r="C66" s="1" t="s">
        <v>1327</v>
      </c>
      <c r="D66" s="3" t="s">
        <v>1328</v>
      </c>
      <c r="E66" s="1" t="s">
        <v>30</v>
      </c>
      <c r="F66" s="5">
        <v>13860.0</v>
      </c>
      <c r="G66" s="1" t="s">
        <v>31</v>
      </c>
      <c r="H66" s="3" t="s">
        <v>32</v>
      </c>
      <c r="I66" s="1">
        <v>-6.3579569</v>
      </c>
      <c r="J66" s="3">
        <v>106.9064226</v>
      </c>
      <c r="K66" s="6" t="s">
        <v>1329</v>
      </c>
      <c r="L66" s="11">
        <f t="shared" si="1"/>
        <v>11111111.11</v>
      </c>
      <c r="M66" s="11">
        <f>800000000/72</f>
        <v>11111111.11</v>
      </c>
      <c r="Z66" s="8" t="s">
        <v>1330</v>
      </c>
    </row>
    <row r="67">
      <c r="A67" s="3" t="s">
        <v>48</v>
      </c>
      <c r="B67" s="4" t="s">
        <v>1331</v>
      </c>
      <c r="C67" s="1" t="s">
        <v>1332</v>
      </c>
      <c r="D67" s="3" t="s">
        <v>1333</v>
      </c>
      <c r="E67" s="1" t="s">
        <v>30</v>
      </c>
      <c r="F67" s="5">
        <v>13870.0</v>
      </c>
      <c r="G67" s="1" t="s">
        <v>31</v>
      </c>
      <c r="H67" s="9">
        <v>2.18E8</v>
      </c>
      <c r="I67" s="1">
        <v>-6.3465257</v>
      </c>
      <c r="J67" s="3">
        <v>106.90659</v>
      </c>
      <c r="K67" s="6" t="s">
        <v>1334</v>
      </c>
      <c r="L67" s="11">
        <f t="shared" si="1"/>
        <v>15217391.3</v>
      </c>
      <c r="M67" s="11">
        <f>1400000000/92</f>
        <v>15217391.3</v>
      </c>
      <c r="Z67" s="8" t="s">
        <v>1335</v>
      </c>
    </row>
    <row r="68">
      <c r="A68" s="3" t="s">
        <v>48</v>
      </c>
      <c r="B68" s="4" t="s">
        <v>1336</v>
      </c>
      <c r="C68" s="1" t="s">
        <v>1337</v>
      </c>
      <c r="D68" s="3" t="s">
        <v>1338</v>
      </c>
      <c r="E68" s="1" t="s">
        <v>30</v>
      </c>
      <c r="F68" s="5">
        <v>13860.0</v>
      </c>
      <c r="G68" s="1" t="s">
        <v>31</v>
      </c>
      <c r="H68" s="14" t="s">
        <v>32</v>
      </c>
      <c r="I68" s="1">
        <v>-6.3424454</v>
      </c>
      <c r="J68" s="3">
        <v>106.9165162</v>
      </c>
      <c r="K68" s="6" t="s">
        <v>1339</v>
      </c>
      <c r="L68" s="11" t="str">
        <f t="shared" si="1"/>
        <v/>
      </c>
      <c r="Z68" s="2" t="s">
        <v>34</v>
      </c>
    </row>
    <row r="69">
      <c r="A69" s="3" t="s">
        <v>48</v>
      </c>
      <c r="B69" s="4" t="s">
        <v>1340</v>
      </c>
      <c r="C69" s="1" t="s">
        <v>1341</v>
      </c>
      <c r="D69" s="3" t="s">
        <v>1342</v>
      </c>
      <c r="E69" s="1" t="s">
        <v>30</v>
      </c>
      <c r="F69" s="5">
        <v>13860.0</v>
      </c>
      <c r="G69" s="1" t="s">
        <v>31</v>
      </c>
      <c r="H69" s="3" t="s">
        <v>32</v>
      </c>
      <c r="I69" s="1">
        <v>-6.3530951</v>
      </c>
      <c r="J69" s="3">
        <v>106.9121998</v>
      </c>
      <c r="K69" s="6" t="s">
        <v>1343</v>
      </c>
      <c r="L69" s="11" t="str">
        <f t="shared" si="1"/>
        <v/>
      </c>
      <c r="Z69" s="2" t="s">
        <v>34</v>
      </c>
    </row>
    <row r="70">
      <c r="A70" s="3" t="s">
        <v>48</v>
      </c>
      <c r="B70" s="4" t="s">
        <v>1344</v>
      </c>
      <c r="C70" s="1" t="s">
        <v>1345</v>
      </c>
      <c r="D70" s="3" t="s">
        <v>1254</v>
      </c>
      <c r="E70" s="1" t="s">
        <v>30</v>
      </c>
      <c r="F70" s="3" t="s">
        <v>32</v>
      </c>
      <c r="G70" s="1" t="s">
        <v>31</v>
      </c>
      <c r="H70" s="3" t="s">
        <v>32</v>
      </c>
      <c r="I70" s="1">
        <v>-6.3328458</v>
      </c>
      <c r="J70" s="3">
        <v>106.9045109</v>
      </c>
      <c r="K70" s="6" t="s">
        <v>1346</v>
      </c>
      <c r="L70" s="11">
        <f t="shared" si="1"/>
        <v>16091954.02</v>
      </c>
      <c r="M70" s="11">
        <f>1400000000/87</f>
        <v>16091954.02</v>
      </c>
      <c r="Z70" s="8" t="s">
        <v>1347</v>
      </c>
    </row>
    <row r="71">
      <c r="A71" s="3" t="s">
        <v>48</v>
      </c>
      <c r="B71" s="4" t="s">
        <v>1348</v>
      </c>
      <c r="C71" s="1" t="s">
        <v>1349</v>
      </c>
      <c r="D71" s="3" t="s">
        <v>1350</v>
      </c>
      <c r="E71" s="1" t="s">
        <v>30</v>
      </c>
      <c r="F71" s="5">
        <v>13870.0</v>
      </c>
      <c r="G71" s="1" t="s">
        <v>31</v>
      </c>
      <c r="H71" s="3" t="s">
        <v>32</v>
      </c>
      <c r="I71" s="1">
        <v>-6.3401442</v>
      </c>
      <c r="J71" s="3">
        <v>106.9095927</v>
      </c>
      <c r="K71" s="6" t="s">
        <v>1351</v>
      </c>
      <c r="L71" s="11">
        <f t="shared" si="1"/>
        <v>14285714.29</v>
      </c>
      <c r="M71" s="11">
        <f>1600000000/112</f>
        <v>14285714.29</v>
      </c>
      <c r="Z71" s="8" t="s">
        <v>1352</v>
      </c>
    </row>
    <row r="72">
      <c r="A72" s="3" t="s">
        <v>48</v>
      </c>
      <c r="B72" s="4" t="s">
        <v>1353</v>
      </c>
      <c r="C72" s="1" t="s">
        <v>1354</v>
      </c>
      <c r="D72" s="3" t="s">
        <v>1355</v>
      </c>
      <c r="E72" s="1" t="s">
        <v>30</v>
      </c>
      <c r="F72" s="5">
        <v>13870.0</v>
      </c>
      <c r="G72" s="1" t="s">
        <v>31</v>
      </c>
      <c r="H72" s="9">
        <v>8.13E10</v>
      </c>
      <c r="I72" s="1">
        <v>-6.3300183</v>
      </c>
      <c r="J72" s="3">
        <v>106.9004096</v>
      </c>
      <c r="K72" s="6" t="s">
        <v>1356</v>
      </c>
      <c r="L72" s="11">
        <f t="shared" si="1"/>
        <v>33613445.38</v>
      </c>
      <c r="M72" s="11">
        <f>4000000000/119</f>
        <v>33613445.38</v>
      </c>
      <c r="Z72" s="8" t="s">
        <v>1357</v>
      </c>
    </row>
    <row r="73">
      <c r="A73" s="3" t="s">
        <v>48</v>
      </c>
      <c r="B73" s="4" t="s">
        <v>1358</v>
      </c>
      <c r="C73" s="1" t="s">
        <v>1359</v>
      </c>
      <c r="D73" s="3" t="s">
        <v>1360</v>
      </c>
      <c r="E73" s="1" t="s">
        <v>30</v>
      </c>
      <c r="F73" s="5">
        <v>13870.0</v>
      </c>
      <c r="G73" s="1" t="s">
        <v>31</v>
      </c>
      <c r="H73" s="9">
        <v>8.19E10</v>
      </c>
      <c r="I73" s="1">
        <v>-6.3405542</v>
      </c>
      <c r="J73" s="3">
        <v>106.8976679</v>
      </c>
      <c r="K73" s="6" t="s">
        <v>1361</v>
      </c>
      <c r="L73" s="11">
        <f t="shared" si="1"/>
        <v>13636363.64</v>
      </c>
      <c r="M73" s="11">
        <f>1650000000/121</f>
        <v>13636363.64</v>
      </c>
      <c r="Z73" s="8" t="s">
        <v>1278</v>
      </c>
    </row>
    <row r="74">
      <c r="A74" s="3" t="s">
        <v>48</v>
      </c>
      <c r="B74" s="4" t="s">
        <v>1362</v>
      </c>
      <c r="C74" s="1" t="s">
        <v>1363</v>
      </c>
      <c r="D74" s="3" t="s">
        <v>1364</v>
      </c>
      <c r="E74" s="1" t="s">
        <v>30</v>
      </c>
      <c r="F74" s="5">
        <v>13870.0</v>
      </c>
      <c r="G74" s="1" t="s">
        <v>31</v>
      </c>
      <c r="H74" s="14" t="s">
        <v>32</v>
      </c>
      <c r="I74" s="1">
        <v>-6.3353507</v>
      </c>
      <c r="J74" s="3">
        <v>106.9064547</v>
      </c>
      <c r="K74" s="6" t="s">
        <v>1365</v>
      </c>
      <c r="L74" s="11">
        <f t="shared" si="1"/>
        <v>15254237.29</v>
      </c>
      <c r="M74" s="11">
        <f>900000000/59</f>
        <v>15254237.29</v>
      </c>
      <c r="Z74" s="8" t="s">
        <v>1366</v>
      </c>
    </row>
    <row r="75">
      <c r="A75" s="3" t="s">
        <v>48</v>
      </c>
      <c r="B75" s="4" t="s">
        <v>1367</v>
      </c>
      <c r="C75" s="1" t="s">
        <v>1368</v>
      </c>
      <c r="D75" s="3" t="s">
        <v>1369</v>
      </c>
      <c r="E75" s="1" t="s">
        <v>30</v>
      </c>
      <c r="F75" s="5">
        <v>13840.0</v>
      </c>
      <c r="G75" s="1" t="s">
        <v>31</v>
      </c>
      <c r="H75" s="3" t="s">
        <v>32</v>
      </c>
      <c r="I75" s="1">
        <v>-6.3288903</v>
      </c>
      <c r="J75" s="3">
        <v>106.9006785</v>
      </c>
      <c r="K75" s="6" t="s">
        <v>1370</v>
      </c>
      <c r="L75" s="11">
        <f t="shared" si="1"/>
        <v>11320754.72</v>
      </c>
      <c r="M75" s="11">
        <f>1800000000/159</f>
        <v>11320754.72</v>
      </c>
      <c r="Z75" s="8" t="s">
        <v>1371</v>
      </c>
    </row>
    <row r="76">
      <c r="A76" s="3" t="s">
        <v>48</v>
      </c>
      <c r="B76" s="4" t="s">
        <v>1372</v>
      </c>
      <c r="C76" s="1" t="s">
        <v>1373</v>
      </c>
      <c r="D76" s="3" t="s">
        <v>1374</v>
      </c>
      <c r="E76" s="1" t="s">
        <v>30</v>
      </c>
      <c r="F76" s="5">
        <v>13880.0</v>
      </c>
      <c r="G76" s="1" t="s">
        <v>31</v>
      </c>
      <c r="H76" s="3" t="s">
        <v>32</v>
      </c>
      <c r="I76" s="1">
        <v>-6.31286</v>
      </c>
      <c r="J76" s="3">
        <v>106.9146327</v>
      </c>
      <c r="K76" s="6" t="s">
        <v>1375</v>
      </c>
      <c r="L76" s="11">
        <f t="shared" si="1"/>
        <v>25833333.33</v>
      </c>
      <c r="M76" s="11">
        <f>3100000000/120</f>
        <v>25833333.33</v>
      </c>
      <c r="Z76" s="8" t="s">
        <v>1376</v>
      </c>
    </row>
    <row r="77">
      <c r="A77" s="3" t="s">
        <v>48</v>
      </c>
      <c r="B77" s="4" t="s">
        <v>1377</v>
      </c>
      <c r="C77" s="1" t="s">
        <v>1378</v>
      </c>
      <c r="D77" s="3" t="s">
        <v>1379</v>
      </c>
      <c r="E77" s="1" t="s">
        <v>30</v>
      </c>
      <c r="F77" s="5">
        <v>13880.0</v>
      </c>
      <c r="G77" s="1" t="s">
        <v>31</v>
      </c>
      <c r="H77" s="3" t="s">
        <v>32</v>
      </c>
      <c r="I77" s="1">
        <v>-6.3201625</v>
      </c>
      <c r="J77" s="3">
        <v>106.9148932</v>
      </c>
      <c r="K77" s="6" t="s">
        <v>1380</v>
      </c>
      <c r="L77" s="11" t="str">
        <f t="shared" si="1"/>
        <v/>
      </c>
      <c r="Z77" s="2" t="s">
        <v>34</v>
      </c>
    </row>
    <row r="78">
      <c r="A78" s="3" t="s">
        <v>48</v>
      </c>
      <c r="B78" s="4" t="s">
        <v>1381</v>
      </c>
      <c r="C78" s="1" t="s">
        <v>1382</v>
      </c>
      <c r="D78" s="3" t="s">
        <v>1383</v>
      </c>
      <c r="E78" s="1" t="s">
        <v>30</v>
      </c>
      <c r="F78" s="5">
        <v>13890.0</v>
      </c>
      <c r="G78" s="1" t="s">
        <v>31</v>
      </c>
      <c r="H78" s="3" t="s">
        <v>32</v>
      </c>
      <c r="I78" s="1">
        <v>-6.3197538</v>
      </c>
      <c r="J78" s="3">
        <v>106.903058</v>
      </c>
      <c r="K78" s="6" t="s">
        <v>1384</v>
      </c>
      <c r="L78" s="11">
        <f t="shared" si="1"/>
        <v>13083333.33</v>
      </c>
      <c r="M78" s="11">
        <f>785000000/60</f>
        <v>13083333.33</v>
      </c>
      <c r="Z78" s="8" t="s">
        <v>1385</v>
      </c>
    </row>
    <row r="79">
      <c r="A79" s="3" t="s">
        <v>48</v>
      </c>
      <c r="B79" s="4" t="s">
        <v>1386</v>
      </c>
      <c r="C79" s="1" t="s">
        <v>1387</v>
      </c>
      <c r="D79" s="3" t="s">
        <v>1388</v>
      </c>
      <c r="E79" s="1" t="s">
        <v>30</v>
      </c>
      <c r="F79" s="5">
        <v>13890.0</v>
      </c>
      <c r="G79" s="1" t="s">
        <v>31</v>
      </c>
      <c r="H79" s="3" t="s">
        <v>32</v>
      </c>
      <c r="I79" s="1">
        <v>-6.316157</v>
      </c>
      <c r="J79" s="3">
        <v>106.8986487</v>
      </c>
      <c r="K79" s="6" t="s">
        <v>1389</v>
      </c>
      <c r="L79" s="11">
        <f t="shared" si="1"/>
        <v>29166666.67</v>
      </c>
      <c r="M79" s="11">
        <f>2300000000/78</f>
        <v>29487179.49</v>
      </c>
      <c r="N79" s="11">
        <f>2200000000/76</f>
        <v>28947368.42</v>
      </c>
      <c r="O79" s="11">
        <f>2100000000/72</f>
        <v>29166666.67</v>
      </c>
      <c r="Z79" s="8" t="s">
        <v>1390</v>
      </c>
    </row>
    <row r="80">
      <c r="A80" s="3" t="s">
        <v>48</v>
      </c>
      <c r="B80" s="4" t="s">
        <v>1391</v>
      </c>
      <c r="C80" s="1" t="s">
        <v>1392</v>
      </c>
      <c r="D80" s="3" t="s">
        <v>1393</v>
      </c>
      <c r="E80" s="1" t="s">
        <v>30</v>
      </c>
      <c r="F80" s="5">
        <v>13890.0</v>
      </c>
      <c r="G80" s="1" t="s">
        <v>31</v>
      </c>
      <c r="H80" s="9">
        <v>8.15E10</v>
      </c>
      <c r="I80" s="1">
        <v>-6.3083917</v>
      </c>
      <c r="J80" s="3">
        <v>106.8953813</v>
      </c>
      <c r="K80" s="6" t="s">
        <v>1394</v>
      </c>
      <c r="L80" s="11" t="str">
        <f t="shared" si="1"/>
        <v/>
      </c>
      <c r="Z80" s="2" t="s">
        <v>34</v>
      </c>
    </row>
    <row r="81">
      <c r="A81" s="3" t="s">
        <v>48</v>
      </c>
      <c r="B81" s="4" t="s">
        <v>1395</v>
      </c>
      <c r="C81" s="1" t="s">
        <v>1396</v>
      </c>
      <c r="D81" s="3" t="s">
        <v>1397</v>
      </c>
      <c r="E81" s="1" t="s">
        <v>30</v>
      </c>
      <c r="F81" s="5">
        <v>13890.0</v>
      </c>
      <c r="G81" s="1" t="s">
        <v>31</v>
      </c>
      <c r="H81" s="14" t="s">
        <v>32</v>
      </c>
      <c r="I81" s="1">
        <v>-6.3205157</v>
      </c>
      <c r="J81" s="3">
        <v>106.9023131</v>
      </c>
      <c r="K81" s="6" t="s">
        <v>1398</v>
      </c>
      <c r="L81" s="11">
        <f t="shared" si="1"/>
        <v>15529411.76</v>
      </c>
      <c r="M81" s="11">
        <f>1320000000/85</f>
        <v>15529411.76</v>
      </c>
      <c r="Z81" s="8" t="s">
        <v>1399</v>
      </c>
    </row>
    <row r="82">
      <c r="A82" s="3" t="s">
        <v>48</v>
      </c>
      <c r="B82" s="4" t="s">
        <v>1400</v>
      </c>
      <c r="C82" s="1" t="s">
        <v>1401</v>
      </c>
      <c r="D82" s="3" t="s">
        <v>1402</v>
      </c>
      <c r="E82" s="1" t="s">
        <v>30</v>
      </c>
      <c r="F82" s="5">
        <v>13890.0</v>
      </c>
      <c r="G82" s="1" t="s">
        <v>31</v>
      </c>
      <c r="H82" s="3" t="s">
        <v>32</v>
      </c>
      <c r="I82" s="1">
        <v>-6.3077967</v>
      </c>
      <c r="J82" s="3">
        <v>106.9046914</v>
      </c>
      <c r="K82" s="6" t="s">
        <v>1403</v>
      </c>
      <c r="L82" s="11">
        <f t="shared" si="1"/>
        <v>28333333.33</v>
      </c>
      <c r="M82" s="11">
        <f>3400000000/120</f>
        <v>28333333.33</v>
      </c>
      <c r="Z82" s="8" t="s">
        <v>1404</v>
      </c>
    </row>
    <row r="83">
      <c r="A83" s="3" t="s">
        <v>48</v>
      </c>
      <c r="B83" s="4" t="s">
        <v>1405</v>
      </c>
      <c r="C83" s="1" t="s">
        <v>1406</v>
      </c>
      <c r="D83" s="3" t="s">
        <v>1407</v>
      </c>
      <c r="E83" s="1" t="s">
        <v>30</v>
      </c>
      <c r="F83" s="5">
        <v>13890.0</v>
      </c>
      <c r="G83" s="1" t="s">
        <v>31</v>
      </c>
      <c r="H83" s="3" t="s">
        <v>32</v>
      </c>
      <c r="I83" s="1">
        <v>-6.3018262</v>
      </c>
      <c r="J83" s="3">
        <v>106.9141649</v>
      </c>
      <c r="K83" s="6" t="s">
        <v>1408</v>
      </c>
      <c r="L83" s="11" t="str">
        <f t="shared" si="1"/>
        <v/>
      </c>
      <c r="Z83" s="2" t="s">
        <v>34</v>
      </c>
    </row>
    <row r="84">
      <c r="A84" s="3" t="s">
        <v>48</v>
      </c>
      <c r="B84" s="4" t="s">
        <v>1409</v>
      </c>
      <c r="C84" s="1" t="s">
        <v>1410</v>
      </c>
      <c r="D84" s="3" t="s">
        <v>1411</v>
      </c>
      <c r="E84" s="1" t="s">
        <v>30</v>
      </c>
      <c r="F84" s="5">
        <v>13890.0</v>
      </c>
      <c r="G84" s="1" t="s">
        <v>31</v>
      </c>
      <c r="H84" s="9">
        <v>8.21E10</v>
      </c>
      <c r="I84" s="1">
        <v>-6.3077445</v>
      </c>
      <c r="J84" s="3">
        <v>106.9089385</v>
      </c>
      <c r="K84" s="6" t="s">
        <v>1412</v>
      </c>
      <c r="L84" s="11" t="str">
        <f t="shared" si="1"/>
        <v/>
      </c>
      <c r="Z84" s="2" t="s">
        <v>34</v>
      </c>
    </row>
    <row r="85">
      <c r="A85" s="3" t="s">
        <v>48</v>
      </c>
      <c r="B85" s="4" t="s">
        <v>1413</v>
      </c>
      <c r="C85" s="1" t="s">
        <v>1414</v>
      </c>
      <c r="D85" s="3" t="s">
        <v>1415</v>
      </c>
      <c r="E85" s="1" t="s">
        <v>30</v>
      </c>
      <c r="F85" s="5">
        <v>13740.0</v>
      </c>
      <c r="G85" s="1" t="s">
        <v>31</v>
      </c>
      <c r="H85" s="14" t="s">
        <v>32</v>
      </c>
      <c r="I85" s="1">
        <v>-6.3188664</v>
      </c>
      <c r="J85" s="3">
        <v>106.8747354</v>
      </c>
      <c r="K85" s="6" t="s">
        <v>1416</v>
      </c>
      <c r="L85" s="11">
        <f t="shared" si="1"/>
        <v>8752735.23</v>
      </c>
      <c r="M85" s="11">
        <f>4000000000/457</f>
        <v>8752735.23</v>
      </c>
      <c r="Z85" s="8" t="s">
        <v>1417</v>
      </c>
    </row>
    <row r="86">
      <c r="A86" s="3" t="s">
        <v>48</v>
      </c>
      <c r="B86" s="4" t="s">
        <v>1418</v>
      </c>
      <c r="C86" s="1" t="s">
        <v>1419</v>
      </c>
      <c r="D86" s="3" t="s">
        <v>1420</v>
      </c>
      <c r="E86" s="1" t="s">
        <v>30</v>
      </c>
      <c r="F86" s="5">
        <v>13740.0</v>
      </c>
      <c r="G86" s="1" t="s">
        <v>31</v>
      </c>
      <c r="H86" s="3" t="s">
        <v>32</v>
      </c>
      <c r="I86" s="1">
        <v>-6.3240883</v>
      </c>
      <c r="J86" s="3">
        <v>106.8721434</v>
      </c>
      <c r="K86" s="6" t="s">
        <v>1421</v>
      </c>
      <c r="L86" s="11" t="str">
        <f t="shared" si="1"/>
        <v/>
      </c>
      <c r="Z86" s="2" t="s">
        <v>34</v>
      </c>
    </row>
    <row r="87">
      <c r="A87" s="3" t="s">
        <v>48</v>
      </c>
      <c r="B87" s="4" t="s">
        <v>1422</v>
      </c>
      <c r="C87" s="1" t="s">
        <v>1423</v>
      </c>
      <c r="D87" s="3" t="s">
        <v>1424</v>
      </c>
      <c r="E87" s="1" t="s">
        <v>30</v>
      </c>
      <c r="F87" s="5">
        <v>13720.0</v>
      </c>
      <c r="G87" s="1" t="s">
        <v>31</v>
      </c>
      <c r="H87" s="3" t="s">
        <v>32</v>
      </c>
      <c r="I87" s="1">
        <v>-6.3682266</v>
      </c>
      <c r="J87" s="3">
        <v>106.8935833</v>
      </c>
      <c r="K87" s="6" t="s">
        <v>1425</v>
      </c>
      <c r="L87" s="11">
        <f t="shared" si="1"/>
        <v>23041474.65</v>
      </c>
      <c r="M87" s="11">
        <f>10000000000/434</f>
        <v>23041474.65</v>
      </c>
      <c r="Z87" s="8" t="s">
        <v>1426</v>
      </c>
    </row>
    <row r="88">
      <c r="A88" s="3" t="s">
        <v>48</v>
      </c>
      <c r="B88" s="4" t="s">
        <v>1427</v>
      </c>
      <c r="C88" s="1" t="s">
        <v>1428</v>
      </c>
      <c r="D88" s="3" t="s">
        <v>1429</v>
      </c>
      <c r="E88" s="1" t="s">
        <v>30</v>
      </c>
      <c r="F88" s="5">
        <v>13720.0</v>
      </c>
      <c r="G88" s="1" t="s">
        <v>31</v>
      </c>
      <c r="H88" s="3" t="s">
        <v>32</v>
      </c>
      <c r="I88" s="1">
        <v>-6.360707</v>
      </c>
      <c r="J88" s="3">
        <v>106.8846549</v>
      </c>
      <c r="K88" s="6" t="s">
        <v>1430</v>
      </c>
      <c r="L88" s="11">
        <f t="shared" si="1"/>
        <v>14426065.16</v>
      </c>
      <c r="M88" s="11">
        <f>2100000000/171</f>
        <v>12280701.75</v>
      </c>
      <c r="N88" s="11">
        <f>2900000000/175</f>
        <v>16571428.57</v>
      </c>
      <c r="Z88" s="8" t="s">
        <v>1431</v>
      </c>
    </row>
    <row r="89">
      <c r="A89" s="3" t="s">
        <v>48</v>
      </c>
      <c r="B89" s="4" t="s">
        <v>1432</v>
      </c>
      <c r="C89" s="1" t="s">
        <v>1433</v>
      </c>
      <c r="D89" s="3" t="s">
        <v>1434</v>
      </c>
      <c r="E89" s="1" t="s">
        <v>30</v>
      </c>
      <c r="F89" s="5">
        <v>13720.0</v>
      </c>
      <c r="G89" s="1" t="s">
        <v>31</v>
      </c>
      <c r="H89" s="3" t="s">
        <v>32</v>
      </c>
      <c r="I89" s="1">
        <v>-6.3636165</v>
      </c>
      <c r="J89" s="3">
        <v>106.8805873</v>
      </c>
      <c r="K89" s="6" t="s">
        <v>1435</v>
      </c>
      <c r="L89" s="11" t="str">
        <f t="shared" si="1"/>
        <v/>
      </c>
      <c r="Z89" s="2" t="s">
        <v>34</v>
      </c>
    </row>
    <row r="90">
      <c r="A90" s="3" t="s">
        <v>48</v>
      </c>
      <c r="B90" s="4" t="s">
        <v>1436</v>
      </c>
      <c r="C90" s="1" t="s">
        <v>1437</v>
      </c>
      <c r="D90" s="3" t="s">
        <v>1438</v>
      </c>
      <c r="E90" s="1" t="s">
        <v>30</v>
      </c>
      <c r="F90" s="5">
        <v>13730.0</v>
      </c>
      <c r="G90" s="1" t="s">
        <v>31</v>
      </c>
      <c r="H90" s="3" t="s">
        <v>32</v>
      </c>
      <c r="I90" s="1">
        <v>-6.3407693</v>
      </c>
      <c r="J90" s="3">
        <v>106.8802094</v>
      </c>
      <c r="K90" s="6" t="s">
        <v>1439</v>
      </c>
      <c r="L90" s="11">
        <f t="shared" si="1"/>
        <v>18877551.02</v>
      </c>
      <c r="M90" s="11">
        <f>1850000000/98</f>
        <v>18877551.02</v>
      </c>
      <c r="Z90" s="8" t="s">
        <v>1440</v>
      </c>
    </row>
    <row r="91">
      <c r="A91" s="3" t="s">
        <v>48</v>
      </c>
      <c r="B91" s="4" t="s">
        <v>1441</v>
      </c>
      <c r="C91" s="1" t="s">
        <v>1442</v>
      </c>
      <c r="D91" s="3" t="s">
        <v>1443</v>
      </c>
      <c r="E91" s="1" t="s">
        <v>30</v>
      </c>
      <c r="F91" s="5">
        <v>13730.0</v>
      </c>
      <c r="G91" s="1" t="s">
        <v>31</v>
      </c>
      <c r="H91" s="3" t="s">
        <v>32</v>
      </c>
      <c r="I91" s="1">
        <v>-6.34879</v>
      </c>
      <c r="J91" s="3">
        <v>106.8876066</v>
      </c>
      <c r="K91" s="6" t="s">
        <v>1444</v>
      </c>
      <c r="L91" s="11">
        <f t="shared" si="1"/>
        <v>10888888.89</v>
      </c>
      <c r="M91" s="11">
        <f>980000000/90</f>
        <v>10888888.89</v>
      </c>
      <c r="Z91" s="8" t="s">
        <v>1445</v>
      </c>
    </row>
    <row r="92">
      <c r="A92" s="3" t="s">
        <v>48</v>
      </c>
      <c r="B92" s="4" t="s">
        <v>1446</v>
      </c>
      <c r="C92" s="1" t="s">
        <v>1447</v>
      </c>
      <c r="D92" s="3" t="s">
        <v>1448</v>
      </c>
      <c r="E92" s="1" t="s">
        <v>30</v>
      </c>
      <c r="F92" s="5">
        <v>13730.0</v>
      </c>
      <c r="G92" s="1" t="s">
        <v>31</v>
      </c>
      <c r="H92" s="3" t="s">
        <v>32</v>
      </c>
      <c r="I92" s="1">
        <v>-6.3463107</v>
      </c>
      <c r="J92" s="3">
        <v>106.8790649</v>
      </c>
      <c r="K92" s="6" t="s">
        <v>1449</v>
      </c>
      <c r="L92" s="11" t="str">
        <f t="shared" si="1"/>
        <v/>
      </c>
      <c r="Z92" s="2" t="s">
        <v>34</v>
      </c>
    </row>
    <row r="93">
      <c r="A93" s="3" t="s">
        <v>48</v>
      </c>
      <c r="B93" s="4" t="s">
        <v>1450</v>
      </c>
      <c r="C93" s="1" t="s">
        <v>1451</v>
      </c>
      <c r="D93" s="3" t="s">
        <v>1452</v>
      </c>
      <c r="E93" s="1" t="s">
        <v>30</v>
      </c>
      <c r="F93" s="5">
        <v>13730.0</v>
      </c>
      <c r="G93" s="1" t="s">
        <v>31</v>
      </c>
      <c r="H93" s="9">
        <v>8.96E10</v>
      </c>
      <c r="I93" s="1">
        <v>-6.3336838</v>
      </c>
      <c r="J93" s="3">
        <v>106.8821079</v>
      </c>
      <c r="K93" s="6" t="s">
        <v>1453</v>
      </c>
      <c r="L93" s="11" t="str">
        <f t="shared" si="1"/>
        <v/>
      </c>
      <c r="Z93" s="2" t="s">
        <v>34</v>
      </c>
    </row>
    <row r="94">
      <c r="A94" s="3" t="s">
        <v>48</v>
      </c>
      <c r="B94" s="4" t="s">
        <v>1454</v>
      </c>
      <c r="C94" s="1" t="s">
        <v>1455</v>
      </c>
      <c r="D94" s="3" t="s">
        <v>1456</v>
      </c>
      <c r="E94" s="1" t="s">
        <v>30</v>
      </c>
      <c r="F94" s="5">
        <v>13730.0</v>
      </c>
      <c r="G94" s="1" t="s">
        <v>31</v>
      </c>
      <c r="H94" s="3" t="s">
        <v>32</v>
      </c>
      <c r="I94" s="1">
        <v>-6.3511814</v>
      </c>
      <c r="J94" s="3">
        <v>106.8843047</v>
      </c>
      <c r="K94" s="6" t="s">
        <v>1457</v>
      </c>
      <c r="L94" s="11" t="str">
        <f t="shared" si="1"/>
        <v/>
      </c>
      <c r="Z94" s="2" t="s">
        <v>34</v>
      </c>
    </row>
    <row r="95">
      <c r="A95" s="3" t="s">
        <v>48</v>
      </c>
      <c r="B95" s="4" t="s">
        <v>1458</v>
      </c>
      <c r="C95" s="1" t="s">
        <v>1459</v>
      </c>
      <c r="D95" s="3" t="s">
        <v>1460</v>
      </c>
      <c r="E95" s="1" t="s">
        <v>30</v>
      </c>
      <c r="F95" s="5">
        <v>13730.0</v>
      </c>
      <c r="G95" s="1" t="s">
        <v>31</v>
      </c>
      <c r="H95" s="14" t="s">
        <v>32</v>
      </c>
      <c r="I95" s="1">
        <v>-6.3383173</v>
      </c>
      <c r="J95" s="3">
        <v>106.8781737</v>
      </c>
      <c r="K95" s="6" t="s">
        <v>1461</v>
      </c>
      <c r="L95" s="11">
        <f t="shared" si="1"/>
        <v>11764705.88</v>
      </c>
      <c r="M95" s="11">
        <f>1200000000/102</f>
        <v>11764705.88</v>
      </c>
      <c r="Z95" s="8" t="s">
        <v>1462</v>
      </c>
    </row>
    <row r="96">
      <c r="A96" s="3" t="s">
        <v>48</v>
      </c>
      <c r="B96" s="4" t="s">
        <v>1463</v>
      </c>
      <c r="C96" s="1" t="s">
        <v>1464</v>
      </c>
      <c r="D96" s="3" t="s">
        <v>1465</v>
      </c>
      <c r="E96" s="1" t="s">
        <v>30</v>
      </c>
      <c r="F96" s="5">
        <v>13740.0</v>
      </c>
      <c r="G96" s="1" t="s">
        <v>31</v>
      </c>
      <c r="H96" s="9">
        <v>8.12E10</v>
      </c>
      <c r="I96" s="1">
        <v>-6.3240924</v>
      </c>
      <c r="J96" s="3">
        <v>106.8841557</v>
      </c>
      <c r="K96" s="6" t="s">
        <v>1466</v>
      </c>
      <c r="L96" s="11">
        <f t="shared" si="1"/>
        <v>36666666.67</v>
      </c>
      <c r="M96" s="11">
        <f>1100000000/30</f>
        <v>36666666.67</v>
      </c>
      <c r="Z96" s="8" t="s">
        <v>1467</v>
      </c>
    </row>
    <row r="97">
      <c r="A97" s="3" t="s">
        <v>48</v>
      </c>
      <c r="B97" s="4" t="s">
        <v>1468</v>
      </c>
      <c r="C97" s="1" t="s">
        <v>1469</v>
      </c>
      <c r="D97" s="3" t="s">
        <v>1465</v>
      </c>
      <c r="E97" s="1" t="s">
        <v>30</v>
      </c>
      <c r="F97" s="5">
        <v>13740.0</v>
      </c>
      <c r="G97" s="1" t="s">
        <v>31</v>
      </c>
      <c r="H97" s="3" t="s">
        <v>32</v>
      </c>
      <c r="I97" s="1">
        <v>-6.3203564</v>
      </c>
      <c r="J97" s="3">
        <v>106.873176</v>
      </c>
      <c r="K97" s="6" t="s">
        <v>1470</v>
      </c>
      <c r="L97" s="11">
        <f t="shared" si="1"/>
        <v>15200000</v>
      </c>
      <c r="M97" s="11">
        <f>9500000000/625</f>
        <v>15200000</v>
      </c>
      <c r="Z97" s="8" t="s">
        <v>1471</v>
      </c>
    </row>
    <row r="98">
      <c r="A98" s="3" t="s">
        <v>48</v>
      </c>
      <c r="B98" s="4" t="s">
        <v>1472</v>
      </c>
      <c r="C98" s="1" t="s">
        <v>1473</v>
      </c>
      <c r="D98" s="3" t="s">
        <v>1112</v>
      </c>
      <c r="E98" s="1" t="s">
        <v>30</v>
      </c>
      <c r="F98" s="5">
        <v>13740.0</v>
      </c>
      <c r="G98" s="1" t="s">
        <v>31</v>
      </c>
      <c r="H98" s="9">
        <v>8.57E10</v>
      </c>
      <c r="I98" s="1">
        <v>-6.3235082</v>
      </c>
      <c r="J98" s="3">
        <v>106.884028</v>
      </c>
      <c r="K98" s="6" t="s">
        <v>1474</v>
      </c>
      <c r="L98" s="11" t="str">
        <f t="shared" si="1"/>
        <v/>
      </c>
      <c r="Z98" s="2" t="s">
        <v>34</v>
      </c>
    </row>
    <row r="99">
      <c r="A99" s="3" t="s">
        <v>48</v>
      </c>
      <c r="B99" s="4" t="s">
        <v>1475</v>
      </c>
      <c r="C99" s="1" t="s">
        <v>1476</v>
      </c>
      <c r="D99" s="3" t="s">
        <v>1477</v>
      </c>
      <c r="E99" s="1" t="s">
        <v>30</v>
      </c>
      <c r="F99" s="5">
        <v>13750.0</v>
      </c>
      <c r="G99" s="1" t="s">
        <v>31</v>
      </c>
      <c r="H99" s="3" t="s">
        <v>32</v>
      </c>
      <c r="I99" s="1">
        <v>-6.3198186</v>
      </c>
      <c r="J99" s="3">
        <v>106.8674275</v>
      </c>
      <c r="K99" s="6" t="s">
        <v>1478</v>
      </c>
      <c r="L99" s="11">
        <f t="shared" si="1"/>
        <v>9607843.137</v>
      </c>
      <c r="M99" s="11">
        <f>980000000/102</f>
        <v>9607843.137</v>
      </c>
      <c r="Z99" s="8" t="s">
        <v>1479</v>
      </c>
    </row>
    <row r="100">
      <c r="A100" s="3" t="s">
        <v>48</v>
      </c>
      <c r="B100" s="4" t="s">
        <v>1480</v>
      </c>
      <c r="C100" s="1" t="s">
        <v>1481</v>
      </c>
      <c r="D100" s="3" t="s">
        <v>1482</v>
      </c>
      <c r="E100" s="1" t="s">
        <v>30</v>
      </c>
      <c r="F100" s="5">
        <v>13750.0</v>
      </c>
      <c r="G100" s="1" t="s">
        <v>31</v>
      </c>
      <c r="H100" s="14" t="s">
        <v>32</v>
      </c>
      <c r="I100" s="1">
        <v>-6.3271958</v>
      </c>
      <c r="J100" s="3">
        <v>106.8682512</v>
      </c>
      <c r="K100" s="6" t="s">
        <v>1483</v>
      </c>
      <c r="L100" s="11">
        <f t="shared" si="1"/>
        <v>10365153.81</v>
      </c>
      <c r="M100" s="11">
        <f>590813767/57</f>
        <v>10365153.81</v>
      </c>
      <c r="Z100" s="8" t="s">
        <v>1484</v>
      </c>
    </row>
    <row r="101">
      <c r="A101" s="3" t="s">
        <v>48</v>
      </c>
      <c r="B101" s="4" t="s">
        <v>1485</v>
      </c>
      <c r="C101" s="1" t="s">
        <v>1486</v>
      </c>
      <c r="D101" s="3" t="s">
        <v>1487</v>
      </c>
      <c r="E101" s="1" t="s">
        <v>30</v>
      </c>
      <c r="F101" s="5">
        <v>13750.0</v>
      </c>
      <c r="G101" s="1" t="s">
        <v>31</v>
      </c>
      <c r="H101" s="3" t="s">
        <v>32</v>
      </c>
      <c r="I101" s="1">
        <v>-6.3113987</v>
      </c>
      <c r="J101" s="3">
        <v>106.8747294</v>
      </c>
      <c r="K101" s="6" t="s">
        <v>1488</v>
      </c>
      <c r="L101" s="11" t="str">
        <f t="shared" si="1"/>
        <v/>
      </c>
      <c r="Z101" s="2" t="s">
        <v>34</v>
      </c>
    </row>
    <row r="102">
      <c r="A102" s="3" t="s">
        <v>48</v>
      </c>
      <c r="B102" s="4" t="s">
        <v>1489</v>
      </c>
      <c r="C102" s="1" t="s">
        <v>1490</v>
      </c>
      <c r="D102" s="3" t="s">
        <v>1491</v>
      </c>
      <c r="E102" s="1" t="s">
        <v>30</v>
      </c>
      <c r="F102" s="5">
        <v>13750.0</v>
      </c>
      <c r="G102" s="1" t="s">
        <v>31</v>
      </c>
      <c r="H102" s="3" t="s">
        <v>32</v>
      </c>
      <c r="I102" s="1">
        <v>-6.3117787</v>
      </c>
      <c r="J102" s="3">
        <v>106.8727485</v>
      </c>
      <c r="K102" s="6" t="s">
        <v>1492</v>
      </c>
      <c r="L102" s="11">
        <f t="shared" si="1"/>
        <v>21929824.56</v>
      </c>
      <c r="M102" s="11">
        <f>2500000000/114</f>
        <v>21929824.56</v>
      </c>
      <c r="Z102" s="8" t="s">
        <v>1493</v>
      </c>
    </row>
    <row r="103">
      <c r="A103" s="3" t="s">
        <v>48</v>
      </c>
      <c r="B103" s="4" t="s">
        <v>1494</v>
      </c>
      <c r="C103" s="1" t="s">
        <v>1495</v>
      </c>
      <c r="D103" s="3" t="s">
        <v>1496</v>
      </c>
      <c r="E103" s="1" t="s">
        <v>30</v>
      </c>
      <c r="F103" s="5">
        <v>13750.0</v>
      </c>
      <c r="G103" s="1" t="s">
        <v>31</v>
      </c>
      <c r="H103" s="3" t="s">
        <v>32</v>
      </c>
      <c r="I103" s="1">
        <v>-6.3284001</v>
      </c>
      <c r="J103" s="3">
        <v>106.8687897</v>
      </c>
      <c r="K103" s="6" t="s">
        <v>1497</v>
      </c>
      <c r="L103" s="11" t="str">
        <f t="shared" si="1"/>
        <v/>
      </c>
      <c r="Z103" s="2" t="s">
        <v>34</v>
      </c>
    </row>
    <row r="104">
      <c r="A104" s="3" t="s">
        <v>48</v>
      </c>
      <c r="B104" s="4" t="s">
        <v>1498</v>
      </c>
      <c r="C104" s="1" t="s">
        <v>1499</v>
      </c>
      <c r="D104" s="3" t="s">
        <v>1500</v>
      </c>
      <c r="E104" s="1" t="s">
        <v>30</v>
      </c>
      <c r="F104" s="5">
        <v>13830.0</v>
      </c>
      <c r="G104" s="1" t="s">
        <v>31</v>
      </c>
      <c r="H104" s="3" t="s">
        <v>32</v>
      </c>
      <c r="I104" s="1">
        <v>-6.2962188</v>
      </c>
      <c r="J104" s="3">
        <v>106.8738818</v>
      </c>
      <c r="K104" s="6" t="s">
        <v>1501</v>
      </c>
      <c r="L104" s="11">
        <f t="shared" si="1"/>
        <v>15277777.78</v>
      </c>
      <c r="M104" s="11">
        <f>2200000000/144</f>
        <v>15277777.78</v>
      </c>
      <c r="Z104" s="8" t="s">
        <v>1502</v>
      </c>
    </row>
    <row r="105">
      <c r="A105" s="3" t="s">
        <v>48</v>
      </c>
      <c r="B105" s="4" t="s">
        <v>1503</v>
      </c>
      <c r="C105" s="1" t="s">
        <v>1504</v>
      </c>
      <c r="D105" s="3" t="s">
        <v>1505</v>
      </c>
      <c r="E105" s="1" t="s">
        <v>30</v>
      </c>
      <c r="F105" s="5">
        <v>13740.0</v>
      </c>
      <c r="G105" s="1" t="s">
        <v>31</v>
      </c>
      <c r="H105" s="9">
        <v>8.12E10</v>
      </c>
      <c r="I105" s="1">
        <v>-6.3173559</v>
      </c>
      <c r="J105" s="3">
        <v>106.8806774</v>
      </c>
      <c r="K105" s="6" t="s">
        <v>1506</v>
      </c>
      <c r="L105" s="11">
        <f t="shared" si="1"/>
        <v>20779220.78</v>
      </c>
      <c r="M105" s="11">
        <f>1600000000/77</f>
        <v>20779220.78</v>
      </c>
      <c r="Z105" s="8" t="s">
        <v>1507</v>
      </c>
    </row>
    <row r="106">
      <c r="A106" s="3" t="s">
        <v>48</v>
      </c>
      <c r="B106" s="4" t="s">
        <v>1508</v>
      </c>
      <c r="C106" s="1" t="s">
        <v>1509</v>
      </c>
      <c r="D106" s="3" t="s">
        <v>1510</v>
      </c>
      <c r="E106" s="1" t="s">
        <v>30</v>
      </c>
      <c r="F106" s="5">
        <v>13740.0</v>
      </c>
      <c r="G106" s="1" t="s">
        <v>31</v>
      </c>
      <c r="H106" s="9">
        <v>8.57E10</v>
      </c>
      <c r="I106" s="1">
        <v>-6.3200429</v>
      </c>
      <c r="J106" s="3">
        <v>106.8825237</v>
      </c>
      <c r="K106" s="6" t="s">
        <v>1511</v>
      </c>
      <c r="L106" s="11">
        <f t="shared" si="1"/>
        <v>15476190.48</v>
      </c>
      <c r="M106" s="11">
        <f>650000000/42</f>
        <v>15476190.48</v>
      </c>
      <c r="Z106" s="8" t="s">
        <v>1512</v>
      </c>
    </row>
    <row r="107">
      <c r="A107" s="3" t="s">
        <v>48</v>
      </c>
      <c r="B107" s="4" t="s">
        <v>1513</v>
      </c>
      <c r="C107" s="1" t="s">
        <v>1514</v>
      </c>
      <c r="D107" s="3" t="s">
        <v>1046</v>
      </c>
      <c r="E107" s="1" t="s">
        <v>30</v>
      </c>
      <c r="F107" s="5">
        <v>13430.0</v>
      </c>
      <c r="G107" s="1" t="s">
        <v>31</v>
      </c>
      <c r="H107" s="9">
        <v>8.19E8</v>
      </c>
      <c r="I107" s="1">
        <v>-6.2392491</v>
      </c>
      <c r="J107" s="3">
        <v>106.89624</v>
      </c>
      <c r="K107" s="6" t="s">
        <v>1515</v>
      </c>
      <c r="L107" s="11" t="str">
        <f t="shared" si="1"/>
        <v/>
      </c>
      <c r="Z107" s="2" t="s">
        <v>34</v>
      </c>
    </row>
    <row r="108">
      <c r="A108" s="3" t="s">
        <v>48</v>
      </c>
      <c r="B108" s="4" t="s">
        <v>1516</v>
      </c>
      <c r="C108" s="1" t="s">
        <v>1517</v>
      </c>
      <c r="D108" s="3" t="s">
        <v>1518</v>
      </c>
      <c r="E108" s="1" t="s">
        <v>30</v>
      </c>
      <c r="F108" s="5">
        <v>13460.0</v>
      </c>
      <c r="G108" s="1" t="s">
        <v>31</v>
      </c>
      <c r="H108" s="14" t="s">
        <v>32</v>
      </c>
      <c r="I108" s="1">
        <v>-6.22127</v>
      </c>
      <c r="J108" s="3">
        <v>106.9435085</v>
      </c>
      <c r="K108" s="6" t="s">
        <v>1519</v>
      </c>
      <c r="L108" s="11">
        <f t="shared" si="1"/>
        <v>18333333.33</v>
      </c>
      <c r="M108" s="11">
        <f>2750000000/150</f>
        <v>18333333.33</v>
      </c>
      <c r="Z108" s="8" t="s">
        <v>1520</v>
      </c>
    </row>
    <row r="109">
      <c r="A109" s="3" t="s">
        <v>48</v>
      </c>
      <c r="B109" s="4" t="s">
        <v>685</v>
      </c>
      <c r="C109" s="1" t="s">
        <v>1521</v>
      </c>
      <c r="D109" s="3" t="s">
        <v>1522</v>
      </c>
      <c r="E109" s="1" t="s">
        <v>30</v>
      </c>
      <c r="F109" s="5">
        <v>13450.0</v>
      </c>
      <c r="G109" s="1" t="s">
        <v>31</v>
      </c>
      <c r="H109" s="14" t="s">
        <v>32</v>
      </c>
      <c r="I109" s="1">
        <v>-6.2396133</v>
      </c>
      <c r="J109" s="3">
        <v>106.9411941</v>
      </c>
      <c r="K109" s="6" t="s">
        <v>1523</v>
      </c>
      <c r="L109" s="11" t="str">
        <f t="shared" si="1"/>
        <v/>
      </c>
      <c r="Z109" s="2" t="s">
        <v>34</v>
      </c>
    </row>
    <row r="110">
      <c r="A110" s="3" t="s">
        <v>48</v>
      </c>
      <c r="B110" s="4" t="s">
        <v>1524</v>
      </c>
      <c r="C110" s="1" t="s">
        <v>1525</v>
      </c>
      <c r="D110" s="3" t="s">
        <v>1526</v>
      </c>
      <c r="E110" s="1" t="s">
        <v>30</v>
      </c>
      <c r="F110" s="5">
        <v>13440.0</v>
      </c>
      <c r="G110" s="1" t="s">
        <v>31</v>
      </c>
      <c r="H110" s="3" t="s">
        <v>32</v>
      </c>
      <c r="I110" s="1">
        <v>-6.2345635</v>
      </c>
      <c r="J110" s="3">
        <v>106.9173061</v>
      </c>
      <c r="K110" s="6" t="s">
        <v>1527</v>
      </c>
      <c r="L110" s="11">
        <f t="shared" si="1"/>
        <v>19130434.78</v>
      </c>
      <c r="M110" s="11">
        <f>2200000000/115</f>
        <v>19130434.78</v>
      </c>
      <c r="Z110" s="8" t="s">
        <v>1528</v>
      </c>
    </row>
    <row r="111">
      <c r="A111" s="3" t="s">
        <v>48</v>
      </c>
      <c r="B111" s="4" t="s">
        <v>1529</v>
      </c>
      <c r="C111" s="1" t="s">
        <v>1530</v>
      </c>
      <c r="D111" s="3" t="s">
        <v>1531</v>
      </c>
      <c r="E111" s="1" t="s">
        <v>30</v>
      </c>
      <c r="F111" s="5">
        <v>13430.0</v>
      </c>
      <c r="G111" s="1" t="s">
        <v>31</v>
      </c>
      <c r="H111" s="3" t="s">
        <v>32</v>
      </c>
      <c r="I111" s="1">
        <v>-6.2437608</v>
      </c>
      <c r="J111" s="3">
        <v>106.9047265</v>
      </c>
      <c r="K111" s="6" t="s">
        <v>1532</v>
      </c>
      <c r="L111" s="11">
        <f t="shared" si="1"/>
        <v>41666666.67</v>
      </c>
      <c r="M111" s="11">
        <f>5000000000/120</f>
        <v>41666666.67</v>
      </c>
      <c r="Z111" s="8" t="s">
        <v>1533</v>
      </c>
    </row>
    <row r="112">
      <c r="A112" s="3" t="s">
        <v>48</v>
      </c>
      <c r="B112" s="4" t="s">
        <v>1534</v>
      </c>
      <c r="C112" s="1" t="s">
        <v>1535</v>
      </c>
      <c r="D112" s="3" t="s">
        <v>1536</v>
      </c>
      <c r="E112" s="1" t="s">
        <v>30</v>
      </c>
      <c r="F112" s="5">
        <v>13470.0</v>
      </c>
      <c r="G112" s="1" t="s">
        <v>31</v>
      </c>
      <c r="H112" s="9">
        <v>8.13E10</v>
      </c>
      <c r="I112" s="1">
        <v>-6.2188495</v>
      </c>
      <c r="J112" s="3">
        <v>106.9151253</v>
      </c>
      <c r="K112" s="6" t="s">
        <v>1537</v>
      </c>
      <c r="L112" s="11">
        <f t="shared" si="1"/>
        <v>23333333.33</v>
      </c>
      <c r="M112" s="11">
        <f>2100000000/90</f>
        <v>23333333.33</v>
      </c>
      <c r="Z112" s="8" t="s">
        <v>1538</v>
      </c>
    </row>
    <row r="113">
      <c r="A113" s="3" t="s">
        <v>48</v>
      </c>
      <c r="B113" s="4" t="s">
        <v>1539</v>
      </c>
      <c r="C113" s="1" t="s">
        <v>1540</v>
      </c>
      <c r="D113" s="3" t="s">
        <v>1541</v>
      </c>
      <c r="E113" s="1" t="s">
        <v>30</v>
      </c>
      <c r="F113" s="5">
        <v>13430.0</v>
      </c>
      <c r="G113" s="1" t="s">
        <v>31</v>
      </c>
      <c r="H113" s="3" t="s">
        <v>32</v>
      </c>
      <c r="I113" s="1">
        <v>-6.241233</v>
      </c>
      <c r="J113" s="3">
        <v>106.9096857</v>
      </c>
      <c r="K113" s="6" t="s">
        <v>1542</v>
      </c>
      <c r="L113" s="11" t="str">
        <f t="shared" si="1"/>
        <v/>
      </c>
      <c r="Z113" s="2" t="s">
        <v>34</v>
      </c>
    </row>
    <row r="114">
      <c r="A114" s="3" t="s">
        <v>48</v>
      </c>
      <c r="B114" s="4" t="s">
        <v>1543</v>
      </c>
      <c r="C114" s="1" t="s">
        <v>1544</v>
      </c>
      <c r="D114" s="3" t="s">
        <v>1545</v>
      </c>
      <c r="E114" s="1" t="s">
        <v>30</v>
      </c>
      <c r="F114" s="5">
        <v>13440.0</v>
      </c>
      <c r="G114" s="1" t="s">
        <v>31</v>
      </c>
      <c r="H114" s="14" t="s">
        <v>32</v>
      </c>
      <c r="I114" s="1">
        <v>-6.2381326</v>
      </c>
      <c r="J114" s="3">
        <v>106.9179375</v>
      </c>
      <c r="K114" s="6" t="s">
        <v>1546</v>
      </c>
      <c r="L114" s="11">
        <f t="shared" si="1"/>
        <v>11000000</v>
      </c>
      <c r="M114" s="11">
        <f>2750000000/250</f>
        <v>11000000</v>
      </c>
      <c r="Z114" s="8" t="s">
        <v>1547</v>
      </c>
    </row>
    <row r="115">
      <c r="A115" s="3" t="s">
        <v>48</v>
      </c>
      <c r="B115" s="4" t="s">
        <v>1548</v>
      </c>
      <c r="C115" s="1" t="s">
        <v>1549</v>
      </c>
      <c r="D115" s="3" t="s">
        <v>1550</v>
      </c>
      <c r="E115" s="1" t="s">
        <v>30</v>
      </c>
      <c r="F115" s="5">
        <v>13440.0</v>
      </c>
      <c r="G115" s="1" t="s">
        <v>31</v>
      </c>
      <c r="H115" s="3" t="s">
        <v>32</v>
      </c>
      <c r="I115" s="1">
        <v>-6.245035</v>
      </c>
      <c r="J115" s="3">
        <v>106.9141349</v>
      </c>
      <c r="K115" s="6" t="s">
        <v>1551</v>
      </c>
      <c r="L115" s="11">
        <f t="shared" si="1"/>
        <v>11596180.08</v>
      </c>
      <c r="M115" s="11">
        <f>8500000000/733</f>
        <v>11596180.08</v>
      </c>
      <c r="Z115" s="8" t="s">
        <v>1552</v>
      </c>
    </row>
    <row r="116">
      <c r="A116" s="3" t="s">
        <v>48</v>
      </c>
      <c r="B116" s="4" t="s">
        <v>1553</v>
      </c>
      <c r="C116" s="1" t="s">
        <v>1554</v>
      </c>
      <c r="D116" s="3" t="s">
        <v>1555</v>
      </c>
      <c r="E116" s="1" t="s">
        <v>30</v>
      </c>
      <c r="F116" s="5">
        <v>13440.0</v>
      </c>
      <c r="G116" s="1" t="s">
        <v>31</v>
      </c>
      <c r="H116" s="3" t="s">
        <v>32</v>
      </c>
      <c r="I116" s="1">
        <v>-6.2281127</v>
      </c>
      <c r="J116" s="3">
        <v>106.910573</v>
      </c>
      <c r="K116" s="6" t="s">
        <v>1556</v>
      </c>
      <c r="L116" s="11">
        <f t="shared" si="1"/>
        <v>14750000</v>
      </c>
      <c r="M116" s="11">
        <f>2950000000/200</f>
        <v>14750000</v>
      </c>
      <c r="Z116" s="8" t="s">
        <v>1557</v>
      </c>
    </row>
    <row r="117">
      <c r="A117" s="3" t="s">
        <v>48</v>
      </c>
      <c r="B117" s="4" t="s">
        <v>1558</v>
      </c>
      <c r="C117" s="1" t="s">
        <v>1559</v>
      </c>
      <c r="D117" s="3" t="s">
        <v>1560</v>
      </c>
      <c r="E117" s="1" t="s">
        <v>30</v>
      </c>
      <c r="F117" s="5">
        <v>13450.0</v>
      </c>
      <c r="G117" s="1" t="s">
        <v>31</v>
      </c>
      <c r="H117" s="9">
        <v>8.21E10</v>
      </c>
      <c r="I117" s="1">
        <v>-6.2413135</v>
      </c>
      <c r="J117" s="3">
        <v>106.9311041</v>
      </c>
      <c r="K117" s="6" t="s">
        <v>1561</v>
      </c>
      <c r="L117" s="11">
        <f t="shared" si="1"/>
        <v>25000000</v>
      </c>
      <c r="M117" s="11">
        <f>1750000000/70</f>
        <v>25000000</v>
      </c>
      <c r="Z117" s="8" t="s">
        <v>1562</v>
      </c>
    </row>
    <row r="118">
      <c r="A118" s="3" t="s">
        <v>48</v>
      </c>
      <c r="B118" s="4" t="s">
        <v>1563</v>
      </c>
      <c r="C118" s="1" t="s">
        <v>1564</v>
      </c>
      <c r="D118" s="3" t="s">
        <v>1565</v>
      </c>
      <c r="E118" s="1" t="s">
        <v>30</v>
      </c>
      <c r="F118" s="5">
        <v>13450.0</v>
      </c>
      <c r="G118" s="1" t="s">
        <v>31</v>
      </c>
      <c r="H118" s="3" t="s">
        <v>32</v>
      </c>
      <c r="I118" s="1">
        <v>-6.2434646</v>
      </c>
      <c r="J118" s="3">
        <v>106.9261535</v>
      </c>
      <c r="K118" s="6" t="s">
        <v>1566</v>
      </c>
      <c r="L118" s="11">
        <f t="shared" si="1"/>
        <v>17142857.14</v>
      </c>
      <c r="M118" s="11">
        <f>4800000000/280</f>
        <v>17142857.14</v>
      </c>
      <c r="Z118" s="8" t="s">
        <v>1567</v>
      </c>
    </row>
    <row r="119">
      <c r="A119" s="3" t="s">
        <v>48</v>
      </c>
      <c r="B119" s="4" t="s">
        <v>1568</v>
      </c>
      <c r="C119" s="1" t="s">
        <v>1569</v>
      </c>
      <c r="D119" s="3" t="s">
        <v>1570</v>
      </c>
      <c r="E119" s="1" t="s">
        <v>30</v>
      </c>
      <c r="F119" s="5">
        <v>13460.0</v>
      </c>
      <c r="G119" s="1" t="s">
        <v>31</v>
      </c>
      <c r="H119" s="14" t="s">
        <v>32</v>
      </c>
      <c r="I119" s="1">
        <v>-6.242047</v>
      </c>
      <c r="J119" s="3">
        <v>106.9370437</v>
      </c>
      <c r="K119" s="6" t="s">
        <v>1571</v>
      </c>
      <c r="L119" s="11">
        <f t="shared" si="1"/>
        <v>11428571.43</v>
      </c>
      <c r="M119" s="11">
        <f>1600000000/140</f>
        <v>11428571.43</v>
      </c>
      <c r="Z119" s="8" t="s">
        <v>1572</v>
      </c>
    </row>
    <row r="120">
      <c r="A120" s="3" t="s">
        <v>48</v>
      </c>
      <c r="B120" s="4" t="s">
        <v>1573</v>
      </c>
      <c r="C120" s="1" t="s">
        <v>1574</v>
      </c>
      <c r="D120" s="3" t="s">
        <v>1575</v>
      </c>
      <c r="E120" s="1" t="s">
        <v>30</v>
      </c>
      <c r="F120" s="5">
        <v>13450.0</v>
      </c>
      <c r="G120" s="1" t="s">
        <v>31</v>
      </c>
      <c r="H120" s="3" t="s">
        <v>32</v>
      </c>
      <c r="I120" s="1">
        <v>-6.2448175</v>
      </c>
      <c r="J120" s="3">
        <v>106.9283117</v>
      </c>
      <c r="K120" s="6" t="s">
        <v>1576</v>
      </c>
      <c r="L120" s="11">
        <f t="shared" si="1"/>
        <v>25000000</v>
      </c>
      <c r="M120" s="11">
        <f>1750000000/70</f>
        <v>25000000</v>
      </c>
      <c r="Z120" s="8" t="s">
        <v>1562</v>
      </c>
    </row>
    <row r="121">
      <c r="A121" s="3" t="s">
        <v>48</v>
      </c>
      <c r="B121" s="4" t="s">
        <v>1577</v>
      </c>
      <c r="C121" s="1" t="s">
        <v>1578</v>
      </c>
      <c r="D121" s="3" t="s">
        <v>1579</v>
      </c>
      <c r="E121" s="1" t="s">
        <v>30</v>
      </c>
      <c r="F121" s="5">
        <v>13450.0</v>
      </c>
      <c r="G121" s="1" t="s">
        <v>31</v>
      </c>
      <c r="H121" s="3" t="s">
        <v>32</v>
      </c>
      <c r="I121" s="1">
        <v>-6.2461407</v>
      </c>
      <c r="J121" s="3">
        <v>106.9229506</v>
      </c>
      <c r="K121" s="6" t="s">
        <v>1580</v>
      </c>
      <c r="L121" s="11">
        <f t="shared" si="1"/>
        <v>13011152.42</v>
      </c>
      <c r="M121" s="11">
        <f>7000000000/538</f>
        <v>13011152.42</v>
      </c>
      <c r="Z121" s="8" t="s">
        <v>1581</v>
      </c>
    </row>
    <row r="122">
      <c r="A122" s="3" t="s">
        <v>48</v>
      </c>
      <c r="B122" s="4" t="s">
        <v>1582</v>
      </c>
      <c r="C122" s="1" t="s">
        <v>1583</v>
      </c>
      <c r="D122" s="3" t="s">
        <v>1584</v>
      </c>
      <c r="E122" s="1" t="s">
        <v>30</v>
      </c>
      <c r="F122" s="5">
        <v>13450.0</v>
      </c>
      <c r="G122" s="1" t="s">
        <v>31</v>
      </c>
      <c r="H122" s="9">
        <v>8.57E10</v>
      </c>
      <c r="I122" s="1">
        <v>-6.2382404</v>
      </c>
      <c r="J122" s="3">
        <v>106.9362539</v>
      </c>
      <c r="K122" s="6" t="s">
        <v>1585</v>
      </c>
      <c r="L122" s="11">
        <f t="shared" si="1"/>
        <v>24285714.29</v>
      </c>
      <c r="M122" s="11">
        <f>1500000000/62</f>
        <v>24193548.39</v>
      </c>
      <c r="N122" s="11">
        <f>1600000000/63</f>
        <v>25396825.4</v>
      </c>
      <c r="O122" s="11">
        <f>1700000000/70</f>
        <v>24285714.29</v>
      </c>
      <c r="Z122" s="8" t="s">
        <v>1586</v>
      </c>
    </row>
    <row r="123">
      <c r="A123" s="3" t="s">
        <v>48</v>
      </c>
      <c r="B123" s="4" t="s">
        <v>1587</v>
      </c>
      <c r="C123" s="1" t="s">
        <v>1588</v>
      </c>
      <c r="D123" s="3" t="s">
        <v>1589</v>
      </c>
      <c r="E123" s="1" t="s">
        <v>30</v>
      </c>
      <c r="F123" s="5">
        <v>13450.0</v>
      </c>
      <c r="G123" s="1" t="s">
        <v>31</v>
      </c>
      <c r="H123" s="3" t="s">
        <v>32</v>
      </c>
      <c r="I123" s="1">
        <v>-6.2395021</v>
      </c>
      <c r="J123" s="3">
        <v>106.9430734</v>
      </c>
      <c r="K123" s="6" t="s">
        <v>1590</v>
      </c>
      <c r="L123" s="11" t="str">
        <f t="shared" si="1"/>
        <v/>
      </c>
      <c r="Z123" s="2" t="s">
        <v>34</v>
      </c>
    </row>
    <row r="124">
      <c r="A124" s="3" t="s">
        <v>48</v>
      </c>
      <c r="B124" s="4" t="s">
        <v>1591</v>
      </c>
      <c r="C124" s="1" t="s">
        <v>1592</v>
      </c>
      <c r="D124" s="3" t="s">
        <v>1593</v>
      </c>
      <c r="E124" s="1" t="s">
        <v>30</v>
      </c>
      <c r="F124" s="5">
        <v>13450.0</v>
      </c>
      <c r="G124" s="1" t="s">
        <v>31</v>
      </c>
      <c r="H124" s="14" t="s">
        <v>32</v>
      </c>
      <c r="I124" s="1">
        <v>-6.2515052</v>
      </c>
      <c r="J124" s="3">
        <v>106.9374698</v>
      </c>
      <c r="K124" s="6" t="s">
        <v>1594</v>
      </c>
      <c r="L124" s="11">
        <f t="shared" si="1"/>
        <v>18918918.92</v>
      </c>
      <c r="M124" s="11">
        <f>1400000000/74</f>
        <v>18918918.92</v>
      </c>
      <c r="Z124" s="8" t="s">
        <v>1595</v>
      </c>
    </row>
    <row r="125">
      <c r="A125" s="3" t="s">
        <v>48</v>
      </c>
      <c r="B125" s="4" t="s">
        <v>1596</v>
      </c>
      <c r="C125" s="1" t="s">
        <v>1597</v>
      </c>
      <c r="D125" s="3" t="s">
        <v>1598</v>
      </c>
      <c r="E125" s="1" t="s">
        <v>30</v>
      </c>
      <c r="F125" s="5">
        <v>13450.0</v>
      </c>
      <c r="G125" s="1" t="s">
        <v>31</v>
      </c>
      <c r="H125" s="3" t="s">
        <v>32</v>
      </c>
      <c r="I125" s="1">
        <v>-6.2523752</v>
      </c>
      <c r="J125" s="3">
        <v>106.9423423</v>
      </c>
      <c r="K125" s="6" t="s">
        <v>1599</v>
      </c>
      <c r="L125" s="11" t="str">
        <f t="shared" si="1"/>
        <v/>
      </c>
      <c r="Z125" s="2" t="s">
        <v>34</v>
      </c>
    </row>
    <row r="126">
      <c r="A126" s="3" t="s">
        <v>48</v>
      </c>
      <c r="B126" s="4" t="s">
        <v>1600</v>
      </c>
      <c r="C126" s="1" t="s">
        <v>1601</v>
      </c>
      <c r="D126" s="3" t="s">
        <v>1602</v>
      </c>
      <c r="E126" s="1" t="s">
        <v>30</v>
      </c>
      <c r="F126" s="5">
        <v>13460.0</v>
      </c>
      <c r="G126" s="1" t="s">
        <v>31</v>
      </c>
      <c r="H126" s="3" t="s">
        <v>32</v>
      </c>
      <c r="I126" s="1">
        <v>-6.2290998</v>
      </c>
      <c r="J126" s="3">
        <v>106.9305637</v>
      </c>
      <c r="K126" s="6" t="s">
        <v>1603</v>
      </c>
      <c r="L126" s="11">
        <f t="shared" si="1"/>
        <v>11111111.11</v>
      </c>
      <c r="M126" s="11">
        <f>2000000000/180</f>
        <v>11111111.11</v>
      </c>
      <c r="Z126" s="8" t="s">
        <v>1604</v>
      </c>
    </row>
    <row r="127">
      <c r="A127" s="3" t="s">
        <v>48</v>
      </c>
      <c r="B127" s="4" t="s">
        <v>1605</v>
      </c>
      <c r="C127" s="1" t="s">
        <v>1606</v>
      </c>
      <c r="D127" s="3" t="s">
        <v>1607</v>
      </c>
      <c r="E127" s="1" t="s">
        <v>30</v>
      </c>
      <c r="F127" s="5">
        <v>13440.0</v>
      </c>
      <c r="G127" s="1" t="s">
        <v>31</v>
      </c>
      <c r="H127" s="3" t="s">
        <v>32</v>
      </c>
      <c r="I127" s="1">
        <v>-6.2381657</v>
      </c>
      <c r="J127" s="3">
        <v>106.9181234</v>
      </c>
      <c r="K127" s="6" t="s">
        <v>1608</v>
      </c>
      <c r="L127" s="11">
        <f t="shared" si="1"/>
        <v>16000000</v>
      </c>
      <c r="M127" s="11">
        <f>800000000/50</f>
        <v>16000000</v>
      </c>
      <c r="Z127" s="8" t="s">
        <v>1609</v>
      </c>
    </row>
    <row r="128">
      <c r="A128" s="3" t="s">
        <v>48</v>
      </c>
      <c r="B128" s="4" t="s">
        <v>1610</v>
      </c>
      <c r="C128" s="1" t="s">
        <v>1611</v>
      </c>
      <c r="D128" s="3" t="s">
        <v>1612</v>
      </c>
      <c r="E128" s="1" t="s">
        <v>30</v>
      </c>
      <c r="F128" s="5">
        <v>13140.0</v>
      </c>
      <c r="G128" s="1" t="s">
        <v>31</v>
      </c>
      <c r="H128" s="9">
        <v>2.19E9</v>
      </c>
      <c r="I128" s="1">
        <v>-6.2106082</v>
      </c>
      <c r="J128" s="3">
        <v>106.8603806</v>
      </c>
      <c r="K128" s="6" t="s">
        <v>1613</v>
      </c>
      <c r="L128" s="11">
        <f t="shared" si="1"/>
        <v>27710843.37</v>
      </c>
      <c r="M128" s="11">
        <f>2300000000/83</f>
        <v>27710843.37</v>
      </c>
      <c r="Z128" s="8" t="s">
        <v>1614</v>
      </c>
    </row>
    <row r="129">
      <c r="A129" s="3" t="s">
        <v>48</v>
      </c>
      <c r="B129" s="4" t="s">
        <v>1615</v>
      </c>
      <c r="C129" s="1" t="s">
        <v>1616</v>
      </c>
      <c r="D129" s="3" t="s">
        <v>1617</v>
      </c>
      <c r="E129" s="1" t="s">
        <v>30</v>
      </c>
      <c r="F129" s="5">
        <v>13320.0</v>
      </c>
      <c r="G129" s="1" t="s">
        <v>31</v>
      </c>
      <c r="H129" s="3" t="s">
        <v>32</v>
      </c>
      <c r="I129" s="1">
        <v>-6.2156344</v>
      </c>
      <c r="J129" s="3">
        <v>106.8629612</v>
      </c>
      <c r="K129" s="6" t="s">
        <v>1618</v>
      </c>
      <c r="L129" s="11">
        <f t="shared" si="1"/>
        <v>19749216.3</v>
      </c>
      <c r="M129" s="11">
        <f>6300000000/319</f>
        <v>19749216.3</v>
      </c>
      <c r="Z129" s="8" t="s">
        <v>1619</v>
      </c>
    </row>
    <row r="130">
      <c r="A130" s="3" t="s">
        <v>48</v>
      </c>
      <c r="B130" s="4" t="s">
        <v>1620</v>
      </c>
      <c r="C130" s="1" t="s">
        <v>1621</v>
      </c>
      <c r="D130" s="3" t="s">
        <v>1622</v>
      </c>
      <c r="E130" s="1" t="s">
        <v>30</v>
      </c>
      <c r="F130" s="5">
        <v>13340.0</v>
      </c>
      <c r="G130" s="1" t="s">
        <v>31</v>
      </c>
      <c r="H130" s="3" t="s">
        <v>32</v>
      </c>
      <c r="I130" s="1">
        <v>-6.2348888</v>
      </c>
      <c r="J130" s="3">
        <v>106.8767328</v>
      </c>
      <c r="K130" s="6" t="s">
        <v>1623</v>
      </c>
      <c r="L130" s="11" t="str">
        <f t="shared" si="1"/>
        <v/>
      </c>
      <c r="Z130" s="2" t="s">
        <v>34</v>
      </c>
    </row>
    <row r="131">
      <c r="A131" s="3" t="s">
        <v>48</v>
      </c>
      <c r="B131" s="4" t="s">
        <v>1624</v>
      </c>
      <c r="C131" s="1" t="s">
        <v>1625</v>
      </c>
      <c r="D131" s="3" t="s">
        <v>1626</v>
      </c>
      <c r="E131" s="1" t="s">
        <v>30</v>
      </c>
      <c r="F131" s="5">
        <v>13420.0</v>
      </c>
      <c r="G131" s="1" t="s">
        <v>31</v>
      </c>
      <c r="H131" s="3" t="s">
        <v>32</v>
      </c>
      <c r="I131" s="1">
        <v>-6.2240133</v>
      </c>
      <c r="J131" s="3">
        <v>106.8926104</v>
      </c>
      <c r="K131" s="6" t="s">
        <v>1627</v>
      </c>
      <c r="L131" s="11">
        <f t="shared" si="1"/>
        <v>8235294.118</v>
      </c>
      <c r="M131" s="11">
        <f>700000000/85</f>
        <v>8235294.118</v>
      </c>
      <c r="Z131" s="8" t="s">
        <v>1628</v>
      </c>
    </row>
    <row r="132">
      <c r="A132" s="3" t="s">
        <v>48</v>
      </c>
      <c r="B132" s="4" t="s">
        <v>1629</v>
      </c>
      <c r="C132" s="1" t="s">
        <v>1630</v>
      </c>
      <c r="D132" s="3" t="s">
        <v>1631</v>
      </c>
      <c r="E132" s="1" t="s">
        <v>30</v>
      </c>
      <c r="F132" s="5">
        <v>13420.0</v>
      </c>
      <c r="G132" s="1" t="s">
        <v>31</v>
      </c>
      <c r="H132" s="9">
        <v>8.13E10</v>
      </c>
      <c r="I132" s="1">
        <v>-6.2158893</v>
      </c>
      <c r="J132" s="3">
        <v>106.8889208</v>
      </c>
      <c r="K132" s="6" t="s">
        <v>1632</v>
      </c>
      <c r="L132" s="11">
        <f t="shared" si="1"/>
        <v>17818181.82</v>
      </c>
      <c r="M132" s="11">
        <f>980000000/55</f>
        <v>17818181.82</v>
      </c>
      <c r="Z132" s="8" t="s">
        <v>1633</v>
      </c>
    </row>
    <row r="133">
      <c r="A133" s="3" t="s">
        <v>48</v>
      </c>
      <c r="B133" s="4" t="s">
        <v>1634</v>
      </c>
      <c r="C133" s="1" t="s">
        <v>1635</v>
      </c>
      <c r="D133" s="3" t="s">
        <v>1636</v>
      </c>
      <c r="E133" s="1" t="s">
        <v>30</v>
      </c>
      <c r="F133" s="5">
        <v>13540.0</v>
      </c>
      <c r="G133" s="1" t="s">
        <v>31</v>
      </c>
      <c r="H133" s="3" t="s">
        <v>32</v>
      </c>
      <c r="I133" s="1">
        <v>-6.295791</v>
      </c>
      <c r="J133" s="3">
        <v>106.8665848</v>
      </c>
      <c r="K133" s="6" t="s">
        <v>1637</v>
      </c>
      <c r="L133" s="11">
        <f t="shared" si="1"/>
        <v>1042147.368</v>
      </c>
      <c r="M133" s="11">
        <f>19800800/19</f>
        <v>1042147.368</v>
      </c>
      <c r="Z133" s="8" t="s">
        <v>1638</v>
      </c>
    </row>
    <row r="134">
      <c r="A134" s="3" t="s">
        <v>48</v>
      </c>
      <c r="B134" s="4" t="s">
        <v>1639</v>
      </c>
      <c r="C134" s="1" t="s">
        <v>1640</v>
      </c>
      <c r="D134" s="3" t="s">
        <v>1641</v>
      </c>
      <c r="E134" s="1" t="s">
        <v>30</v>
      </c>
      <c r="F134" s="5">
        <v>13550.0</v>
      </c>
      <c r="G134" s="1" t="s">
        <v>31</v>
      </c>
      <c r="H134" s="9">
        <v>8.13E10</v>
      </c>
      <c r="I134" s="1">
        <v>-6.295028</v>
      </c>
      <c r="J134" s="3">
        <v>106.8790597</v>
      </c>
      <c r="K134" s="6" t="s">
        <v>1642</v>
      </c>
      <c r="L134" s="11">
        <f t="shared" si="1"/>
        <v>21739130.43</v>
      </c>
      <c r="M134" s="11">
        <f>2000000000/92</f>
        <v>21739130.43</v>
      </c>
      <c r="Z134" s="8" t="s">
        <v>1643</v>
      </c>
    </row>
    <row r="135">
      <c r="A135" s="3" t="s">
        <v>48</v>
      </c>
      <c r="B135" s="4" t="s">
        <v>1644</v>
      </c>
      <c r="C135" s="1" t="s">
        <v>1645</v>
      </c>
      <c r="D135" s="3" t="s">
        <v>1646</v>
      </c>
      <c r="E135" s="1" t="s">
        <v>30</v>
      </c>
      <c r="F135" s="5">
        <v>13510.0</v>
      </c>
      <c r="G135" s="1" t="s">
        <v>31</v>
      </c>
      <c r="H135" s="3" t="s">
        <v>32</v>
      </c>
      <c r="I135" s="1">
        <v>-6.2721178</v>
      </c>
      <c r="J135" s="3">
        <v>106.8715787</v>
      </c>
      <c r="K135" s="6" t="s">
        <v>1647</v>
      </c>
      <c r="L135" s="11" t="str">
        <f t="shared" si="1"/>
        <v/>
      </c>
      <c r="Z135" s="2" t="s">
        <v>34</v>
      </c>
    </row>
    <row r="136">
      <c r="A136" s="3" t="s">
        <v>48</v>
      </c>
      <c r="B136" s="4" t="s">
        <v>1648</v>
      </c>
      <c r="C136" s="1" t="s">
        <v>1649</v>
      </c>
      <c r="D136" s="3" t="s">
        <v>1650</v>
      </c>
      <c r="E136" s="1" t="s">
        <v>30</v>
      </c>
      <c r="F136" s="5">
        <v>13520.0</v>
      </c>
      <c r="G136" s="1" t="s">
        <v>31</v>
      </c>
      <c r="H136" s="3" t="s">
        <v>32</v>
      </c>
      <c r="I136" s="1">
        <v>-6.2761535</v>
      </c>
      <c r="J136" s="3">
        <v>106.8676095</v>
      </c>
      <c r="K136" s="6" t="s">
        <v>1651</v>
      </c>
      <c r="L136" s="11">
        <f t="shared" si="1"/>
        <v>14056224.9</v>
      </c>
      <c r="M136" s="11">
        <f>7000000000/498</f>
        <v>14056224.9</v>
      </c>
      <c r="Z136" s="8" t="s">
        <v>1652</v>
      </c>
    </row>
    <row r="137">
      <c r="A137" s="3" t="s">
        <v>48</v>
      </c>
      <c r="B137" s="4" t="s">
        <v>1653</v>
      </c>
      <c r="C137" s="1" t="s">
        <v>1654</v>
      </c>
      <c r="D137" s="3" t="s">
        <v>1655</v>
      </c>
      <c r="E137" s="1" t="s">
        <v>30</v>
      </c>
      <c r="F137" s="5">
        <v>13520.0</v>
      </c>
      <c r="G137" s="1" t="s">
        <v>31</v>
      </c>
      <c r="H137" s="14" t="s">
        <v>32</v>
      </c>
      <c r="I137" s="1">
        <v>-6.2813345</v>
      </c>
      <c r="J137" s="3">
        <v>106.8553164</v>
      </c>
      <c r="K137" s="6" t="s">
        <v>1656</v>
      </c>
      <c r="L137" s="11">
        <f t="shared" si="1"/>
        <v>33898305.08</v>
      </c>
      <c r="M137" s="11">
        <f>4000000000/118</f>
        <v>33898305.08</v>
      </c>
      <c r="Z137" s="8" t="s">
        <v>1657</v>
      </c>
    </row>
    <row r="138">
      <c r="A138" s="3" t="s">
        <v>48</v>
      </c>
      <c r="B138" s="4" t="s">
        <v>1658</v>
      </c>
      <c r="C138" s="1" t="s">
        <v>1659</v>
      </c>
      <c r="D138" s="3" t="s">
        <v>1660</v>
      </c>
      <c r="E138" s="1" t="s">
        <v>30</v>
      </c>
      <c r="F138" s="5">
        <v>13520.0</v>
      </c>
      <c r="G138" s="1" t="s">
        <v>31</v>
      </c>
      <c r="H138" s="3" t="s">
        <v>32</v>
      </c>
      <c r="I138" s="1">
        <v>-6.2812832</v>
      </c>
      <c r="J138" s="3">
        <v>106.8618316</v>
      </c>
      <c r="K138" s="6" t="s">
        <v>1661</v>
      </c>
      <c r="L138" s="11">
        <f t="shared" si="1"/>
        <v>13750000</v>
      </c>
      <c r="M138" s="11">
        <f>2200000000/160</f>
        <v>13750000</v>
      </c>
      <c r="Z138" s="8" t="s">
        <v>1662</v>
      </c>
    </row>
    <row r="139">
      <c r="A139" s="3" t="s">
        <v>48</v>
      </c>
      <c r="B139" s="4" t="s">
        <v>1663</v>
      </c>
      <c r="C139" s="1" t="s">
        <v>1664</v>
      </c>
      <c r="D139" s="3" t="s">
        <v>1665</v>
      </c>
      <c r="E139" s="1" t="s">
        <v>30</v>
      </c>
      <c r="F139" s="5">
        <v>13520.0</v>
      </c>
      <c r="G139" s="1" t="s">
        <v>31</v>
      </c>
      <c r="H139" s="3" t="s">
        <v>32</v>
      </c>
      <c r="I139" s="1">
        <v>-6.2895642</v>
      </c>
      <c r="J139" s="3">
        <v>106.8569313</v>
      </c>
      <c r="K139" s="6" t="s">
        <v>1666</v>
      </c>
      <c r="L139" s="11" t="str">
        <f t="shared" si="1"/>
        <v/>
      </c>
      <c r="Z139" s="2" t="s">
        <v>34</v>
      </c>
    </row>
    <row r="140">
      <c r="A140" s="3" t="s">
        <v>48</v>
      </c>
      <c r="B140" s="4" t="s">
        <v>1667</v>
      </c>
      <c r="C140" s="1" t="s">
        <v>1668</v>
      </c>
      <c r="D140" s="3" t="s">
        <v>1669</v>
      </c>
      <c r="E140" s="1" t="s">
        <v>30</v>
      </c>
      <c r="F140" s="5">
        <v>13530.0</v>
      </c>
      <c r="G140" s="1" t="s">
        <v>31</v>
      </c>
      <c r="H140" s="9">
        <v>8.52E10</v>
      </c>
      <c r="I140" s="1">
        <v>-6.2748856</v>
      </c>
      <c r="J140" s="3">
        <v>106.8544111</v>
      </c>
      <c r="K140" s="6" t="s">
        <v>1670</v>
      </c>
      <c r="L140" s="11" t="str">
        <f t="shared" si="1"/>
        <v/>
      </c>
      <c r="Z140" s="2" t="s">
        <v>34</v>
      </c>
    </row>
    <row r="141">
      <c r="A141" s="3" t="s">
        <v>48</v>
      </c>
      <c r="B141" s="4" t="s">
        <v>1671</v>
      </c>
      <c r="C141" s="1" t="s">
        <v>1672</v>
      </c>
      <c r="D141" s="3" t="s">
        <v>1673</v>
      </c>
      <c r="E141" s="1" t="s">
        <v>30</v>
      </c>
      <c r="F141" s="5">
        <v>13540.0</v>
      </c>
      <c r="G141" s="1" t="s">
        <v>31</v>
      </c>
      <c r="H141" s="9">
        <v>8.16E9</v>
      </c>
      <c r="I141" s="1">
        <v>-6.2926341</v>
      </c>
      <c r="J141" s="3">
        <v>106.8662403</v>
      </c>
      <c r="K141" s="6" t="s">
        <v>1674</v>
      </c>
      <c r="L141" s="11">
        <f t="shared" si="1"/>
        <v>18500000</v>
      </c>
      <c r="M141" s="11">
        <f>370000000/20</f>
        <v>18500000</v>
      </c>
      <c r="Z141" s="8" t="s">
        <v>1675</v>
      </c>
    </row>
    <row r="142">
      <c r="A142" s="3" t="s">
        <v>48</v>
      </c>
      <c r="B142" s="4" t="s">
        <v>1676</v>
      </c>
      <c r="C142" s="1" t="s">
        <v>1677</v>
      </c>
      <c r="D142" s="3" t="s">
        <v>1254</v>
      </c>
      <c r="E142" s="1" t="s">
        <v>30</v>
      </c>
      <c r="F142" s="3" t="s">
        <v>32</v>
      </c>
      <c r="G142" s="1" t="s">
        <v>31</v>
      </c>
      <c r="H142" s="3" t="s">
        <v>32</v>
      </c>
      <c r="I142" s="1">
        <v>-6.2771797</v>
      </c>
      <c r="J142" s="3">
        <v>106.872134</v>
      </c>
      <c r="K142" s="6" t="s">
        <v>1678</v>
      </c>
      <c r="L142" s="11">
        <f t="shared" si="1"/>
        <v>11666666.67</v>
      </c>
      <c r="M142" s="11">
        <f>980000000/84</f>
        <v>11666666.67</v>
      </c>
      <c r="Z142" s="8" t="s">
        <v>1679</v>
      </c>
    </row>
    <row r="143">
      <c r="A143" s="3" t="s">
        <v>48</v>
      </c>
      <c r="B143" s="4" t="s">
        <v>1680</v>
      </c>
      <c r="C143" s="1" t="s">
        <v>1681</v>
      </c>
      <c r="D143" s="3" t="s">
        <v>1682</v>
      </c>
      <c r="E143" s="1" t="s">
        <v>30</v>
      </c>
      <c r="F143" s="5">
        <v>13550.0</v>
      </c>
      <c r="G143" s="1" t="s">
        <v>31</v>
      </c>
      <c r="H143" s="9">
        <v>8.97E10</v>
      </c>
      <c r="I143" s="1">
        <v>-6.3039613</v>
      </c>
      <c r="J143" s="3">
        <v>106.8803661</v>
      </c>
      <c r="K143" s="6" t="s">
        <v>1683</v>
      </c>
      <c r="L143" s="11">
        <f t="shared" si="1"/>
        <v>23140495.87</v>
      </c>
      <c r="M143" s="11">
        <f>2800000000/121</f>
        <v>23140495.87</v>
      </c>
      <c r="Z143" s="8" t="s">
        <v>1684</v>
      </c>
    </row>
    <row r="144">
      <c r="A144" s="3" t="s">
        <v>48</v>
      </c>
      <c r="B144" s="4" t="s">
        <v>1685</v>
      </c>
      <c r="C144" s="1" t="s">
        <v>1686</v>
      </c>
      <c r="D144" s="3" t="s">
        <v>1687</v>
      </c>
      <c r="E144" s="1" t="s">
        <v>30</v>
      </c>
      <c r="F144" s="5">
        <v>13550.0</v>
      </c>
      <c r="G144" s="1" t="s">
        <v>31</v>
      </c>
      <c r="H144" s="3" t="s">
        <v>32</v>
      </c>
      <c r="I144" s="1">
        <v>-6.3015972</v>
      </c>
      <c r="J144" s="3">
        <v>106.879323</v>
      </c>
      <c r="K144" s="6" t="s">
        <v>1688</v>
      </c>
      <c r="L144" s="11" t="str">
        <f t="shared" si="1"/>
        <v/>
      </c>
      <c r="Z144" s="2" t="s">
        <v>34</v>
      </c>
    </row>
    <row r="145">
      <c r="A145" s="3" t="s">
        <v>48</v>
      </c>
      <c r="B145" s="4" t="s">
        <v>1689</v>
      </c>
      <c r="C145" s="1" t="s">
        <v>1690</v>
      </c>
      <c r="D145" s="3" t="s">
        <v>1691</v>
      </c>
      <c r="E145" s="1" t="s">
        <v>30</v>
      </c>
      <c r="F145" s="5">
        <v>13550.0</v>
      </c>
      <c r="G145" s="1" t="s">
        <v>31</v>
      </c>
      <c r="H145" s="3" t="s">
        <v>32</v>
      </c>
      <c r="I145" s="1">
        <v>-6.3028324</v>
      </c>
      <c r="J145" s="3">
        <v>106.8806828</v>
      </c>
      <c r="K145" s="6" t="s">
        <v>1692</v>
      </c>
      <c r="L145" s="11">
        <f t="shared" si="1"/>
        <v>18823529.41</v>
      </c>
      <c r="M145" s="11">
        <f>1280000000/68</f>
        <v>18823529.41</v>
      </c>
      <c r="Z145" s="8" t="s">
        <v>1693</v>
      </c>
    </row>
    <row r="146">
      <c r="A146" s="3" t="s">
        <v>48</v>
      </c>
      <c r="B146" s="4" t="s">
        <v>1694</v>
      </c>
      <c r="C146" s="1" t="s">
        <v>1695</v>
      </c>
      <c r="D146" s="3" t="s">
        <v>1696</v>
      </c>
      <c r="E146" s="1" t="s">
        <v>30</v>
      </c>
      <c r="F146" s="5">
        <v>13550.0</v>
      </c>
      <c r="G146" s="1" t="s">
        <v>31</v>
      </c>
      <c r="H146" s="14" t="s">
        <v>32</v>
      </c>
      <c r="I146" s="1">
        <v>-6.299711</v>
      </c>
      <c r="J146" s="3">
        <v>106.8778591</v>
      </c>
      <c r="K146" s="6" t="s">
        <v>1697</v>
      </c>
      <c r="L146" s="11" t="str">
        <f t="shared" si="1"/>
        <v/>
      </c>
      <c r="Z146" s="2" t="s">
        <v>34</v>
      </c>
    </row>
    <row r="147">
      <c r="A147" s="3" t="s">
        <v>48</v>
      </c>
      <c r="B147" s="4" t="s">
        <v>1698</v>
      </c>
      <c r="C147" s="1" t="s">
        <v>1699</v>
      </c>
      <c r="D147" s="3" t="s">
        <v>1700</v>
      </c>
      <c r="E147" s="1" t="s">
        <v>30</v>
      </c>
      <c r="F147" s="5">
        <v>13550.0</v>
      </c>
      <c r="G147" s="1" t="s">
        <v>31</v>
      </c>
      <c r="H147" s="3" t="s">
        <v>32</v>
      </c>
      <c r="I147" s="1">
        <v>-6.3048079</v>
      </c>
      <c r="J147" s="3">
        <v>106.8815236</v>
      </c>
      <c r="K147" s="6" t="s">
        <v>1701</v>
      </c>
      <c r="L147" s="11" t="str">
        <f t="shared" si="1"/>
        <v/>
      </c>
      <c r="Z147" s="2" t="s">
        <v>34</v>
      </c>
    </row>
    <row r="148">
      <c r="A148" s="3" t="s">
        <v>48</v>
      </c>
      <c r="B148" s="4" t="s">
        <v>1702</v>
      </c>
      <c r="C148" s="1" t="s">
        <v>1703</v>
      </c>
      <c r="D148" s="3" t="s">
        <v>1704</v>
      </c>
      <c r="E148" s="1" t="s">
        <v>30</v>
      </c>
      <c r="F148" s="5">
        <v>13630.0</v>
      </c>
      <c r="G148" s="1" t="s">
        <v>31</v>
      </c>
      <c r="H148" s="3" t="s">
        <v>32</v>
      </c>
      <c r="I148" s="1">
        <v>-6.2545393</v>
      </c>
      <c r="J148" s="3">
        <v>106.8677468</v>
      </c>
      <c r="K148" s="6" t="s">
        <v>1705</v>
      </c>
      <c r="L148" s="11" t="str">
        <f t="shared" si="1"/>
        <v/>
      </c>
      <c r="Z148" s="2" t="s">
        <v>34</v>
      </c>
    </row>
    <row r="149">
      <c r="A149" s="3" t="s">
        <v>48</v>
      </c>
      <c r="B149" s="4" t="s">
        <v>1706</v>
      </c>
      <c r="C149" s="1" t="s">
        <v>1707</v>
      </c>
      <c r="D149" s="3" t="s">
        <v>1708</v>
      </c>
      <c r="E149" s="1" t="s">
        <v>30</v>
      </c>
      <c r="F149" s="5">
        <v>13630.0</v>
      </c>
      <c r="G149" s="1" t="s">
        <v>31</v>
      </c>
      <c r="H149" s="3" t="s">
        <v>32</v>
      </c>
      <c r="I149" s="1">
        <v>-6.2498464</v>
      </c>
      <c r="J149" s="3">
        <v>106.8666335</v>
      </c>
      <c r="K149" s="6" t="s">
        <v>1709</v>
      </c>
      <c r="L149" s="11" t="str">
        <f t="shared" si="1"/>
        <v/>
      </c>
      <c r="Z149" s="2" t="s">
        <v>34</v>
      </c>
    </row>
    <row r="150">
      <c r="A150" s="3" t="s">
        <v>48</v>
      </c>
      <c r="B150" s="4" t="s">
        <v>1710</v>
      </c>
      <c r="C150" s="1" t="s">
        <v>1711</v>
      </c>
      <c r="D150" s="3" t="s">
        <v>1712</v>
      </c>
      <c r="E150" s="1" t="s">
        <v>30</v>
      </c>
      <c r="F150" s="5">
        <v>13640.0</v>
      </c>
      <c r="G150" s="1" t="s">
        <v>31</v>
      </c>
      <c r="H150" s="3" t="s">
        <v>32</v>
      </c>
      <c r="I150" s="1">
        <v>-6.2639098</v>
      </c>
      <c r="J150" s="3">
        <v>106.8579797</v>
      </c>
      <c r="K150" s="6" t="s">
        <v>1713</v>
      </c>
      <c r="L150" s="11">
        <f t="shared" si="1"/>
        <v>29761904.76</v>
      </c>
      <c r="M150" s="11">
        <f>2500000000/84</f>
        <v>29761904.76</v>
      </c>
      <c r="Z150" s="8" t="s">
        <v>1714</v>
      </c>
    </row>
    <row r="151">
      <c r="A151" s="3" t="s">
        <v>48</v>
      </c>
      <c r="B151" s="4" t="s">
        <v>1715</v>
      </c>
      <c r="C151" s="1" t="s">
        <v>1716</v>
      </c>
      <c r="D151" s="3" t="s">
        <v>1717</v>
      </c>
      <c r="E151" s="1" t="s">
        <v>30</v>
      </c>
      <c r="F151" s="5">
        <v>13640.0</v>
      </c>
      <c r="G151" s="1" t="s">
        <v>31</v>
      </c>
      <c r="H151" s="3" t="s">
        <v>32</v>
      </c>
      <c r="I151" s="1">
        <v>-6.2627894</v>
      </c>
      <c r="J151" s="3">
        <v>106.8724934</v>
      </c>
      <c r="K151" s="6" t="s">
        <v>1718</v>
      </c>
      <c r="L151" s="11">
        <f t="shared" si="1"/>
        <v>7500000</v>
      </c>
      <c r="M151" s="11">
        <f>750000000/100</f>
        <v>7500000</v>
      </c>
      <c r="Z151" s="8" t="s">
        <v>1719</v>
      </c>
    </row>
    <row r="152">
      <c r="A152" s="3" t="s">
        <v>48</v>
      </c>
      <c r="B152" s="4" t="s">
        <v>1720</v>
      </c>
      <c r="C152" s="1" t="s">
        <v>1721</v>
      </c>
      <c r="D152" s="3" t="s">
        <v>1722</v>
      </c>
      <c r="E152" s="1" t="s">
        <v>30</v>
      </c>
      <c r="F152" s="5">
        <v>13610.0</v>
      </c>
      <c r="G152" s="1" t="s">
        <v>31</v>
      </c>
      <c r="H152" s="3" t="s">
        <v>32</v>
      </c>
      <c r="I152" s="1">
        <v>-6.2447021</v>
      </c>
      <c r="J152" s="3">
        <v>106.8830859</v>
      </c>
      <c r="K152" s="6" t="s">
        <v>1723</v>
      </c>
      <c r="L152" s="11" t="str">
        <f t="shared" si="1"/>
        <v/>
      </c>
      <c r="Z152" s="2" t="s">
        <v>34</v>
      </c>
    </row>
    <row r="153">
      <c r="A153" s="3" t="s">
        <v>48</v>
      </c>
      <c r="B153" s="4" t="s">
        <v>1724</v>
      </c>
      <c r="C153" s="1" t="s">
        <v>1725</v>
      </c>
      <c r="D153" s="3" t="s">
        <v>1726</v>
      </c>
      <c r="E153" s="1" t="s">
        <v>30</v>
      </c>
      <c r="F153" s="5">
        <v>13610.0</v>
      </c>
      <c r="G153" s="1" t="s">
        <v>31</v>
      </c>
      <c r="H153" s="3" t="s">
        <v>32</v>
      </c>
      <c r="I153" s="1">
        <v>-6.2784873</v>
      </c>
      <c r="J153" s="3">
        <v>106.9018842</v>
      </c>
      <c r="K153" s="6" t="s">
        <v>1727</v>
      </c>
      <c r="L153" s="11" t="str">
        <f t="shared" si="1"/>
        <v/>
      </c>
      <c r="Z153" s="2" t="s">
        <v>34</v>
      </c>
    </row>
    <row r="154">
      <c r="A154" s="3" t="s">
        <v>48</v>
      </c>
      <c r="B154" s="4" t="s">
        <v>1728</v>
      </c>
      <c r="C154" s="1" t="s">
        <v>1729</v>
      </c>
      <c r="D154" s="3" t="s">
        <v>1730</v>
      </c>
      <c r="E154" s="1" t="s">
        <v>30</v>
      </c>
      <c r="F154" s="5">
        <v>13610.0</v>
      </c>
      <c r="G154" s="1" t="s">
        <v>31</v>
      </c>
      <c r="H154" s="3" t="s">
        <v>32</v>
      </c>
      <c r="I154" s="1">
        <v>-6.2488979</v>
      </c>
      <c r="J154" s="3">
        <v>106.8941456</v>
      </c>
      <c r="K154" s="6" t="s">
        <v>1731</v>
      </c>
      <c r="L154" s="11" t="str">
        <f t="shared" si="1"/>
        <v/>
      </c>
      <c r="Z154" s="2" t="s">
        <v>34</v>
      </c>
    </row>
    <row r="155">
      <c r="A155" s="3" t="s">
        <v>48</v>
      </c>
      <c r="B155" s="4" t="s">
        <v>1732</v>
      </c>
      <c r="C155" s="1" t="s">
        <v>1733</v>
      </c>
      <c r="D155" s="3" t="s">
        <v>1734</v>
      </c>
      <c r="E155" s="1" t="s">
        <v>30</v>
      </c>
      <c r="F155" s="5">
        <v>13110.0</v>
      </c>
      <c r="G155" s="1" t="s">
        <v>31</v>
      </c>
      <c r="H155" s="3" t="s">
        <v>32</v>
      </c>
      <c r="I155" s="1">
        <v>-6.2115224</v>
      </c>
      <c r="J155" s="3">
        <v>106.8640963</v>
      </c>
      <c r="K155" s="6" t="s">
        <v>1735</v>
      </c>
      <c r="L155" s="11">
        <f t="shared" si="1"/>
        <v>19718309.86</v>
      </c>
      <c r="M155" s="11">
        <f>1400000000/71</f>
        <v>19718309.86</v>
      </c>
      <c r="Z155" s="8" t="s">
        <v>1736</v>
      </c>
    </row>
    <row r="156">
      <c r="A156" s="3" t="s">
        <v>48</v>
      </c>
      <c r="B156" s="4" t="s">
        <v>1737</v>
      </c>
      <c r="C156" s="1" t="s">
        <v>1738</v>
      </c>
      <c r="D156" s="3" t="s">
        <v>1739</v>
      </c>
      <c r="E156" s="1" t="s">
        <v>30</v>
      </c>
      <c r="F156" s="5">
        <v>13760.0</v>
      </c>
      <c r="G156" s="1" t="s">
        <v>31</v>
      </c>
      <c r="H156" s="3" t="s">
        <v>32</v>
      </c>
      <c r="I156" s="1">
        <v>-6.3093911</v>
      </c>
      <c r="J156" s="3">
        <v>106.8597094</v>
      </c>
      <c r="K156" s="6" t="s">
        <v>1740</v>
      </c>
      <c r="L156" s="11" t="str">
        <f t="shared" si="1"/>
        <v/>
      </c>
      <c r="Z156" s="2" t="s">
        <v>34</v>
      </c>
    </row>
    <row r="157">
      <c r="A157" s="3" t="s">
        <v>48</v>
      </c>
      <c r="B157" s="4" t="s">
        <v>1741</v>
      </c>
      <c r="C157" s="1" t="s">
        <v>1742</v>
      </c>
      <c r="D157" s="3" t="s">
        <v>1743</v>
      </c>
      <c r="E157" s="1" t="s">
        <v>30</v>
      </c>
      <c r="F157" s="5">
        <v>13710.0</v>
      </c>
      <c r="G157" s="1" t="s">
        <v>31</v>
      </c>
      <c r="H157" s="3" t="s">
        <v>32</v>
      </c>
      <c r="I157" s="1">
        <v>-6.3421031</v>
      </c>
      <c r="J157" s="3">
        <v>106.859701</v>
      </c>
      <c r="K157" s="6" t="s">
        <v>1744</v>
      </c>
      <c r="L157" s="11" t="str">
        <f t="shared" si="1"/>
        <v/>
      </c>
      <c r="Z157" s="2" t="s">
        <v>34</v>
      </c>
    </row>
    <row r="158">
      <c r="A158" s="3" t="s">
        <v>48</v>
      </c>
      <c r="B158" s="4" t="s">
        <v>1745</v>
      </c>
      <c r="C158" s="1" t="s">
        <v>1746</v>
      </c>
      <c r="D158" s="3" t="s">
        <v>1747</v>
      </c>
      <c r="E158" s="1" t="s">
        <v>30</v>
      </c>
      <c r="F158" s="5">
        <v>13710.0</v>
      </c>
      <c r="G158" s="1" t="s">
        <v>31</v>
      </c>
      <c r="H158" s="3" t="s">
        <v>32</v>
      </c>
      <c r="I158" s="1">
        <v>-6.3389012</v>
      </c>
      <c r="J158" s="3">
        <v>106.8681165</v>
      </c>
      <c r="K158" s="6" t="s">
        <v>1748</v>
      </c>
      <c r="L158" s="11" t="str">
        <f t="shared" si="1"/>
        <v/>
      </c>
      <c r="Z158" s="2" t="s">
        <v>34</v>
      </c>
    </row>
    <row r="159">
      <c r="A159" s="3" t="s">
        <v>48</v>
      </c>
      <c r="B159" s="4" t="s">
        <v>1749</v>
      </c>
      <c r="C159" s="1" t="s">
        <v>1750</v>
      </c>
      <c r="D159" s="3" t="s">
        <v>1751</v>
      </c>
      <c r="E159" s="1" t="s">
        <v>30</v>
      </c>
      <c r="F159" s="5">
        <v>13760.0</v>
      </c>
      <c r="G159" s="1" t="s">
        <v>31</v>
      </c>
      <c r="H159" s="3" t="s">
        <v>32</v>
      </c>
      <c r="I159" s="1">
        <v>-6.3013008</v>
      </c>
      <c r="J159" s="3">
        <v>106.8646337</v>
      </c>
      <c r="K159" s="6" t="s">
        <v>1752</v>
      </c>
      <c r="L159" s="11">
        <f t="shared" si="1"/>
        <v>14655172.41</v>
      </c>
      <c r="M159" s="11">
        <f>850000000/58</f>
        <v>14655172.41</v>
      </c>
      <c r="Z159" s="8" t="s">
        <v>1753</v>
      </c>
    </row>
    <row r="160">
      <c r="A160" s="3" t="s">
        <v>48</v>
      </c>
      <c r="B160" s="4" t="s">
        <v>1754</v>
      </c>
      <c r="C160" s="1" t="s">
        <v>1755</v>
      </c>
      <c r="D160" s="3" t="s">
        <v>1756</v>
      </c>
      <c r="E160" s="1" t="s">
        <v>30</v>
      </c>
      <c r="F160" s="5">
        <v>13760.0</v>
      </c>
      <c r="G160" s="1" t="s">
        <v>31</v>
      </c>
      <c r="H160" s="3" t="s">
        <v>32</v>
      </c>
      <c r="I160" s="1">
        <v>-6.2971002</v>
      </c>
      <c r="J160" s="3">
        <v>106.8625106</v>
      </c>
      <c r="K160" s="6" t="s">
        <v>1757</v>
      </c>
      <c r="L160" s="11" t="str">
        <f t="shared" si="1"/>
        <v/>
      </c>
      <c r="Z160" s="2" t="s">
        <v>34</v>
      </c>
    </row>
    <row r="161">
      <c r="A161" s="3" t="s">
        <v>48</v>
      </c>
      <c r="B161" s="4" t="s">
        <v>1758</v>
      </c>
      <c r="C161" s="1" t="s">
        <v>1759</v>
      </c>
      <c r="D161" s="3" t="s">
        <v>1760</v>
      </c>
      <c r="E161" s="1" t="s">
        <v>30</v>
      </c>
      <c r="F161" s="5">
        <v>13760.0</v>
      </c>
      <c r="G161" s="1" t="s">
        <v>31</v>
      </c>
      <c r="H161" s="3" t="s">
        <v>32</v>
      </c>
      <c r="I161" s="1">
        <v>-6.2973379</v>
      </c>
      <c r="J161" s="3">
        <v>106.8624211</v>
      </c>
      <c r="K161" s="6" t="s">
        <v>1761</v>
      </c>
      <c r="L161" s="11" t="str">
        <f t="shared" si="1"/>
        <v/>
      </c>
      <c r="Z161" s="2" t="s">
        <v>34</v>
      </c>
    </row>
    <row r="162">
      <c r="A162" s="3" t="s">
        <v>48</v>
      </c>
      <c r="B162" s="4" t="s">
        <v>1762</v>
      </c>
      <c r="C162" s="1" t="s">
        <v>1763</v>
      </c>
      <c r="D162" s="3" t="s">
        <v>1764</v>
      </c>
      <c r="E162" s="1" t="s">
        <v>30</v>
      </c>
      <c r="F162" s="5">
        <v>13760.0</v>
      </c>
      <c r="G162" s="1" t="s">
        <v>31</v>
      </c>
      <c r="H162" s="3" t="s">
        <v>32</v>
      </c>
      <c r="I162" s="1">
        <v>-6.296508</v>
      </c>
      <c r="J162" s="3">
        <v>106.8606435</v>
      </c>
      <c r="K162" s="6" t="s">
        <v>1765</v>
      </c>
      <c r="L162" s="11" t="str">
        <f t="shared" si="1"/>
        <v/>
      </c>
      <c r="Z162" s="2" t="s">
        <v>34</v>
      </c>
    </row>
    <row r="163">
      <c r="A163" s="3" t="s">
        <v>48</v>
      </c>
      <c r="B163" s="4" t="s">
        <v>1766</v>
      </c>
      <c r="C163" s="1" t="s">
        <v>1767</v>
      </c>
      <c r="D163" s="3" t="s">
        <v>1768</v>
      </c>
      <c r="E163" s="1" t="s">
        <v>30</v>
      </c>
      <c r="F163" s="5">
        <v>13760.0</v>
      </c>
      <c r="G163" s="1" t="s">
        <v>31</v>
      </c>
      <c r="H163" s="9">
        <v>2.11E8</v>
      </c>
      <c r="I163" s="1">
        <v>-6.3009675</v>
      </c>
      <c r="J163" s="3">
        <v>106.8643777</v>
      </c>
      <c r="K163" s="6" t="s">
        <v>1769</v>
      </c>
      <c r="L163" s="11">
        <f t="shared" si="1"/>
        <v>18181818.18</v>
      </c>
      <c r="M163" s="11">
        <f>2000000000/110</f>
        <v>18181818.18</v>
      </c>
      <c r="Z163" s="8" t="s">
        <v>1770</v>
      </c>
    </row>
    <row r="164">
      <c r="A164" s="3" t="s">
        <v>48</v>
      </c>
      <c r="B164" s="4" t="s">
        <v>1771</v>
      </c>
      <c r="C164" s="1" t="s">
        <v>1772</v>
      </c>
      <c r="D164" s="3" t="s">
        <v>1773</v>
      </c>
      <c r="E164" s="1" t="s">
        <v>30</v>
      </c>
      <c r="F164" s="5">
        <v>13760.0</v>
      </c>
      <c r="G164" s="1" t="s">
        <v>31</v>
      </c>
      <c r="H164" s="3" t="s">
        <v>32</v>
      </c>
      <c r="I164" s="1">
        <v>-6.3007482</v>
      </c>
      <c r="J164" s="3">
        <v>106.8634228</v>
      </c>
      <c r="K164" s="6" t="s">
        <v>1774</v>
      </c>
      <c r="L164" s="11" t="str">
        <f t="shared" si="1"/>
        <v/>
      </c>
      <c r="Z164" s="2" t="s">
        <v>34</v>
      </c>
    </row>
    <row r="165">
      <c r="A165" s="3" t="s">
        <v>48</v>
      </c>
      <c r="B165" s="4" t="s">
        <v>1775</v>
      </c>
      <c r="C165" s="1" t="s">
        <v>1776</v>
      </c>
      <c r="D165" s="3" t="s">
        <v>1756</v>
      </c>
      <c r="E165" s="1" t="s">
        <v>30</v>
      </c>
      <c r="F165" s="5">
        <v>13760.0</v>
      </c>
      <c r="G165" s="1" t="s">
        <v>31</v>
      </c>
      <c r="H165" s="14" t="s">
        <v>32</v>
      </c>
      <c r="I165" s="1">
        <v>-6.2978804</v>
      </c>
      <c r="J165" s="3">
        <v>106.8629304</v>
      </c>
      <c r="K165" s="6" t="s">
        <v>1777</v>
      </c>
      <c r="L165" s="11">
        <f t="shared" si="1"/>
        <v>25438596.49</v>
      </c>
      <c r="M165" s="11">
        <f>2900000000/114</f>
        <v>25438596.49</v>
      </c>
      <c r="Z165" s="8" t="s">
        <v>1778</v>
      </c>
    </row>
    <row r="166">
      <c r="A166" s="3" t="s">
        <v>48</v>
      </c>
      <c r="B166" s="4" t="s">
        <v>1779</v>
      </c>
      <c r="C166" s="1" t="s">
        <v>1780</v>
      </c>
      <c r="D166" s="3" t="s">
        <v>1781</v>
      </c>
      <c r="E166" s="1" t="s">
        <v>30</v>
      </c>
      <c r="F166" s="5">
        <v>13760.0</v>
      </c>
      <c r="G166" s="1" t="s">
        <v>31</v>
      </c>
      <c r="H166" s="3" t="s">
        <v>32</v>
      </c>
      <c r="I166" s="1">
        <v>-6.2971381</v>
      </c>
      <c r="J166" s="3">
        <v>106.8623373</v>
      </c>
      <c r="K166" s="6" t="s">
        <v>1782</v>
      </c>
      <c r="L166" s="11" t="str">
        <f t="shared" si="1"/>
        <v/>
      </c>
      <c r="Z166" s="2" t="s">
        <v>34</v>
      </c>
    </row>
    <row r="167">
      <c r="A167" s="3" t="s">
        <v>48</v>
      </c>
      <c r="B167" s="4" t="s">
        <v>1783</v>
      </c>
      <c r="C167" s="1" t="s">
        <v>1784</v>
      </c>
      <c r="D167" s="3" t="s">
        <v>1785</v>
      </c>
      <c r="E167" s="1" t="s">
        <v>30</v>
      </c>
      <c r="F167" s="5">
        <v>13770.0</v>
      </c>
      <c r="G167" s="1" t="s">
        <v>31</v>
      </c>
      <c r="H167" s="9">
        <v>8.12E10</v>
      </c>
      <c r="I167" s="1">
        <v>-6.3248161</v>
      </c>
      <c r="J167" s="3">
        <v>106.8598866</v>
      </c>
      <c r="K167" s="6" t="s">
        <v>1786</v>
      </c>
      <c r="L167" s="11">
        <f t="shared" si="1"/>
        <v>22673913.04</v>
      </c>
      <c r="M167" s="11">
        <f>1043000000/46</f>
        <v>22673913.04</v>
      </c>
      <c r="Z167" s="8" t="s">
        <v>1787</v>
      </c>
    </row>
    <row r="168">
      <c r="A168" s="3" t="s">
        <v>48</v>
      </c>
      <c r="B168" s="4" t="s">
        <v>1788</v>
      </c>
      <c r="C168" s="1" t="s">
        <v>1789</v>
      </c>
      <c r="D168" s="3" t="s">
        <v>1790</v>
      </c>
      <c r="E168" s="1" t="s">
        <v>30</v>
      </c>
      <c r="F168" s="5">
        <v>13770.0</v>
      </c>
      <c r="G168" s="1" t="s">
        <v>31</v>
      </c>
      <c r="H168" s="3" t="s">
        <v>32</v>
      </c>
      <c r="I168" s="1">
        <v>-6.3298309</v>
      </c>
      <c r="J168" s="3">
        <v>106.8641689</v>
      </c>
      <c r="K168" s="6" t="s">
        <v>1791</v>
      </c>
      <c r="L168" s="11" t="str">
        <f t="shared" si="1"/>
        <v/>
      </c>
      <c r="Z168" s="2" t="s">
        <v>34</v>
      </c>
    </row>
    <row r="169">
      <c r="A169" s="3" t="s">
        <v>48</v>
      </c>
      <c r="B169" s="4" t="s">
        <v>1792</v>
      </c>
      <c r="C169" s="1" t="s">
        <v>1793</v>
      </c>
      <c r="D169" s="3" t="s">
        <v>1794</v>
      </c>
      <c r="E169" s="1" t="s">
        <v>30</v>
      </c>
      <c r="F169" s="5">
        <v>13770.0</v>
      </c>
      <c r="G169" s="1" t="s">
        <v>31</v>
      </c>
      <c r="H169" s="3" t="s">
        <v>32</v>
      </c>
      <c r="I169" s="1">
        <v>-6.3258595</v>
      </c>
      <c r="J169" s="3">
        <v>106.8567623</v>
      </c>
      <c r="K169" s="6" t="s">
        <v>1795</v>
      </c>
      <c r="L169" s="11" t="str">
        <f t="shared" si="1"/>
        <v/>
      </c>
      <c r="Z169" s="2" t="s">
        <v>34</v>
      </c>
    </row>
    <row r="170">
      <c r="A170" s="3" t="s">
        <v>48</v>
      </c>
      <c r="B170" s="4" t="s">
        <v>1796</v>
      </c>
      <c r="C170" s="1" t="s">
        <v>1797</v>
      </c>
      <c r="D170" s="3" t="s">
        <v>1798</v>
      </c>
      <c r="E170" s="1" t="s">
        <v>30</v>
      </c>
      <c r="F170" s="5">
        <v>13780.0</v>
      </c>
      <c r="G170" s="1" t="s">
        <v>31</v>
      </c>
      <c r="H170" s="14" t="s">
        <v>32</v>
      </c>
      <c r="I170" s="1">
        <v>-6.3245111</v>
      </c>
      <c r="J170" s="3">
        <v>106.852973</v>
      </c>
      <c r="K170" s="6" t="s">
        <v>1799</v>
      </c>
      <c r="L170" s="11" t="str">
        <f t="shared" si="1"/>
        <v/>
      </c>
      <c r="Z170" s="2" t="s">
        <v>34</v>
      </c>
    </row>
    <row r="171">
      <c r="A171" s="3" t="s">
        <v>48</v>
      </c>
      <c r="B171" s="4" t="s">
        <v>1800</v>
      </c>
      <c r="C171" s="1" t="s">
        <v>1801</v>
      </c>
      <c r="D171" s="3" t="s">
        <v>1802</v>
      </c>
      <c r="E171" s="1" t="s">
        <v>30</v>
      </c>
      <c r="F171" s="5">
        <v>13780.0</v>
      </c>
      <c r="G171" s="1" t="s">
        <v>31</v>
      </c>
      <c r="H171" s="3" t="s">
        <v>32</v>
      </c>
      <c r="I171" s="1">
        <v>-6.3267271</v>
      </c>
      <c r="J171" s="3">
        <v>106.8518279</v>
      </c>
      <c r="K171" s="6" t="s">
        <v>1803</v>
      </c>
      <c r="L171" s="11">
        <f t="shared" si="1"/>
        <v>13000000</v>
      </c>
      <c r="M171" s="11">
        <f>650000000/50</f>
        <v>13000000</v>
      </c>
      <c r="Z171" s="8" t="s">
        <v>1804</v>
      </c>
    </row>
    <row r="172">
      <c r="A172" s="3" t="s">
        <v>48</v>
      </c>
      <c r="B172" s="4" t="s">
        <v>1805</v>
      </c>
      <c r="C172" s="1" t="s">
        <v>1806</v>
      </c>
      <c r="D172" s="3" t="s">
        <v>1165</v>
      </c>
      <c r="E172" s="1" t="s">
        <v>30</v>
      </c>
      <c r="F172" s="5">
        <v>13790.0</v>
      </c>
      <c r="G172" s="1" t="s">
        <v>31</v>
      </c>
      <c r="H172" s="3" t="s">
        <v>32</v>
      </c>
      <c r="I172" s="1">
        <v>-6.3352023</v>
      </c>
      <c r="J172" s="3">
        <v>106.8412575</v>
      </c>
      <c r="K172" s="6" t="s">
        <v>1807</v>
      </c>
      <c r="L172" s="11" t="str">
        <f t="shared" si="1"/>
        <v/>
      </c>
      <c r="Z172" s="2" t="s">
        <v>34</v>
      </c>
    </row>
    <row r="173">
      <c r="A173" s="3" t="s">
        <v>48</v>
      </c>
      <c r="B173" s="4" t="s">
        <v>1808</v>
      </c>
      <c r="C173" s="1" t="s">
        <v>1809</v>
      </c>
      <c r="D173" s="3" t="s">
        <v>1810</v>
      </c>
      <c r="E173" s="1" t="s">
        <v>30</v>
      </c>
      <c r="F173" s="5">
        <v>13790.0</v>
      </c>
      <c r="G173" s="1" t="s">
        <v>31</v>
      </c>
      <c r="H173" s="3" t="s">
        <v>32</v>
      </c>
      <c r="I173" s="1">
        <v>-6.3314589</v>
      </c>
      <c r="J173" s="3">
        <v>106.8604265</v>
      </c>
      <c r="K173" s="6" t="s">
        <v>1811</v>
      </c>
      <c r="L173" s="11">
        <f t="shared" si="1"/>
        <v>24038461.54</v>
      </c>
      <c r="M173" s="11">
        <f>5000000000/208</f>
        <v>24038461.54</v>
      </c>
      <c r="Z173" s="8" t="s">
        <v>1812</v>
      </c>
    </row>
    <row r="174">
      <c r="A174" s="3" t="s">
        <v>48</v>
      </c>
      <c r="B174" s="4" t="s">
        <v>1813</v>
      </c>
      <c r="C174" s="1" t="s">
        <v>1814</v>
      </c>
      <c r="D174" s="3" t="s">
        <v>1815</v>
      </c>
      <c r="E174" s="1" t="s">
        <v>30</v>
      </c>
      <c r="F174" s="5">
        <v>13210.0</v>
      </c>
      <c r="G174" s="1" t="s">
        <v>31</v>
      </c>
      <c r="H174" s="3" t="s">
        <v>32</v>
      </c>
      <c r="I174" s="1">
        <v>-6.1756416</v>
      </c>
      <c r="J174" s="3">
        <v>106.8879523</v>
      </c>
      <c r="K174" s="6" t="s">
        <v>1816</v>
      </c>
      <c r="L174" s="11">
        <f t="shared" si="1"/>
        <v>20833333.33</v>
      </c>
      <c r="M174" s="11">
        <f>4500000000/216</f>
        <v>20833333.33</v>
      </c>
      <c r="Z174" s="8" t="s">
        <v>1817</v>
      </c>
    </row>
    <row r="175">
      <c r="A175" s="3" t="s">
        <v>48</v>
      </c>
      <c r="B175" s="4" t="s">
        <v>1818</v>
      </c>
      <c r="C175" s="1" t="s">
        <v>1819</v>
      </c>
      <c r="D175" s="3" t="s">
        <v>1820</v>
      </c>
      <c r="E175" s="1" t="s">
        <v>30</v>
      </c>
      <c r="F175" s="5">
        <v>13230.0</v>
      </c>
      <c r="G175" s="1" t="s">
        <v>31</v>
      </c>
      <c r="H175" s="3" t="s">
        <v>32</v>
      </c>
      <c r="I175" s="1">
        <v>-6.2029837</v>
      </c>
      <c r="J175" s="3">
        <v>106.8763595</v>
      </c>
      <c r="K175" s="6" t="s">
        <v>1821</v>
      </c>
      <c r="L175" s="11" t="str">
        <f t="shared" si="1"/>
        <v/>
      </c>
      <c r="Z175" s="2" t="s">
        <v>34</v>
      </c>
    </row>
    <row r="176">
      <c r="A176" s="3" t="s">
        <v>48</v>
      </c>
      <c r="B176" s="4" t="s">
        <v>1822</v>
      </c>
      <c r="C176" s="1" t="s">
        <v>1823</v>
      </c>
      <c r="D176" s="3" t="s">
        <v>1824</v>
      </c>
      <c r="E176" s="1" t="s">
        <v>30</v>
      </c>
      <c r="F176" s="5">
        <v>13220.0</v>
      </c>
      <c r="G176" s="1" t="s">
        <v>31</v>
      </c>
      <c r="H176" s="3" t="s">
        <v>32</v>
      </c>
      <c r="I176" s="1">
        <v>-6.2018781</v>
      </c>
      <c r="J176" s="3">
        <v>106.8972666</v>
      </c>
      <c r="K176" s="6" t="s">
        <v>1825</v>
      </c>
      <c r="L176" s="11" t="str">
        <f t="shared" si="1"/>
        <v/>
      </c>
      <c r="Z176" s="2" t="s">
        <v>34</v>
      </c>
    </row>
    <row r="177">
      <c r="A177" s="3" t="s">
        <v>48</v>
      </c>
      <c r="B177" s="4" t="s">
        <v>1826</v>
      </c>
      <c r="C177" s="1" t="s">
        <v>1827</v>
      </c>
      <c r="D177" s="3" t="s">
        <v>1828</v>
      </c>
      <c r="E177" s="1" t="s">
        <v>30</v>
      </c>
      <c r="F177" s="5">
        <v>13220.0</v>
      </c>
      <c r="G177" s="1" t="s">
        <v>31</v>
      </c>
      <c r="H177" s="3" t="s">
        <v>32</v>
      </c>
      <c r="I177" s="1">
        <v>-6.1923382</v>
      </c>
      <c r="J177" s="3">
        <v>106.8933879</v>
      </c>
      <c r="K177" s="6" t="s">
        <v>1829</v>
      </c>
      <c r="L177" s="11" t="str">
        <f t="shared" si="1"/>
        <v/>
      </c>
      <c r="Z177" s="2" t="s">
        <v>34</v>
      </c>
    </row>
    <row r="178">
      <c r="A178" s="3" t="s">
        <v>48</v>
      </c>
      <c r="B178" s="4" t="s">
        <v>1830</v>
      </c>
      <c r="C178" s="1" t="s">
        <v>1831</v>
      </c>
      <c r="D178" s="3" t="s">
        <v>1832</v>
      </c>
      <c r="E178" s="1" t="s">
        <v>30</v>
      </c>
      <c r="F178" s="5">
        <v>13230.0</v>
      </c>
      <c r="G178" s="1" t="s">
        <v>31</v>
      </c>
      <c r="H178" s="3" t="s">
        <v>32</v>
      </c>
      <c r="I178" s="1">
        <v>-6.2087733</v>
      </c>
      <c r="J178" s="3">
        <v>106.8833048</v>
      </c>
      <c r="K178" s="6" t="s">
        <v>1833</v>
      </c>
      <c r="L178" s="11" t="str">
        <f t="shared" si="1"/>
        <v/>
      </c>
      <c r="Z178" s="2" t="s">
        <v>34</v>
      </c>
    </row>
    <row r="179">
      <c r="A179" s="3" t="s">
        <v>48</v>
      </c>
      <c r="B179" s="4" t="s">
        <v>1834</v>
      </c>
      <c r="C179" s="1" t="s">
        <v>1835</v>
      </c>
      <c r="D179" s="3" t="s">
        <v>1836</v>
      </c>
      <c r="E179" s="1" t="s">
        <v>30</v>
      </c>
      <c r="F179" s="5">
        <v>13230.0</v>
      </c>
      <c r="G179" s="1" t="s">
        <v>31</v>
      </c>
      <c r="H179" s="3" t="s">
        <v>32</v>
      </c>
      <c r="I179" s="1">
        <v>-6.2114756</v>
      </c>
      <c r="J179" s="3">
        <v>106.8839652</v>
      </c>
      <c r="K179" s="6" t="s">
        <v>1837</v>
      </c>
      <c r="L179" s="11">
        <f t="shared" si="1"/>
        <v>34250000</v>
      </c>
      <c r="M179" s="11">
        <f>685000000/20</f>
        <v>34250000</v>
      </c>
      <c r="Z179" s="8" t="s">
        <v>1838</v>
      </c>
    </row>
    <row r="180">
      <c r="A180" s="3" t="s">
        <v>48</v>
      </c>
      <c r="B180" s="4" t="s">
        <v>1839</v>
      </c>
      <c r="C180" s="1" t="s">
        <v>1840</v>
      </c>
      <c r="D180" s="3" t="s">
        <v>1841</v>
      </c>
      <c r="E180" s="1" t="s">
        <v>30</v>
      </c>
      <c r="F180" s="5">
        <v>13240.0</v>
      </c>
      <c r="G180" s="1" t="s">
        <v>31</v>
      </c>
      <c r="H180" s="3" t="s">
        <v>32</v>
      </c>
      <c r="I180" s="1">
        <v>-6.210817</v>
      </c>
      <c r="J180" s="3">
        <v>106.8954639</v>
      </c>
      <c r="K180" s="6" t="s">
        <v>1842</v>
      </c>
      <c r="L180" s="11" t="str">
        <f t="shared" si="1"/>
        <v/>
      </c>
      <c r="Z180" s="2" t="s">
        <v>34</v>
      </c>
    </row>
    <row r="181">
      <c r="A181" s="3" t="s">
        <v>48</v>
      </c>
      <c r="B181" s="4" t="s">
        <v>1843</v>
      </c>
      <c r="C181" s="1" t="s">
        <v>1844</v>
      </c>
      <c r="D181" s="3" t="s">
        <v>1845</v>
      </c>
      <c r="E181" s="1" t="s">
        <v>30</v>
      </c>
      <c r="F181" s="5">
        <v>13120.0</v>
      </c>
      <c r="G181" s="1" t="s">
        <v>31</v>
      </c>
      <c r="H181" s="3" t="s">
        <v>32</v>
      </c>
      <c r="I181" s="1">
        <v>-6.1829672</v>
      </c>
      <c r="J181" s="3">
        <v>106.899104</v>
      </c>
      <c r="K181" s="6" t="s">
        <v>1846</v>
      </c>
      <c r="L181" s="11">
        <f t="shared" si="1"/>
        <v>33428030.3</v>
      </c>
      <c r="M181" s="11">
        <f>3800000000/96</f>
        <v>39583333.33</v>
      </c>
      <c r="N181" s="11">
        <f>4800000000/176</f>
        <v>27272727.27</v>
      </c>
      <c r="Z181" s="8" t="s">
        <v>1847</v>
      </c>
    </row>
    <row r="182">
      <c r="A182" s="3" t="s">
        <v>48</v>
      </c>
      <c r="B182" s="4" t="s">
        <v>1848</v>
      </c>
      <c r="C182" s="1" t="s">
        <v>1849</v>
      </c>
      <c r="D182" s="3" t="s">
        <v>1850</v>
      </c>
      <c r="E182" s="1" t="s">
        <v>30</v>
      </c>
      <c r="F182" s="5">
        <v>13910.0</v>
      </c>
      <c r="G182" s="1" t="s">
        <v>31</v>
      </c>
      <c r="H182" s="3" t="s">
        <v>32</v>
      </c>
      <c r="I182" s="1">
        <v>-6.1785433</v>
      </c>
      <c r="J182" s="3">
        <v>106.9565526</v>
      </c>
      <c r="K182" s="6" t="s">
        <v>1851</v>
      </c>
      <c r="L182" s="11">
        <f t="shared" si="1"/>
        <v>24000000</v>
      </c>
      <c r="M182" s="11">
        <f>4800000000/200</f>
        <v>24000000</v>
      </c>
      <c r="Z182" s="8" t="s">
        <v>1852</v>
      </c>
    </row>
    <row r="183">
      <c r="A183" s="3" t="s">
        <v>48</v>
      </c>
      <c r="B183" s="4" t="s">
        <v>1853</v>
      </c>
      <c r="C183" s="1" t="s">
        <v>1854</v>
      </c>
      <c r="D183" s="3" t="s">
        <v>1855</v>
      </c>
      <c r="E183" s="1" t="s">
        <v>30</v>
      </c>
      <c r="F183" s="5">
        <v>13930.0</v>
      </c>
      <c r="G183" s="1" t="s">
        <v>31</v>
      </c>
      <c r="H183" s="3" t="s">
        <v>32</v>
      </c>
      <c r="I183" s="1">
        <v>-6.2049139</v>
      </c>
      <c r="J183" s="3">
        <v>106.9051329</v>
      </c>
      <c r="K183" s="6" t="s">
        <v>1856</v>
      </c>
      <c r="L183" s="11">
        <f t="shared" si="1"/>
        <v>38888888.89</v>
      </c>
      <c r="M183" s="11">
        <f>3500000000/90</f>
        <v>38888888.89</v>
      </c>
      <c r="Z183" s="8" t="s">
        <v>1857</v>
      </c>
    </row>
    <row r="184">
      <c r="A184" s="3" t="s">
        <v>48</v>
      </c>
      <c r="B184" s="4" t="s">
        <v>1858</v>
      </c>
      <c r="C184" s="1" t="s">
        <v>1859</v>
      </c>
      <c r="D184" s="3" t="s">
        <v>1183</v>
      </c>
      <c r="E184" s="1" t="s">
        <v>30</v>
      </c>
      <c r="F184" s="5">
        <v>13930.0</v>
      </c>
      <c r="G184" s="1" t="s">
        <v>31</v>
      </c>
      <c r="H184" s="9">
        <v>2.15E8</v>
      </c>
      <c r="I184" s="1">
        <v>-6.2070889</v>
      </c>
      <c r="J184" s="3">
        <v>106.9063263</v>
      </c>
      <c r="K184" s="6" t="s">
        <v>1860</v>
      </c>
      <c r="L184" s="11" t="str">
        <f t="shared" si="1"/>
        <v/>
      </c>
      <c r="Z184" s="2" t="s">
        <v>34</v>
      </c>
    </row>
    <row r="185">
      <c r="A185" s="3" t="s">
        <v>119</v>
      </c>
      <c r="B185" s="3" t="s">
        <v>1861</v>
      </c>
      <c r="C185" s="1" t="s">
        <v>1862</v>
      </c>
      <c r="D185" s="3" t="s">
        <v>1863</v>
      </c>
      <c r="E185" s="1" t="s">
        <v>30</v>
      </c>
      <c r="F185" s="5">
        <v>13940.0</v>
      </c>
      <c r="G185" s="1" t="s">
        <v>31</v>
      </c>
      <c r="H185" s="14" t="s">
        <v>32</v>
      </c>
      <c r="I185" s="1">
        <v>-6.2122119</v>
      </c>
      <c r="J185" s="3">
        <v>106.927311</v>
      </c>
      <c r="K185" s="6" t="s">
        <v>1864</v>
      </c>
      <c r="L185" s="11" t="str">
        <f t="shared" si="1"/>
        <v/>
      </c>
      <c r="Z185" s="2" t="s">
        <v>34</v>
      </c>
    </row>
    <row r="186">
      <c r="A186" s="3" t="s">
        <v>48</v>
      </c>
      <c r="B186" s="4" t="s">
        <v>1865</v>
      </c>
      <c r="C186" s="1" t="s">
        <v>1866</v>
      </c>
      <c r="D186" s="3" t="s">
        <v>1867</v>
      </c>
      <c r="E186" s="1" t="s">
        <v>30</v>
      </c>
      <c r="F186" s="5">
        <v>13950.0</v>
      </c>
      <c r="G186" s="1" t="s">
        <v>31</v>
      </c>
      <c r="H186" s="14" t="s">
        <v>32</v>
      </c>
      <c r="I186" s="1">
        <v>-6.208639</v>
      </c>
      <c r="J186" s="3">
        <v>106.9498571</v>
      </c>
      <c r="K186" s="6" t="s">
        <v>1868</v>
      </c>
      <c r="L186" s="11">
        <f t="shared" si="1"/>
        <v>12698412.7</v>
      </c>
      <c r="M186" s="11">
        <f>2300000000/228</f>
        <v>10087719.3</v>
      </c>
      <c r="N186" s="11">
        <f>1600000000/126</f>
        <v>12698412.7</v>
      </c>
      <c r="O186" s="11">
        <f>1004000000/104</f>
        <v>9653846.154</v>
      </c>
      <c r="P186" s="11">
        <f>3800000000/228</f>
        <v>16666666.67</v>
      </c>
      <c r="Q186" s="11">
        <f>3500000000/182</f>
        <v>19230769.23</v>
      </c>
      <c r="R186" s="11">
        <f>2500000000/120</f>
        <v>20833333.33</v>
      </c>
      <c r="S186" s="11">
        <f>3015000000/280</f>
        <v>10767857.14</v>
      </c>
      <c r="Z186" s="8" t="s">
        <v>1869</v>
      </c>
    </row>
    <row r="187">
      <c r="A187" s="3" t="s">
        <v>48</v>
      </c>
      <c r="B187" s="4" t="s">
        <v>1870</v>
      </c>
      <c r="C187" s="1" t="s">
        <v>1871</v>
      </c>
      <c r="D187" s="3" t="s">
        <v>1872</v>
      </c>
      <c r="E187" s="1" t="s">
        <v>30</v>
      </c>
      <c r="F187" s="5">
        <v>13950.0</v>
      </c>
      <c r="G187" s="1" t="s">
        <v>31</v>
      </c>
      <c r="H187" s="3" t="s">
        <v>32</v>
      </c>
      <c r="I187" s="1">
        <v>-6.205501</v>
      </c>
      <c r="J187" s="3">
        <v>106.9400758</v>
      </c>
      <c r="K187" s="6" t="s">
        <v>1873</v>
      </c>
      <c r="L187" s="11">
        <f t="shared" si="1"/>
        <v>14948453.61</v>
      </c>
      <c r="M187" s="11">
        <f>1450000000/97</f>
        <v>14948453.61</v>
      </c>
      <c r="Z187" s="8" t="s">
        <v>1874</v>
      </c>
    </row>
    <row r="188">
      <c r="A188" s="3" t="s">
        <v>48</v>
      </c>
      <c r="B188" s="3" t="s">
        <v>1875</v>
      </c>
      <c r="C188" s="1" t="s">
        <v>1876</v>
      </c>
      <c r="D188" s="3" t="s">
        <v>1877</v>
      </c>
      <c r="E188" s="1" t="s">
        <v>30</v>
      </c>
      <c r="F188" s="5">
        <v>13950.0</v>
      </c>
      <c r="G188" s="1" t="s">
        <v>31</v>
      </c>
      <c r="H188" s="3" t="s">
        <v>32</v>
      </c>
      <c r="I188" s="1">
        <v>-6.1988602</v>
      </c>
      <c r="J188" s="3">
        <v>106.9482287</v>
      </c>
      <c r="K188" s="6" t="s">
        <v>1878</v>
      </c>
      <c r="L188" s="11">
        <f t="shared" si="1"/>
        <v>15845070.42</v>
      </c>
      <c r="M188" s="11">
        <f>4500000000/284</f>
        <v>15845070.42</v>
      </c>
      <c r="Z188" s="8" t="s">
        <v>1879</v>
      </c>
    </row>
    <row r="189">
      <c r="A189" s="3" t="s">
        <v>48</v>
      </c>
      <c r="B189" s="4" t="s">
        <v>1880</v>
      </c>
      <c r="C189" s="1" t="s">
        <v>1881</v>
      </c>
      <c r="D189" s="3" t="s">
        <v>1882</v>
      </c>
      <c r="E189" s="1" t="s">
        <v>30</v>
      </c>
      <c r="F189" s="5">
        <v>13950.0</v>
      </c>
      <c r="G189" s="1" t="s">
        <v>31</v>
      </c>
      <c r="H189" s="3" t="s">
        <v>32</v>
      </c>
      <c r="I189" s="1">
        <v>-6.2116621</v>
      </c>
      <c r="J189" s="3">
        <v>106.9466105</v>
      </c>
      <c r="K189" s="6" t="s">
        <v>1883</v>
      </c>
      <c r="L189" s="11" t="str">
        <f t="shared" si="1"/>
        <v/>
      </c>
      <c r="Z189" s="2" t="s">
        <v>34</v>
      </c>
    </row>
    <row r="190">
      <c r="A190" s="3" t="s">
        <v>48</v>
      </c>
      <c r="B190" s="4" t="s">
        <v>1884</v>
      </c>
      <c r="C190" s="1" t="s">
        <v>1885</v>
      </c>
      <c r="D190" s="3" t="s">
        <v>1886</v>
      </c>
      <c r="E190" s="1" t="s">
        <v>30</v>
      </c>
      <c r="F190" s="5">
        <v>13960.0</v>
      </c>
      <c r="G190" s="1" t="s">
        <v>31</v>
      </c>
      <c r="H190" s="9">
        <v>8.23E10</v>
      </c>
      <c r="I190" s="1">
        <v>-6.1900906</v>
      </c>
      <c r="J190" s="3">
        <v>106.9519408</v>
      </c>
      <c r="K190" s="6" t="s">
        <v>1887</v>
      </c>
      <c r="L190" s="11">
        <f t="shared" si="1"/>
        <v>10952380.95</v>
      </c>
      <c r="M190" s="11">
        <f>4600000000/420</f>
        <v>10952380.95</v>
      </c>
      <c r="Z190" s="8" t="s">
        <v>1888</v>
      </c>
    </row>
    <row r="191">
      <c r="A191" s="3" t="s">
        <v>48</v>
      </c>
      <c r="B191" s="4" t="s">
        <v>1889</v>
      </c>
      <c r="C191" s="1" t="s">
        <v>1890</v>
      </c>
      <c r="D191" s="3" t="s">
        <v>1891</v>
      </c>
      <c r="E191" s="1" t="s">
        <v>30</v>
      </c>
      <c r="F191" s="5">
        <v>13810.0</v>
      </c>
      <c r="G191" s="1" t="s">
        <v>31</v>
      </c>
      <c r="H191" s="9">
        <v>8.15E10</v>
      </c>
      <c r="I191" s="1">
        <v>-6.290835</v>
      </c>
      <c r="J191" s="3">
        <v>106.9037972</v>
      </c>
      <c r="K191" s="6" t="s">
        <v>1892</v>
      </c>
      <c r="L191" s="11">
        <f t="shared" si="1"/>
        <v>17948717.95</v>
      </c>
      <c r="M191" s="11">
        <f>1400000000/78</f>
        <v>17948717.95</v>
      </c>
      <c r="N191" s="11">
        <f>1700000000/96</f>
        <v>17708333.33</v>
      </c>
      <c r="O191" s="11">
        <f>1900000000/99</f>
        <v>19191919.19</v>
      </c>
      <c r="Z191" s="8" t="s">
        <v>1893</v>
      </c>
    </row>
    <row r="192">
      <c r="A192" s="3" t="s">
        <v>48</v>
      </c>
      <c r="B192" s="4" t="s">
        <v>1894</v>
      </c>
      <c r="C192" s="1" t="s">
        <v>1895</v>
      </c>
      <c r="D192" s="3" t="s">
        <v>1896</v>
      </c>
      <c r="E192" s="1" t="s">
        <v>30</v>
      </c>
      <c r="F192" s="5">
        <v>13810.0</v>
      </c>
      <c r="G192" s="1" t="s">
        <v>31</v>
      </c>
      <c r="H192" s="14" t="s">
        <v>32</v>
      </c>
      <c r="I192" s="1">
        <v>-6.290549</v>
      </c>
      <c r="J192" s="3">
        <v>106.9050514</v>
      </c>
      <c r="K192" s="6" t="s">
        <v>1897</v>
      </c>
      <c r="L192" s="11">
        <f t="shared" si="1"/>
        <v>31764705.88</v>
      </c>
      <c r="M192" s="11">
        <f>2700000000/85</f>
        <v>31764705.88</v>
      </c>
      <c r="Z192" s="8" t="s">
        <v>1898</v>
      </c>
    </row>
    <row r="193">
      <c r="A193" s="3" t="s">
        <v>48</v>
      </c>
      <c r="B193" s="4" t="s">
        <v>1899</v>
      </c>
      <c r="C193" s="1" t="s">
        <v>1900</v>
      </c>
      <c r="D193" s="3" t="s">
        <v>1901</v>
      </c>
      <c r="E193" s="1" t="s">
        <v>30</v>
      </c>
      <c r="F193" s="5">
        <v>13810.0</v>
      </c>
      <c r="G193" s="1" t="s">
        <v>31</v>
      </c>
      <c r="H193" s="9">
        <v>8.99E9</v>
      </c>
      <c r="I193" s="1">
        <v>-6.2969046</v>
      </c>
      <c r="J193" s="3">
        <v>106.9051566</v>
      </c>
      <c r="K193" s="6" t="s">
        <v>1902</v>
      </c>
      <c r="L193" s="11">
        <f t="shared" si="1"/>
        <v>10280373.83</v>
      </c>
      <c r="M193" s="11">
        <f>1100000000/107</f>
        <v>10280373.83</v>
      </c>
      <c r="Z193" s="8" t="s">
        <v>1903</v>
      </c>
    </row>
    <row r="194">
      <c r="A194" s="3" t="s">
        <v>48</v>
      </c>
      <c r="B194" s="4" t="s">
        <v>1904</v>
      </c>
      <c r="C194" s="1" t="s">
        <v>1905</v>
      </c>
      <c r="D194" s="3" t="s">
        <v>1906</v>
      </c>
      <c r="E194" s="1" t="s">
        <v>30</v>
      </c>
      <c r="F194" s="5">
        <v>13840.0</v>
      </c>
      <c r="G194" s="1" t="s">
        <v>31</v>
      </c>
      <c r="H194" s="3" t="s">
        <v>32</v>
      </c>
      <c r="I194" s="1">
        <v>-6.3303508</v>
      </c>
      <c r="J194" s="3">
        <v>106.8911734</v>
      </c>
      <c r="K194" s="6" t="s">
        <v>1907</v>
      </c>
      <c r="L194" s="11" t="str">
        <f t="shared" si="1"/>
        <v/>
      </c>
      <c r="Z194" s="2" t="s">
        <v>34</v>
      </c>
    </row>
    <row r="195">
      <c r="A195" s="3" t="s">
        <v>48</v>
      </c>
      <c r="B195" s="4" t="s">
        <v>1908</v>
      </c>
      <c r="C195" s="1" t="s">
        <v>1909</v>
      </c>
      <c r="D195" s="3" t="s">
        <v>1910</v>
      </c>
      <c r="E195" s="1" t="s">
        <v>30</v>
      </c>
      <c r="F195" s="5">
        <v>13840.0</v>
      </c>
      <c r="G195" s="1" t="s">
        <v>31</v>
      </c>
      <c r="H195" s="3" t="s">
        <v>32</v>
      </c>
      <c r="I195" s="1">
        <v>-6.3325965</v>
      </c>
      <c r="J195" s="3">
        <v>106.8908891</v>
      </c>
      <c r="K195" s="6" t="s">
        <v>1911</v>
      </c>
      <c r="L195" s="11">
        <f t="shared" si="1"/>
        <v>13265306.12</v>
      </c>
      <c r="M195" s="11">
        <f>1300000000/98</f>
        <v>13265306.12</v>
      </c>
      <c r="Z195" s="8" t="s">
        <v>1912</v>
      </c>
    </row>
    <row r="196">
      <c r="A196" s="3" t="s">
        <v>48</v>
      </c>
      <c r="B196" s="4" t="s">
        <v>1913</v>
      </c>
      <c r="C196" s="1" t="s">
        <v>1914</v>
      </c>
      <c r="D196" s="3" t="s">
        <v>1915</v>
      </c>
      <c r="E196" s="1" t="s">
        <v>30</v>
      </c>
      <c r="F196" s="5">
        <v>13840.0</v>
      </c>
      <c r="G196" s="1" t="s">
        <v>31</v>
      </c>
      <c r="H196" s="9">
        <v>2.12E9</v>
      </c>
      <c r="I196" s="1">
        <v>-6.3259328</v>
      </c>
      <c r="J196" s="3">
        <v>106.8988702</v>
      </c>
      <c r="K196" s="6" t="s">
        <v>1916</v>
      </c>
      <c r="L196" s="11">
        <f t="shared" si="1"/>
        <v>13787878.79</v>
      </c>
      <c r="M196" s="11">
        <f>1000000000/60</f>
        <v>16666666.67</v>
      </c>
      <c r="N196" s="11">
        <f>1800000000/165</f>
        <v>10909090.91</v>
      </c>
      <c r="Z196" s="8" t="s">
        <v>1917</v>
      </c>
    </row>
    <row r="197">
      <c r="A197" s="3" t="s">
        <v>48</v>
      </c>
      <c r="B197" s="4" t="s">
        <v>1918</v>
      </c>
      <c r="C197" s="1" t="s">
        <v>1919</v>
      </c>
      <c r="D197" s="3" t="s">
        <v>1920</v>
      </c>
      <c r="E197" s="1" t="s">
        <v>30</v>
      </c>
      <c r="F197" s="5">
        <v>13850.0</v>
      </c>
      <c r="G197" s="1" t="s">
        <v>31</v>
      </c>
      <c r="H197" s="3" t="s">
        <v>32</v>
      </c>
      <c r="I197" s="1">
        <v>-6.3547799</v>
      </c>
      <c r="J197" s="3">
        <v>106.8980308</v>
      </c>
      <c r="K197" s="6" t="s">
        <v>1921</v>
      </c>
      <c r="L197" s="11" t="str">
        <f t="shared" si="1"/>
        <v/>
      </c>
      <c r="Z197" s="2" t="s">
        <v>34</v>
      </c>
    </row>
    <row r="198">
      <c r="A198" s="3" t="s">
        <v>48</v>
      </c>
      <c r="B198" s="4" t="s">
        <v>1922</v>
      </c>
      <c r="C198" s="1" t="s">
        <v>1923</v>
      </c>
      <c r="D198" s="3" t="s">
        <v>1924</v>
      </c>
      <c r="E198" s="1" t="s">
        <v>30</v>
      </c>
      <c r="F198" s="5">
        <v>13850.0</v>
      </c>
      <c r="G198" s="1" t="s">
        <v>31</v>
      </c>
      <c r="H198" s="3" t="s">
        <v>32</v>
      </c>
      <c r="I198" s="1">
        <v>-6.3432648</v>
      </c>
      <c r="J198" s="3">
        <v>106.8959657</v>
      </c>
      <c r="K198" s="6" t="s">
        <v>1925</v>
      </c>
      <c r="L198" s="11" t="str">
        <f t="shared" si="1"/>
        <v/>
      </c>
      <c r="Z198" s="2" t="s">
        <v>34</v>
      </c>
    </row>
    <row r="199">
      <c r="A199" s="3" t="s">
        <v>48</v>
      </c>
      <c r="B199" s="4" t="s">
        <v>1926</v>
      </c>
      <c r="C199" s="1" t="s">
        <v>1927</v>
      </c>
      <c r="D199" s="3" t="s">
        <v>1928</v>
      </c>
      <c r="E199" s="1" t="s">
        <v>30</v>
      </c>
      <c r="F199" s="5">
        <v>13850.0</v>
      </c>
      <c r="G199" s="1" t="s">
        <v>31</v>
      </c>
      <c r="H199" s="14" t="s">
        <v>32</v>
      </c>
      <c r="I199" s="1">
        <v>-6.3567614</v>
      </c>
      <c r="J199" s="3">
        <v>106.8934555</v>
      </c>
      <c r="K199" s="6" t="s">
        <v>1929</v>
      </c>
      <c r="L199" s="11" t="str">
        <f t="shared" si="1"/>
        <v/>
      </c>
      <c r="Z199" s="2" t="s">
        <v>34</v>
      </c>
    </row>
    <row r="200">
      <c r="A200" s="3" t="s">
        <v>48</v>
      </c>
      <c r="B200" s="4" t="s">
        <v>1930</v>
      </c>
      <c r="C200" s="1" t="s">
        <v>1931</v>
      </c>
      <c r="D200" s="3" t="s">
        <v>1932</v>
      </c>
      <c r="E200" s="1" t="s">
        <v>30</v>
      </c>
      <c r="F200" s="5">
        <v>13860.0</v>
      </c>
      <c r="G200" s="1" t="s">
        <v>31</v>
      </c>
      <c r="H200" s="3" t="s">
        <v>32</v>
      </c>
      <c r="I200" s="1">
        <v>-6.3493492</v>
      </c>
      <c r="J200" s="3">
        <v>106.9135182</v>
      </c>
      <c r="K200" s="6" t="s">
        <v>1933</v>
      </c>
      <c r="L200" s="11" t="str">
        <f t="shared" si="1"/>
        <v/>
      </c>
      <c r="Z200" s="2" t="s">
        <v>34</v>
      </c>
    </row>
    <row r="201">
      <c r="A201" s="3" t="s">
        <v>48</v>
      </c>
      <c r="B201" s="4" t="s">
        <v>1934</v>
      </c>
      <c r="C201" s="1" t="s">
        <v>1935</v>
      </c>
      <c r="D201" s="3" t="s">
        <v>1936</v>
      </c>
      <c r="E201" s="1" t="s">
        <v>30</v>
      </c>
      <c r="F201" s="5">
        <v>13870.0</v>
      </c>
      <c r="G201" s="1" t="s">
        <v>31</v>
      </c>
      <c r="H201" s="3" t="s">
        <v>32</v>
      </c>
      <c r="I201" s="1">
        <v>-6.3417442</v>
      </c>
      <c r="J201" s="3">
        <v>106.9074115</v>
      </c>
      <c r="K201" s="6" t="s">
        <v>1937</v>
      </c>
      <c r="L201" s="11" t="str">
        <f t="shared" si="1"/>
        <v/>
      </c>
      <c r="Z201" s="2" t="s">
        <v>34</v>
      </c>
    </row>
    <row r="202">
      <c r="A202" s="3" t="s">
        <v>48</v>
      </c>
      <c r="B202" s="4" t="s">
        <v>1938</v>
      </c>
      <c r="C202" s="1" t="s">
        <v>1939</v>
      </c>
      <c r="D202" s="3" t="s">
        <v>1940</v>
      </c>
      <c r="E202" s="1" t="s">
        <v>30</v>
      </c>
      <c r="F202" s="5">
        <v>13870.0</v>
      </c>
      <c r="G202" s="1" t="s">
        <v>31</v>
      </c>
      <c r="H202" s="3" t="s">
        <v>32</v>
      </c>
      <c r="I202" s="1">
        <v>-6.3383887</v>
      </c>
      <c r="J202" s="3">
        <v>106.8942712</v>
      </c>
      <c r="K202" s="6" t="s">
        <v>1941</v>
      </c>
      <c r="L202" s="11">
        <f t="shared" si="1"/>
        <v>11321839.08</v>
      </c>
      <c r="M202" s="11">
        <f>985000000/87</f>
        <v>11321839.08</v>
      </c>
      <c r="Z202" s="8" t="s">
        <v>1942</v>
      </c>
    </row>
    <row r="203">
      <c r="A203" s="3" t="s">
        <v>48</v>
      </c>
      <c r="B203" s="4" t="s">
        <v>1943</v>
      </c>
      <c r="C203" s="1" t="s">
        <v>1944</v>
      </c>
      <c r="D203" s="3" t="s">
        <v>1364</v>
      </c>
      <c r="E203" s="1" t="s">
        <v>30</v>
      </c>
      <c r="F203" s="5">
        <v>13870.0</v>
      </c>
      <c r="G203" s="1" t="s">
        <v>31</v>
      </c>
      <c r="H203" s="3" t="s">
        <v>32</v>
      </c>
      <c r="I203" s="1">
        <v>-6.3366909</v>
      </c>
      <c r="J203" s="3">
        <v>106.907359</v>
      </c>
      <c r="K203" s="6" t="s">
        <v>1945</v>
      </c>
      <c r="L203" s="11" t="str">
        <f t="shared" si="1"/>
        <v/>
      </c>
      <c r="Z203" s="2" t="s">
        <v>34</v>
      </c>
    </row>
    <row r="204">
      <c r="A204" s="3" t="s">
        <v>48</v>
      </c>
      <c r="B204" s="4" t="s">
        <v>1946</v>
      </c>
      <c r="C204" s="1" t="s">
        <v>1947</v>
      </c>
      <c r="D204" s="3" t="s">
        <v>1948</v>
      </c>
      <c r="E204" s="1" t="s">
        <v>30</v>
      </c>
      <c r="F204" s="5">
        <v>13870.0</v>
      </c>
      <c r="G204" s="1" t="s">
        <v>31</v>
      </c>
      <c r="H204" s="3" t="s">
        <v>32</v>
      </c>
      <c r="I204" s="1">
        <v>-6.3329191</v>
      </c>
      <c r="J204" s="3">
        <v>106.9037566</v>
      </c>
      <c r="K204" s="6" t="s">
        <v>1949</v>
      </c>
      <c r="L204" s="11" t="str">
        <f t="shared" si="1"/>
        <v/>
      </c>
      <c r="Z204" s="2" t="s">
        <v>34</v>
      </c>
    </row>
    <row r="205">
      <c r="A205" s="3" t="s">
        <v>48</v>
      </c>
      <c r="B205" s="4" t="s">
        <v>1950</v>
      </c>
      <c r="C205" s="1" t="s">
        <v>1951</v>
      </c>
      <c r="D205" s="3" t="s">
        <v>1952</v>
      </c>
      <c r="E205" s="1" t="s">
        <v>30</v>
      </c>
      <c r="F205" s="5">
        <v>13840.0</v>
      </c>
      <c r="G205" s="1" t="s">
        <v>31</v>
      </c>
      <c r="H205" s="9">
        <v>8.12E10</v>
      </c>
      <c r="I205" s="1">
        <v>-6.3232463</v>
      </c>
      <c r="J205" s="3">
        <v>106.9057626</v>
      </c>
      <c r="K205" s="6" t="s">
        <v>1953</v>
      </c>
      <c r="L205" s="11" t="str">
        <f t="shared" si="1"/>
        <v/>
      </c>
      <c r="Z205" s="2" t="s">
        <v>34</v>
      </c>
    </row>
    <row r="206">
      <c r="A206" s="3" t="s">
        <v>48</v>
      </c>
      <c r="B206" s="4" t="s">
        <v>1954</v>
      </c>
      <c r="C206" s="1" t="s">
        <v>1955</v>
      </c>
      <c r="D206" s="3" t="s">
        <v>1374</v>
      </c>
      <c r="E206" s="1" t="s">
        <v>30</v>
      </c>
      <c r="F206" s="5">
        <v>13880.0</v>
      </c>
      <c r="G206" s="1" t="s">
        <v>31</v>
      </c>
      <c r="H206" s="9">
        <v>8.78E10</v>
      </c>
      <c r="I206" s="1">
        <v>-6.3139066</v>
      </c>
      <c r="J206" s="3">
        <v>106.9135256</v>
      </c>
      <c r="K206" s="6" t="s">
        <v>1956</v>
      </c>
      <c r="L206" s="11">
        <f t="shared" si="1"/>
        <v>18303571.43</v>
      </c>
      <c r="M206" s="11">
        <f>1500000000/80</f>
        <v>18750000</v>
      </c>
      <c r="N206" s="11">
        <f>1500000000/84</f>
        <v>17857142.86</v>
      </c>
      <c r="Z206" s="8" t="s">
        <v>1957</v>
      </c>
    </row>
    <row r="207">
      <c r="A207" s="3" t="s">
        <v>48</v>
      </c>
      <c r="B207" s="4" t="s">
        <v>1958</v>
      </c>
      <c r="C207" s="1" t="s">
        <v>1959</v>
      </c>
      <c r="D207" s="3" t="s">
        <v>1960</v>
      </c>
      <c r="E207" s="1" t="s">
        <v>30</v>
      </c>
      <c r="F207" s="5">
        <v>13890.0</v>
      </c>
      <c r="G207" s="1" t="s">
        <v>31</v>
      </c>
      <c r="H207" s="9">
        <v>2.12E9</v>
      </c>
      <c r="I207" s="1">
        <v>-6.3252015</v>
      </c>
      <c r="J207" s="3">
        <v>106.8967271</v>
      </c>
      <c r="K207" s="6" t="s">
        <v>1961</v>
      </c>
      <c r="L207" s="11">
        <f t="shared" si="1"/>
        <v>19708737.86</v>
      </c>
      <c r="M207" s="11">
        <f>2030000000/103</f>
        <v>19708737.86</v>
      </c>
      <c r="Z207" s="8" t="s">
        <v>1962</v>
      </c>
    </row>
    <row r="208">
      <c r="A208" s="3" t="s">
        <v>48</v>
      </c>
      <c r="B208" s="4" t="s">
        <v>1963</v>
      </c>
      <c r="C208" s="1" t="s">
        <v>1964</v>
      </c>
      <c r="D208" s="3" t="s">
        <v>1965</v>
      </c>
      <c r="E208" s="1" t="s">
        <v>30</v>
      </c>
      <c r="F208" s="5">
        <v>13890.0</v>
      </c>
      <c r="G208" s="1" t="s">
        <v>31</v>
      </c>
      <c r="H208" s="3" t="s">
        <v>32</v>
      </c>
      <c r="I208" s="1">
        <v>-6.3177952</v>
      </c>
      <c r="J208" s="3">
        <v>106.9003911</v>
      </c>
      <c r="K208" s="6" t="s">
        <v>1966</v>
      </c>
      <c r="L208" s="11">
        <f t="shared" si="1"/>
        <v>14545454.55</v>
      </c>
      <c r="M208" s="11">
        <f>1600000000/110</f>
        <v>14545454.55</v>
      </c>
      <c r="Z208" s="8" t="s">
        <v>1967</v>
      </c>
    </row>
    <row r="209">
      <c r="A209" s="3" t="s">
        <v>48</v>
      </c>
      <c r="B209" s="4" t="s">
        <v>1968</v>
      </c>
      <c r="C209" s="1" t="s">
        <v>1964</v>
      </c>
      <c r="D209" s="3" t="s">
        <v>1965</v>
      </c>
      <c r="E209" s="1" t="s">
        <v>30</v>
      </c>
      <c r="F209" s="5">
        <v>13890.0</v>
      </c>
      <c r="G209" s="1" t="s">
        <v>31</v>
      </c>
      <c r="H209" s="14" t="s">
        <v>32</v>
      </c>
      <c r="I209" s="1">
        <v>-6.3183667</v>
      </c>
      <c r="J209" s="3">
        <v>106.9003472</v>
      </c>
      <c r="K209" s="6" t="s">
        <v>1969</v>
      </c>
      <c r="L209" s="11" t="str">
        <f t="shared" si="1"/>
        <v/>
      </c>
      <c r="Z209" s="2" t="s">
        <v>34</v>
      </c>
    </row>
    <row r="210">
      <c r="A210" s="3" t="s">
        <v>48</v>
      </c>
      <c r="B210" s="4" t="s">
        <v>1970</v>
      </c>
      <c r="C210" s="1" t="s">
        <v>1971</v>
      </c>
      <c r="D210" s="3" t="s">
        <v>1254</v>
      </c>
      <c r="E210" s="1" t="s">
        <v>30</v>
      </c>
      <c r="F210" s="3" t="s">
        <v>32</v>
      </c>
      <c r="G210" s="1" t="s">
        <v>31</v>
      </c>
      <c r="H210" s="14" t="s">
        <v>32</v>
      </c>
      <c r="I210" s="1">
        <v>-6.3264302</v>
      </c>
      <c r="J210" s="3">
        <v>106.8975428</v>
      </c>
      <c r="K210" s="6" t="s">
        <v>1972</v>
      </c>
      <c r="L210" s="11">
        <f t="shared" si="1"/>
        <v>11892857.14</v>
      </c>
      <c r="M210" s="11">
        <f>666000000/56</f>
        <v>11892857.14</v>
      </c>
      <c r="Z210" s="8" t="s">
        <v>1973</v>
      </c>
    </row>
    <row r="211">
      <c r="A211" s="3" t="s">
        <v>48</v>
      </c>
      <c r="B211" s="4" t="s">
        <v>1974</v>
      </c>
      <c r="C211" s="1" t="s">
        <v>1975</v>
      </c>
      <c r="D211" s="3" t="s">
        <v>1976</v>
      </c>
      <c r="E211" s="1" t="s">
        <v>30</v>
      </c>
      <c r="F211" s="5">
        <v>13720.0</v>
      </c>
      <c r="G211" s="1" t="s">
        <v>31</v>
      </c>
      <c r="H211" s="14" t="s">
        <v>32</v>
      </c>
      <c r="I211" s="1">
        <v>-6.3663008</v>
      </c>
      <c r="J211" s="3">
        <v>106.8860395</v>
      </c>
      <c r="K211" s="6" t="s">
        <v>1977</v>
      </c>
      <c r="L211" s="11" t="str">
        <f t="shared" si="1"/>
        <v/>
      </c>
      <c r="Z211" s="2" t="s">
        <v>34</v>
      </c>
    </row>
    <row r="212">
      <c r="A212" s="3" t="s">
        <v>48</v>
      </c>
      <c r="B212" s="4" t="s">
        <v>1978</v>
      </c>
      <c r="C212" s="1" t="s">
        <v>1979</v>
      </c>
      <c r="D212" s="3" t="s">
        <v>1980</v>
      </c>
      <c r="E212" s="1" t="s">
        <v>30</v>
      </c>
      <c r="F212" s="5">
        <v>13720.0</v>
      </c>
      <c r="G212" s="1" t="s">
        <v>31</v>
      </c>
      <c r="H212" s="3" t="s">
        <v>32</v>
      </c>
      <c r="I212" s="1">
        <v>-6.3545486</v>
      </c>
      <c r="J212" s="3">
        <v>106.8742383</v>
      </c>
      <c r="K212" s="6" t="s">
        <v>1981</v>
      </c>
      <c r="L212" s="11" t="str">
        <f t="shared" si="1"/>
        <v/>
      </c>
      <c r="Z212" s="2" t="s">
        <v>34</v>
      </c>
    </row>
    <row r="213">
      <c r="A213" s="3" t="s">
        <v>48</v>
      </c>
      <c r="B213" s="4" t="s">
        <v>1982</v>
      </c>
      <c r="C213" s="1" t="s">
        <v>1983</v>
      </c>
      <c r="D213" s="3" t="s">
        <v>1984</v>
      </c>
      <c r="E213" s="1" t="s">
        <v>30</v>
      </c>
      <c r="F213" s="5">
        <v>13720.0</v>
      </c>
      <c r="G213" s="1" t="s">
        <v>31</v>
      </c>
      <c r="H213" s="3" t="s">
        <v>32</v>
      </c>
      <c r="I213" s="1">
        <v>-6.3652981</v>
      </c>
      <c r="J213" s="3">
        <v>106.8819457</v>
      </c>
      <c r="K213" s="6" t="s">
        <v>1985</v>
      </c>
      <c r="L213" s="11">
        <f t="shared" si="1"/>
        <v>9803030.303</v>
      </c>
      <c r="M213" s="11">
        <f>647000000/66</f>
        <v>9803030.303</v>
      </c>
      <c r="Z213" s="8" t="s">
        <v>1986</v>
      </c>
    </row>
    <row r="214">
      <c r="A214" s="3" t="s">
        <v>48</v>
      </c>
      <c r="B214" s="4" t="s">
        <v>1987</v>
      </c>
      <c r="C214" s="1" t="s">
        <v>1988</v>
      </c>
      <c r="D214" s="3" t="s">
        <v>1989</v>
      </c>
      <c r="E214" s="1" t="s">
        <v>30</v>
      </c>
      <c r="F214" s="5">
        <v>13730.0</v>
      </c>
      <c r="G214" s="1" t="s">
        <v>31</v>
      </c>
      <c r="H214" s="3" t="s">
        <v>32</v>
      </c>
      <c r="I214" s="1">
        <v>-6.3440067</v>
      </c>
      <c r="J214" s="3">
        <v>106.8787704</v>
      </c>
      <c r="K214" s="6" t="s">
        <v>1990</v>
      </c>
      <c r="L214" s="11">
        <f t="shared" si="1"/>
        <v>8072289.157</v>
      </c>
      <c r="M214" s="11">
        <f>670000000/83</f>
        <v>8072289.157</v>
      </c>
      <c r="Z214" s="8" t="s">
        <v>1991</v>
      </c>
    </row>
    <row r="215">
      <c r="A215" s="3" t="s">
        <v>48</v>
      </c>
      <c r="B215" s="4" t="s">
        <v>1992</v>
      </c>
      <c r="C215" s="1" t="s">
        <v>1993</v>
      </c>
      <c r="D215" s="3" t="s">
        <v>1994</v>
      </c>
      <c r="E215" s="1" t="s">
        <v>30</v>
      </c>
      <c r="F215" s="5">
        <v>13730.0</v>
      </c>
      <c r="G215" s="1" t="s">
        <v>31</v>
      </c>
      <c r="H215" s="9">
        <v>8.21E10</v>
      </c>
      <c r="I215" s="1">
        <v>-6.3445518</v>
      </c>
      <c r="J215" s="3">
        <v>106.8842011</v>
      </c>
      <c r="K215" s="6" t="s">
        <v>1995</v>
      </c>
      <c r="L215" s="11">
        <f t="shared" si="1"/>
        <v>22666666.67</v>
      </c>
      <c r="M215" s="11">
        <f>1700000000/75</f>
        <v>22666666.67</v>
      </c>
      <c r="Z215" s="8" t="s">
        <v>1996</v>
      </c>
    </row>
    <row r="216">
      <c r="A216" s="3" t="s">
        <v>48</v>
      </c>
      <c r="B216" s="4" t="s">
        <v>1997</v>
      </c>
      <c r="C216" s="1" t="s">
        <v>1998</v>
      </c>
      <c r="D216" s="3" t="s">
        <v>1999</v>
      </c>
      <c r="E216" s="1" t="s">
        <v>30</v>
      </c>
      <c r="F216" s="5">
        <v>13730.0</v>
      </c>
      <c r="G216" s="1" t="s">
        <v>31</v>
      </c>
      <c r="H216" s="3" t="s">
        <v>32</v>
      </c>
      <c r="I216" s="1">
        <v>-6.3419182</v>
      </c>
      <c r="J216" s="3">
        <v>106.8863727</v>
      </c>
      <c r="K216" s="6" t="s">
        <v>2000</v>
      </c>
      <c r="L216" s="11" t="str">
        <f t="shared" si="1"/>
        <v/>
      </c>
      <c r="Z216" s="2" t="s">
        <v>34</v>
      </c>
    </row>
    <row r="217">
      <c r="A217" s="3" t="s">
        <v>48</v>
      </c>
      <c r="B217" s="4" t="s">
        <v>2001</v>
      </c>
      <c r="C217" s="1" t="s">
        <v>2002</v>
      </c>
      <c r="D217" s="3" t="s">
        <v>2003</v>
      </c>
      <c r="E217" s="1" t="s">
        <v>30</v>
      </c>
      <c r="F217" s="5">
        <v>13740.0</v>
      </c>
      <c r="G217" s="1" t="s">
        <v>31</v>
      </c>
      <c r="H217" s="3" t="s">
        <v>32</v>
      </c>
      <c r="I217" s="1">
        <v>-6.3199273</v>
      </c>
      <c r="J217" s="3">
        <v>106.8733999</v>
      </c>
      <c r="K217" s="6" t="s">
        <v>2004</v>
      </c>
      <c r="L217" s="11" t="str">
        <f t="shared" si="1"/>
        <v/>
      </c>
      <c r="Z217" s="2" t="s">
        <v>34</v>
      </c>
    </row>
    <row r="218">
      <c r="A218" s="3" t="s">
        <v>48</v>
      </c>
      <c r="B218" s="4" t="s">
        <v>2005</v>
      </c>
      <c r="C218" s="1" t="s">
        <v>2006</v>
      </c>
      <c r="D218" s="3" t="s">
        <v>2007</v>
      </c>
      <c r="E218" s="1" t="s">
        <v>30</v>
      </c>
      <c r="F218" s="5">
        <v>13740.0</v>
      </c>
      <c r="G218" s="1" t="s">
        <v>31</v>
      </c>
      <c r="H218" s="3" t="s">
        <v>32</v>
      </c>
      <c r="I218" s="1">
        <v>-6.3139928</v>
      </c>
      <c r="J218" s="3">
        <v>106.8800917</v>
      </c>
      <c r="K218" s="6" t="s">
        <v>2008</v>
      </c>
      <c r="L218" s="11">
        <f t="shared" si="1"/>
        <v>16216216.22</v>
      </c>
      <c r="M218" s="11">
        <f>1800000000/111</f>
        <v>16216216.22</v>
      </c>
      <c r="Z218" s="8" t="s">
        <v>2009</v>
      </c>
    </row>
    <row r="219">
      <c r="A219" s="3" t="s">
        <v>48</v>
      </c>
      <c r="B219" s="4" t="s">
        <v>2010</v>
      </c>
      <c r="C219" s="1" t="s">
        <v>2011</v>
      </c>
      <c r="D219" s="3" t="s">
        <v>2012</v>
      </c>
      <c r="E219" s="1" t="s">
        <v>30</v>
      </c>
      <c r="F219" s="5">
        <v>13750.0</v>
      </c>
      <c r="G219" s="1" t="s">
        <v>31</v>
      </c>
      <c r="H219" s="9">
        <v>8.13E9</v>
      </c>
      <c r="I219" s="1">
        <v>-6.3164933</v>
      </c>
      <c r="J219" s="3">
        <v>106.8678548</v>
      </c>
      <c r="K219" s="6" t="s">
        <v>2013</v>
      </c>
      <c r="L219" s="11">
        <f t="shared" si="1"/>
        <v>14755102.04</v>
      </c>
      <c r="M219" s="11">
        <f>1446000000/98</f>
        <v>14755102.04</v>
      </c>
      <c r="Z219" s="8" t="s">
        <v>2014</v>
      </c>
    </row>
    <row r="220">
      <c r="A220" s="3" t="s">
        <v>48</v>
      </c>
      <c r="B220" s="4" t="s">
        <v>2015</v>
      </c>
      <c r="C220" s="1" t="s">
        <v>2016</v>
      </c>
      <c r="D220" s="3" t="s">
        <v>2017</v>
      </c>
      <c r="E220" s="1" t="s">
        <v>30</v>
      </c>
      <c r="F220" s="5">
        <v>13730.0</v>
      </c>
      <c r="G220" s="1" t="s">
        <v>31</v>
      </c>
      <c r="H220" s="3" t="s">
        <v>32</v>
      </c>
      <c r="I220" s="1">
        <v>-6.3305768</v>
      </c>
      <c r="J220" s="3">
        <v>106.8834131</v>
      </c>
      <c r="K220" s="6" t="s">
        <v>2018</v>
      </c>
      <c r="L220" s="11">
        <f t="shared" si="1"/>
        <v>13750000</v>
      </c>
      <c r="M220" s="11">
        <f>990000000/72</f>
        <v>13750000</v>
      </c>
      <c r="Z220" s="8" t="s">
        <v>2019</v>
      </c>
    </row>
    <row r="221">
      <c r="A221" s="3" t="s">
        <v>48</v>
      </c>
      <c r="B221" s="4" t="s">
        <v>2020</v>
      </c>
      <c r="C221" s="1" t="s">
        <v>2021</v>
      </c>
      <c r="D221" s="3" t="s">
        <v>2022</v>
      </c>
      <c r="E221" s="1" t="s">
        <v>30</v>
      </c>
      <c r="F221" s="5">
        <v>13830.0</v>
      </c>
      <c r="G221" s="1" t="s">
        <v>31</v>
      </c>
      <c r="H221" s="3" t="s">
        <v>32</v>
      </c>
      <c r="I221" s="1">
        <v>-6.3055595</v>
      </c>
      <c r="J221" s="3">
        <v>106.8745997</v>
      </c>
      <c r="K221" s="6" t="s">
        <v>2023</v>
      </c>
      <c r="L221" s="11" t="str">
        <f t="shared" si="1"/>
        <v/>
      </c>
      <c r="Z221" s="2" t="s">
        <v>34</v>
      </c>
    </row>
    <row r="222">
      <c r="A222" s="3" t="s">
        <v>48</v>
      </c>
      <c r="B222" s="4" t="s">
        <v>2024</v>
      </c>
      <c r="C222" s="1" t="s">
        <v>2025</v>
      </c>
      <c r="D222" s="3" t="s">
        <v>2026</v>
      </c>
      <c r="E222" s="1" t="s">
        <v>30</v>
      </c>
      <c r="F222" s="5">
        <v>13830.0</v>
      </c>
      <c r="G222" s="1" t="s">
        <v>31</v>
      </c>
      <c r="H222" s="9">
        <v>8.21E10</v>
      </c>
      <c r="I222" s="1">
        <v>-6.2949884</v>
      </c>
      <c r="J222" s="3">
        <v>106.8730046</v>
      </c>
      <c r="K222" s="6" t="s">
        <v>2027</v>
      </c>
      <c r="L222" s="11" t="str">
        <f t="shared" si="1"/>
        <v/>
      </c>
      <c r="Z222" s="2" t="s">
        <v>34</v>
      </c>
    </row>
    <row r="223">
      <c r="A223" s="3" t="s">
        <v>48</v>
      </c>
      <c r="B223" s="4" t="s">
        <v>2028</v>
      </c>
      <c r="C223" s="1" t="s">
        <v>2029</v>
      </c>
      <c r="D223" s="3" t="s">
        <v>2030</v>
      </c>
      <c r="E223" s="1" t="s">
        <v>30</v>
      </c>
      <c r="F223" s="5">
        <v>13430.0</v>
      </c>
      <c r="G223" s="1" t="s">
        <v>31</v>
      </c>
      <c r="H223" s="14" t="s">
        <v>32</v>
      </c>
      <c r="I223" s="1">
        <v>-6.2280259</v>
      </c>
      <c r="J223" s="3">
        <v>106.8950299</v>
      </c>
      <c r="K223" s="6" t="s">
        <v>2031</v>
      </c>
      <c r="L223" s="11" t="str">
        <f t="shared" si="1"/>
        <v/>
      </c>
      <c r="Z223" s="2" t="s">
        <v>34</v>
      </c>
    </row>
    <row r="224">
      <c r="A224" s="3" t="s">
        <v>48</v>
      </c>
      <c r="B224" s="4" t="s">
        <v>2032</v>
      </c>
      <c r="C224" s="1" t="s">
        <v>2033</v>
      </c>
      <c r="D224" s="3" t="s">
        <v>2034</v>
      </c>
      <c r="E224" s="1" t="s">
        <v>30</v>
      </c>
      <c r="F224" s="5">
        <v>13430.0</v>
      </c>
      <c r="G224" s="1" t="s">
        <v>31</v>
      </c>
      <c r="H224" s="3" t="s">
        <v>32</v>
      </c>
      <c r="I224" s="1">
        <v>-6.2267001</v>
      </c>
      <c r="J224" s="3">
        <v>106.8986728</v>
      </c>
      <c r="K224" s="6" t="s">
        <v>2035</v>
      </c>
      <c r="L224" s="11" t="str">
        <f t="shared" si="1"/>
        <v/>
      </c>
      <c r="Z224" s="2" t="s">
        <v>34</v>
      </c>
    </row>
    <row r="225">
      <c r="A225" s="3" t="s">
        <v>48</v>
      </c>
      <c r="B225" s="4" t="s">
        <v>2036</v>
      </c>
      <c r="C225" s="1" t="s">
        <v>2037</v>
      </c>
      <c r="D225" s="3" t="s">
        <v>2038</v>
      </c>
      <c r="E225" s="1" t="s">
        <v>30</v>
      </c>
      <c r="F225" s="5">
        <v>13450.0</v>
      </c>
      <c r="G225" s="1" t="s">
        <v>31</v>
      </c>
      <c r="H225" s="3" t="s">
        <v>32</v>
      </c>
      <c r="I225" s="1">
        <v>-6.2414693</v>
      </c>
      <c r="J225" s="3">
        <v>106.943961</v>
      </c>
      <c r="K225" s="6" t="s">
        <v>2039</v>
      </c>
      <c r="L225" s="11">
        <f t="shared" si="1"/>
        <v>14250000</v>
      </c>
      <c r="M225" s="11">
        <f>2850000000/200</f>
        <v>14250000</v>
      </c>
      <c r="Z225" s="8" t="s">
        <v>2040</v>
      </c>
    </row>
    <row r="226">
      <c r="A226" s="3" t="s">
        <v>48</v>
      </c>
      <c r="B226" s="4" t="s">
        <v>2041</v>
      </c>
      <c r="C226" s="1" t="s">
        <v>2042</v>
      </c>
      <c r="D226" s="3" t="s">
        <v>2043</v>
      </c>
      <c r="E226" s="1" t="s">
        <v>30</v>
      </c>
      <c r="F226" s="5">
        <v>13450.0</v>
      </c>
      <c r="G226" s="1" t="s">
        <v>31</v>
      </c>
      <c r="H226" s="14" t="s">
        <v>32</v>
      </c>
      <c r="I226" s="1">
        <v>-6.2523602</v>
      </c>
      <c r="J226" s="3">
        <v>106.9249198</v>
      </c>
      <c r="K226" s="6" t="s">
        <v>2044</v>
      </c>
      <c r="L226" s="11">
        <f t="shared" si="1"/>
        <v>16888888.89</v>
      </c>
      <c r="M226" s="11">
        <f>3800000000/225</f>
        <v>16888888.89</v>
      </c>
      <c r="Z226" s="8" t="s">
        <v>2045</v>
      </c>
    </row>
    <row r="227">
      <c r="A227" s="3" t="s">
        <v>48</v>
      </c>
      <c r="B227" s="4" t="s">
        <v>2046</v>
      </c>
      <c r="C227" s="1" t="s">
        <v>2047</v>
      </c>
      <c r="D227" s="3" t="s">
        <v>2048</v>
      </c>
      <c r="E227" s="1" t="s">
        <v>30</v>
      </c>
      <c r="F227" s="5">
        <v>13450.0</v>
      </c>
      <c r="G227" s="1" t="s">
        <v>31</v>
      </c>
      <c r="H227" s="3" t="s">
        <v>32</v>
      </c>
      <c r="I227" s="1">
        <v>-6.243602</v>
      </c>
      <c r="J227" s="3">
        <v>106.9403242</v>
      </c>
      <c r="K227" s="6" t="s">
        <v>2049</v>
      </c>
      <c r="L227" s="11" t="str">
        <f t="shared" si="1"/>
        <v/>
      </c>
      <c r="Z227" s="2" t="s">
        <v>34</v>
      </c>
    </row>
    <row r="228">
      <c r="A228" s="3" t="s">
        <v>48</v>
      </c>
      <c r="B228" s="4" t="s">
        <v>2050</v>
      </c>
      <c r="C228" s="1" t="s">
        <v>2051</v>
      </c>
      <c r="D228" s="3" t="s">
        <v>2052</v>
      </c>
      <c r="E228" s="1" t="s">
        <v>30</v>
      </c>
      <c r="F228" s="5">
        <v>13460.0</v>
      </c>
      <c r="G228" s="1" t="s">
        <v>31</v>
      </c>
      <c r="H228" s="3" t="s">
        <v>32</v>
      </c>
      <c r="I228" s="1">
        <v>-6.2204537</v>
      </c>
      <c r="J228" s="3">
        <v>106.9248401</v>
      </c>
      <c r="K228" s="6" t="s">
        <v>2053</v>
      </c>
      <c r="L228" s="11">
        <f t="shared" si="1"/>
        <v>13888888.89</v>
      </c>
      <c r="M228" s="11">
        <f>2500000000/180</f>
        <v>13888888.89</v>
      </c>
      <c r="Z228" s="8" t="s">
        <v>2054</v>
      </c>
    </row>
    <row r="229">
      <c r="A229" s="3" t="s">
        <v>48</v>
      </c>
      <c r="B229" s="4" t="s">
        <v>2055</v>
      </c>
      <c r="C229" s="1" t="s">
        <v>2056</v>
      </c>
      <c r="D229" s="3" t="s">
        <v>2057</v>
      </c>
      <c r="E229" s="1" t="s">
        <v>30</v>
      </c>
      <c r="F229" s="5">
        <v>13460.0</v>
      </c>
      <c r="G229" s="1" t="s">
        <v>31</v>
      </c>
      <c r="H229" s="3" t="s">
        <v>32</v>
      </c>
      <c r="I229" s="1">
        <v>-6.2208864</v>
      </c>
      <c r="J229" s="3">
        <v>106.9416265</v>
      </c>
      <c r="K229" s="6" t="s">
        <v>2058</v>
      </c>
      <c r="L229" s="11">
        <f t="shared" si="1"/>
        <v>24350649.35</v>
      </c>
      <c r="M229" s="11">
        <f>7500000000/308</f>
        <v>24350649.35</v>
      </c>
      <c r="Z229" s="8" t="s">
        <v>2059</v>
      </c>
    </row>
    <row r="230">
      <c r="A230" s="3" t="s">
        <v>48</v>
      </c>
      <c r="B230" s="4" t="s">
        <v>2060</v>
      </c>
      <c r="C230" s="1" t="s">
        <v>2061</v>
      </c>
      <c r="D230" s="3" t="s">
        <v>2062</v>
      </c>
      <c r="E230" s="1" t="s">
        <v>30</v>
      </c>
      <c r="F230" s="5">
        <v>13940.0</v>
      </c>
      <c r="G230" s="1" t="s">
        <v>31</v>
      </c>
      <c r="H230" s="3" t="s">
        <v>32</v>
      </c>
      <c r="I230" s="1">
        <v>-6.2077754</v>
      </c>
      <c r="J230" s="3">
        <v>106.9276388</v>
      </c>
      <c r="K230" s="6" t="s">
        <v>2063</v>
      </c>
      <c r="L230" s="11">
        <f t="shared" si="1"/>
        <v>16935483.87</v>
      </c>
      <c r="M230" s="11">
        <f>1000000000/111</f>
        <v>9009009.009</v>
      </c>
      <c r="N230" s="11">
        <f>2100000000/124</f>
        <v>16935483.87</v>
      </c>
      <c r="O230" s="11">
        <f>2300000000/90</f>
        <v>25555555.56</v>
      </c>
      <c r="Z230" s="8" t="s">
        <v>2064</v>
      </c>
    </row>
    <row r="231">
      <c r="A231" s="3" t="s">
        <v>48</v>
      </c>
      <c r="B231" s="4" t="s">
        <v>2065</v>
      </c>
      <c r="C231" s="1" t="s">
        <v>2066</v>
      </c>
      <c r="D231" s="3" t="s">
        <v>2067</v>
      </c>
      <c r="E231" s="1" t="s">
        <v>30</v>
      </c>
      <c r="F231" s="5">
        <v>13410.0</v>
      </c>
      <c r="G231" s="1" t="s">
        <v>31</v>
      </c>
      <c r="H231" s="9">
        <v>8.79E10</v>
      </c>
      <c r="I231" s="1">
        <v>-6.2194375</v>
      </c>
      <c r="J231" s="3">
        <v>106.8846875</v>
      </c>
      <c r="K231" s="6" t="s">
        <v>2068</v>
      </c>
      <c r="L231" s="11" t="str">
        <f t="shared" si="1"/>
        <v/>
      </c>
      <c r="Z231" s="2" t="s">
        <v>34</v>
      </c>
    </row>
    <row r="232">
      <c r="A232" s="3" t="s">
        <v>48</v>
      </c>
      <c r="B232" s="4" t="s">
        <v>2069</v>
      </c>
      <c r="C232" s="1" t="s">
        <v>2070</v>
      </c>
      <c r="D232" s="3" t="s">
        <v>2071</v>
      </c>
      <c r="E232" s="1" t="s">
        <v>30</v>
      </c>
      <c r="F232" s="5">
        <v>13520.0</v>
      </c>
      <c r="G232" s="1" t="s">
        <v>31</v>
      </c>
      <c r="H232" s="3" t="s">
        <v>32</v>
      </c>
      <c r="I232" s="1">
        <v>-6.2809282</v>
      </c>
      <c r="J232" s="3">
        <v>106.8620144</v>
      </c>
      <c r="K232" s="6" t="s">
        <v>2072</v>
      </c>
      <c r="L232" s="11">
        <f t="shared" si="1"/>
        <v>25581395.35</v>
      </c>
      <c r="M232" s="11">
        <f>3300000000/129</f>
        <v>25581395.35</v>
      </c>
      <c r="Z232" s="8" t="s">
        <v>2073</v>
      </c>
    </row>
    <row r="233">
      <c r="A233" s="3" t="s">
        <v>48</v>
      </c>
      <c r="B233" s="4" t="s">
        <v>2074</v>
      </c>
      <c r="C233" s="1" t="s">
        <v>2075</v>
      </c>
      <c r="D233" s="3" t="s">
        <v>2076</v>
      </c>
      <c r="E233" s="1" t="s">
        <v>30</v>
      </c>
      <c r="F233" s="5">
        <v>13530.0</v>
      </c>
      <c r="G233" s="1" t="s">
        <v>31</v>
      </c>
      <c r="H233" s="3" t="s">
        <v>32</v>
      </c>
      <c r="I233" s="1">
        <v>-6.2779714</v>
      </c>
      <c r="J233" s="3">
        <v>106.850447</v>
      </c>
      <c r="K233" s="6" t="s">
        <v>2077</v>
      </c>
      <c r="L233" s="11">
        <f t="shared" si="1"/>
        <v>14285714.29</v>
      </c>
      <c r="M233" s="11">
        <f>1400000000/98</f>
        <v>14285714.29</v>
      </c>
      <c r="Z233" s="8" t="s">
        <v>2078</v>
      </c>
    </row>
    <row r="234">
      <c r="A234" s="3" t="s">
        <v>48</v>
      </c>
      <c r="B234" s="4" t="s">
        <v>2079</v>
      </c>
      <c r="C234" s="1" t="s">
        <v>2080</v>
      </c>
      <c r="D234" s="3" t="s">
        <v>2081</v>
      </c>
      <c r="E234" s="1" t="s">
        <v>30</v>
      </c>
      <c r="F234" s="5">
        <v>13530.0</v>
      </c>
      <c r="G234" s="1" t="s">
        <v>31</v>
      </c>
      <c r="H234" s="3" t="s">
        <v>32</v>
      </c>
      <c r="I234" s="1">
        <v>-6.2738936</v>
      </c>
      <c r="J234" s="3">
        <v>106.8537425</v>
      </c>
      <c r="K234" s="6" t="s">
        <v>2082</v>
      </c>
      <c r="L234" s="11" t="str">
        <f t="shared" si="1"/>
        <v/>
      </c>
      <c r="Z234" s="2" t="s">
        <v>34</v>
      </c>
    </row>
    <row r="235">
      <c r="A235" s="3" t="s">
        <v>48</v>
      </c>
      <c r="B235" s="4" t="s">
        <v>2083</v>
      </c>
      <c r="C235" s="1" t="s">
        <v>2084</v>
      </c>
      <c r="D235" s="3" t="s">
        <v>2085</v>
      </c>
      <c r="E235" s="1" t="s">
        <v>30</v>
      </c>
      <c r="F235" s="5">
        <v>13540.0</v>
      </c>
      <c r="G235" s="1" t="s">
        <v>31</v>
      </c>
      <c r="H235" s="3" t="s">
        <v>32</v>
      </c>
      <c r="I235" s="1">
        <v>-6.2889545</v>
      </c>
      <c r="J235" s="3">
        <v>106.8598151</v>
      </c>
      <c r="K235" s="6" t="s">
        <v>2086</v>
      </c>
      <c r="L235" s="11">
        <f t="shared" si="1"/>
        <v>19202127.66</v>
      </c>
      <c r="M235" s="11">
        <f>1622500000/82</f>
        <v>19786585.37</v>
      </c>
      <c r="N235" s="11">
        <f>1710000000/93</f>
        <v>18387096.77</v>
      </c>
      <c r="O235" s="11">
        <f>1805000000/94</f>
        <v>19202127.66</v>
      </c>
      <c r="Z235" s="8" t="s">
        <v>2087</v>
      </c>
    </row>
    <row r="236">
      <c r="A236" s="3" t="s">
        <v>48</v>
      </c>
      <c r="B236" s="4" t="s">
        <v>2088</v>
      </c>
      <c r="C236" s="1" t="s">
        <v>2089</v>
      </c>
      <c r="D236" s="3" t="s">
        <v>2090</v>
      </c>
      <c r="E236" s="1" t="s">
        <v>30</v>
      </c>
      <c r="F236" s="5">
        <v>13540.0</v>
      </c>
      <c r="G236" s="1" t="s">
        <v>31</v>
      </c>
      <c r="H236" s="3" t="s">
        <v>32</v>
      </c>
      <c r="I236" s="1">
        <v>-6.286729</v>
      </c>
      <c r="J236" s="3">
        <v>106.8618665</v>
      </c>
      <c r="K236" s="6" t="s">
        <v>2091</v>
      </c>
      <c r="L236" s="11">
        <f t="shared" si="1"/>
        <v>26712328.77</v>
      </c>
      <c r="M236" s="11">
        <f>1950000000/73</f>
        <v>26712328.77</v>
      </c>
      <c r="Z236" s="8" t="s">
        <v>2092</v>
      </c>
    </row>
    <row r="237">
      <c r="A237" s="3" t="s">
        <v>48</v>
      </c>
      <c r="B237" s="4" t="s">
        <v>2093</v>
      </c>
      <c r="C237" s="1" t="s">
        <v>2094</v>
      </c>
      <c r="D237" s="3" t="s">
        <v>2095</v>
      </c>
      <c r="E237" s="1" t="s">
        <v>30</v>
      </c>
      <c r="F237" s="5">
        <v>13570.0</v>
      </c>
      <c r="G237" s="1" t="s">
        <v>31</v>
      </c>
      <c r="H237" s="3" t="s">
        <v>32</v>
      </c>
      <c r="I237" s="1">
        <v>-6.2719331</v>
      </c>
      <c r="J237" s="3">
        <v>106.8752148</v>
      </c>
      <c r="K237" s="6" t="s">
        <v>2096</v>
      </c>
      <c r="L237" s="11" t="str">
        <f t="shared" si="1"/>
        <v/>
      </c>
      <c r="Z237" s="2" t="s">
        <v>34</v>
      </c>
    </row>
    <row r="238">
      <c r="A238" s="3" t="s">
        <v>48</v>
      </c>
      <c r="B238" s="4" t="s">
        <v>2097</v>
      </c>
      <c r="C238" s="1" t="s">
        <v>2098</v>
      </c>
      <c r="D238" s="3" t="s">
        <v>2099</v>
      </c>
      <c r="E238" s="1" t="s">
        <v>30</v>
      </c>
      <c r="F238" s="5">
        <v>13570.0</v>
      </c>
      <c r="G238" s="1" t="s">
        <v>31</v>
      </c>
      <c r="H238" s="14" t="s">
        <v>32</v>
      </c>
      <c r="I238" s="1">
        <v>-6.2797028</v>
      </c>
      <c r="J238" s="3">
        <v>106.878908</v>
      </c>
      <c r="K238" s="6" t="s">
        <v>2100</v>
      </c>
      <c r="L238" s="11">
        <f t="shared" si="1"/>
        <v>18918918.92</v>
      </c>
      <c r="M238" s="11">
        <f>3400000000/185</f>
        <v>18378378.38</v>
      </c>
      <c r="N238" s="11">
        <f>3600000000/185</f>
        <v>19459459.46</v>
      </c>
      <c r="Z238" s="8" t="s">
        <v>2101</v>
      </c>
    </row>
    <row r="239">
      <c r="A239" s="3" t="s">
        <v>48</v>
      </c>
      <c r="B239" s="4" t="s">
        <v>2102</v>
      </c>
      <c r="C239" s="1" t="s">
        <v>2103</v>
      </c>
      <c r="D239" s="3" t="s">
        <v>2104</v>
      </c>
      <c r="E239" s="1" t="s">
        <v>30</v>
      </c>
      <c r="F239" s="5">
        <v>13610.0</v>
      </c>
      <c r="G239" s="1" t="s">
        <v>31</v>
      </c>
      <c r="H239" s="3" t="s">
        <v>32</v>
      </c>
      <c r="I239" s="1">
        <v>-6.256821</v>
      </c>
      <c r="J239" s="3">
        <v>106.8869859</v>
      </c>
      <c r="K239" s="6" t="s">
        <v>2105</v>
      </c>
      <c r="L239" s="11" t="str">
        <f t="shared" si="1"/>
        <v/>
      </c>
      <c r="Z239" s="2" t="s">
        <v>34</v>
      </c>
    </row>
    <row r="240">
      <c r="A240" s="3" t="s">
        <v>48</v>
      </c>
      <c r="B240" s="4" t="s">
        <v>2106</v>
      </c>
      <c r="C240" s="1" t="s">
        <v>2107</v>
      </c>
      <c r="D240" s="3" t="s">
        <v>2108</v>
      </c>
      <c r="E240" s="1" t="s">
        <v>30</v>
      </c>
      <c r="F240" s="5">
        <v>13610.0</v>
      </c>
      <c r="G240" s="1" t="s">
        <v>31</v>
      </c>
      <c r="H240" s="3" t="s">
        <v>32</v>
      </c>
      <c r="I240" s="1">
        <v>-6.2521698</v>
      </c>
      <c r="J240" s="3">
        <v>106.8977927</v>
      </c>
      <c r="K240" s="6" t="s">
        <v>2109</v>
      </c>
      <c r="L240" s="11" t="str">
        <f t="shared" si="1"/>
        <v/>
      </c>
      <c r="Z240" s="2" t="s">
        <v>34</v>
      </c>
    </row>
    <row r="241">
      <c r="A241" s="3" t="s">
        <v>48</v>
      </c>
      <c r="B241" s="4" t="s">
        <v>2110</v>
      </c>
      <c r="C241" s="1" t="s">
        <v>2111</v>
      </c>
      <c r="D241" s="3" t="s">
        <v>2112</v>
      </c>
      <c r="E241" s="1" t="s">
        <v>30</v>
      </c>
      <c r="F241" s="5">
        <v>13620.0</v>
      </c>
      <c r="G241" s="1" t="s">
        <v>31</v>
      </c>
      <c r="H241" s="3" t="s">
        <v>32</v>
      </c>
      <c r="I241" s="1">
        <v>-6.2493361</v>
      </c>
      <c r="J241" s="3">
        <v>106.9019112</v>
      </c>
      <c r="K241" s="6" t="s">
        <v>2113</v>
      </c>
      <c r="L241" s="11">
        <f t="shared" si="1"/>
        <v>10504201.68</v>
      </c>
      <c r="M241" s="11">
        <f>5000000000/476</f>
        <v>10504201.68</v>
      </c>
      <c r="Z241" s="8" t="s">
        <v>2114</v>
      </c>
    </row>
    <row r="242">
      <c r="A242" s="3" t="s">
        <v>48</v>
      </c>
      <c r="B242" s="4" t="s">
        <v>2115</v>
      </c>
      <c r="C242" s="1" t="s">
        <v>2116</v>
      </c>
      <c r="D242" s="3" t="s">
        <v>2117</v>
      </c>
      <c r="E242" s="1" t="s">
        <v>30</v>
      </c>
      <c r="F242" s="5">
        <v>13620.0</v>
      </c>
      <c r="G242" s="1" t="s">
        <v>31</v>
      </c>
      <c r="H242" s="3" t="s">
        <v>32</v>
      </c>
      <c r="I242" s="1">
        <v>-6.2587696</v>
      </c>
      <c r="J242" s="3">
        <v>106.9077281</v>
      </c>
      <c r="K242" s="6" t="s">
        <v>2118</v>
      </c>
      <c r="L242" s="11">
        <f t="shared" si="1"/>
        <v>16860465.12</v>
      </c>
      <c r="M242" s="11">
        <f>1450000000/86</f>
        <v>16860465.12</v>
      </c>
      <c r="Z242" s="8" t="s">
        <v>2119</v>
      </c>
    </row>
    <row r="243">
      <c r="A243" s="3" t="s">
        <v>48</v>
      </c>
      <c r="B243" s="4" t="s">
        <v>2120</v>
      </c>
      <c r="C243" s="1" t="s">
        <v>2121</v>
      </c>
      <c r="D243" s="3" t="s">
        <v>2122</v>
      </c>
      <c r="E243" s="1" t="s">
        <v>30</v>
      </c>
      <c r="F243" s="5">
        <v>13110.0</v>
      </c>
      <c r="G243" s="1" t="s">
        <v>31</v>
      </c>
      <c r="H243" s="3" t="s">
        <v>32</v>
      </c>
      <c r="I243" s="1">
        <v>-6.2100834</v>
      </c>
      <c r="J243" s="3">
        <v>106.8714803</v>
      </c>
      <c r="K243" s="6" t="s">
        <v>2123</v>
      </c>
      <c r="L243" s="11" t="str">
        <f t="shared" si="1"/>
        <v/>
      </c>
      <c r="Z243" s="2" t="s">
        <v>34</v>
      </c>
    </row>
    <row r="244">
      <c r="A244" s="3" t="s">
        <v>48</v>
      </c>
      <c r="B244" s="4" t="s">
        <v>2124</v>
      </c>
      <c r="C244" s="1" t="s">
        <v>2125</v>
      </c>
      <c r="D244" s="3" t="s">
        <v>2126</v>
      </c>
      <c r="E244" s="1" t="s">
        <v>30</v>
      </c>
      <c r="F244" s="5">
        <v>13150.0</v>
      </c>
      <c r="G244" s="1" t="s">
        <v>31</v>
      </c>
      <c r="H244" s="9">
        <v>8.18E10</v>
      </c>
      <c r="I244" s="1">
        <v>-6.2017516</v>
      </c>
      <c r="J244" s="3">
        <v>106.8519061</v>
      </c>
      <c r="K244" s="6" t="s">
        <v>2127</v>
      </c>
      <c r="L244" s="11" t="str">
        <f t="shared" si="1"/>
        <v/>
      </c>
      <c r="Z244" s="2" t="s">
        <v>34</v>
      </c>
    </row>
    <row r="245">
      <c r="A245" s="3" t="s">
        <v>48</v>
      </c>
      <c r="B245" s="4" t="s">
        <v>2128</v>
      </c>
      <c r="C245" s="1" t="s">
        <v>2129</v>
      </c>
      <c r="D245" s="3" t="s">
        <v>2130</v>
      </c>
      <c r="E245" s="1" t="s">
        <v>30</v>
      </c>
      <c r="F245" s="5">
        <v>13150.0</v>
      </c>
      <c r="G245" s="1" t="s">
        <v>31</v>
      </c>
      <c r="H245" s="9">
        <v>8.13E10</v>
      </c>
      <c r="I245" s="1">
        <v>-6.2058686</v>
      </c>
      <c r="J245" s="3">
        <v>106.8572713</v>
      </c>
      <c r="K245" s="6" t="s">
        <v>2131</v>
      </c>
      <c r="L245" s="11" t="str">
        <f t="shared" si="1"/>
        <v/>
      </c>
      <c r="Z245" s="2" t="s">
        <v>34</v>
      </c>
    </row>
    <row r="246">
      <c r="A246" s="3" t="s">
        <v>48</v>
      </c>
      <c r="B246" s="4" t="s">
        <v>2132</v>
      </c>
      <c r="C246" s="1" t="s">
        <v>2133</v>
      </c>
      <c r="D246" s="3" t="s">
        <v>2134</v>
      </c>
      <c r="E246" s="1" t="s">
        <v>30</v>
      </c>
      <c r="F246" s="5">
        <v>13150.0</v>
      </c>
      <c r="G246" s="1" t="s">
        <v>31</v>
      </c>
      <c r="H246" s="9">
        <v>8.12E9</v>
      </c>
      <c r="I246" s="1">
        <v>-6.2081727</v>
      </c>
      <c r="J246" s="3">
        <v>106.8536837</v>
      </c>
      <c r="K246" s="6" t="s">
        <v>2135</v>
      </c>
      <c r="L246" s="11" t="str">
        <f t="shared" si="1"/>
        <v/>
      </c>
      <c r="Z246" s="2" t="s">
        <v>34</v>
      </c>
    </row>
    <row r="247">
      <c r="A247" s="3" t="s">
        <v>48</v>
      </c>
      <c r="B247" s="4" t="s">
        <v>2136</v>
      </c>
      <c r="C247" s="1" t="s">
        <v>2137</v>
      </c>
      <c r="D247" s="3" t="s">
        <v>2138</v>
      </c>
      <c r="E247" s="1" t="s">
        <v>30</v>
      </c>
      <c r="F247" s="5">
        <v>13710.0</v>
      </c>
      <c r="G247" s="1" t="s">
        <v>31</v>
      </c>
      <c r="H247" s="3" t="s">
        <v>32</v>
      </c>
      <c r="I247" s="1">
        <v>-6.3415308</v>
      </c>
      <c r="J247" s="3">
        <v>106.8659686</v>
      </c>
      <c r="K247" s="6" t="s">
        <v>2139</v>
      </c>
      <c r="L247" s="11">
        <f t="shared" si="1"/>
        <v>14478787.88</v>
      </c>
      <c r="M247" s="11">
        <f>477800000/33</f>
        <v>14478787.88</v>
      </c>
      <c r="Z247" s="8" t="s">
        <v>2140</v>
      </c>
    </row>
    <row r="248">
      <c r="A248" s="3" t="s">
        <v>48</v>
      </c>
      <c r="B248" s="4" t="s">
        <v>2141</v>
      </c>
      <c r="C248" s="1" t="s">
        <v>2142</v>
      </c>
      <c r="D248" s="3" t="s">
        <v>2143</v>
      </c>
      <c r="E248" s="1" t="s">
        <v>30</v>
      </c>
      <c r="F248" s="5">
        <v>13760.0</v>
      </c>
      <c r="G248" s="1" t="s">
        <v>31</v>
      </c>
      <c r="H248" s="9">
        <v>8.13E10</v>
      </c>
      <c r="I248" s="1">
        <v>-6.2983831</v>
      </c>
      <c r="J248" s="3">
        <v>106.8636695</v>
      </c>
      <c r="K248" s="6" t="s">
        <v>2144</v>
      </c>
      <c r="L248" s="11" t="str">
        <f t="shared" si="1"/>
        <v/>
      </c>
      <c r="Z248" s="2" t="s">
        <v>34</v>
      </c>
    </row>
    <row r="249">
      <c r="A249" s="3" t="s">
        <v>48</v>
      </c>
      <c r="B249" s="4" t="s">
        <v>2145</v>
      </c>
      <c r="C249" s="1" t="s">
        <v>2146</v>
      </c>
      <c r="D249" s="3" t="s">
        <v>2147</v>
      </c>
      <c r="E249" s="1" t="s">
        <v>30</v>
      </c>
      <c r="F249" s="5">
        <v>13760.0</v>
      </c>
      <c r="G249" s="1" t="s">
        <v>31</v>
      </c>
      <c r="H249" s="9">
        <v>8.14E10</v>
      </c>
      <c r="I249" s="1">
        <v>-6.292544</v>
      </c>
      <c r="J249" s="3">
        <v>106.8593681</v>
      </c>
      <c r="K249" s="6" t="s">
        <v>2148</v>
      </c>
      <c r="L249" s="11">
        <f t="shared" si="1"/>
        <v>21348314.61</v>
      </c>
      <c r="M249" s="11">
        <f>1900000000/89</f>
        <v>21348314.61</v>
      </c>
      <c r="Z249" s="8" t="s">
        <v>2149</v>
      </c>
    </row>
    <row r="250">
      <c r="A250" s="3" t="s">
        <v>48</v>
      </c>
      <c r="B250" s="4" t="s">
        <v>2150</v>
      </c>
      <c r="C250" s="1" t="s">
        <v>2151</v>
      </c>
      <c r="D250" s="3" t="s">
        <v>2152</v>
      </c>
      <c r="E250" s="1" t="s">
        <v>30</v>
      </c>
      <c r="F250" s="5">
        <v>13770.0</v>
      </c>
      <c r="G250" s="1" t="s">
        <v>31</v>
      </c>
      <c r="H250" s="14" t="s">
        <v>32</v>
      </c>
      <c r="I250" s="1">
        <v>-6.3208183</v>
      </c>
      <c r="J250" s="3">
        <v>106.8536898</v>
      </c>
      <c r="K250" s="6" t="s">
        <v>2153</v>
      </c>
      <c r="L250" s="11">
        <f t="shared" si="1"/>
        <v>9607843.137</v>
      </c>
      <c r="M250" s="11">
        <f>980000000/102</f>
        <v>9607843.137</v>
      </c>
      <c r="Z250" s="8" t="s">
        <v>1479</v>
      </c>
    </row>
    <row r="251">
      <c r="A251" s="3" t="s">
        <v>48</v>
      </c>
      <c r="B251" s="4" t="s">
        <v>2154</v>
      </c>
      <c r="C251" s="1" t="s">
        <v>2155</v>
      </c>
      <c r="D251" s="3" t="s">
        <v>2156</v>
      </c>
      <c r="E251" s="1" t="s">
        <v>30</v>
      </c>
      <c r="F251" s="5">
        <v>13770.0</v>
      </c>
      <c r="G251" s="1" t="s">
        <v>31</v>
      </c>
      <c r="H251" s="3" t="s">
        <v>32</v>
      </c>
      <c r="I251" s="1">
        <v>-6.3223724</v>
      </c>
      <c r="J251" s="3">
        <v>106.8593428</v>
      </c>
      <c r="K251" s="6" t="s">
        <v>2157</v>
      </c>
      <c r="L251" s="11">
        <f t="shared" si="1"/>
        <v>7971014.493</v>
      </c>
      <c r="M251" s="11">
        <f>550000000/69</f>
        <v>7971014.493</v>
      </c>
      <c r="Z251" s="8" t="s">
        <v>2158</v>
      </c>
    </row>
    <row r="252">
      <c r="A252" s="3" t="s">
        <v>48</v>
      </c>
      <c r="B252" s="4" t="s">
        <v>2159</v>
      </c>
      <c r="C252" s="1" t="s">
        <v>2160</v>
      </c>
      <c r="D252" s="3" t="s">
        <v>2161</v>
      </c>
      <c r="E252" s="1" t="s">
        <v>30</v>
      </c>
      <c r="F252" s="5">
        <v>13780.0</v>
      </c>
      <c r="G252" s="1" t="s">
        <v>31</v>
      </c>
      <c r="H252" s="9">
        <v>8.57E10</v>
      </c>
      <c r="I252" s="1">
        <v>-6.3304641</v>
      </c>
      <c r="J252" s="3">
        <v>106.849868</v>
      </c>
      <c r="K252" s="6" t="s">
        <v>2162</v>
      </c>
      <c r="L252" s="11" t="str">
        <f t="shared" si="1"/>
        <v/>
      </c>
      <c r="Z252" s="2" t="s">
        <v>34</v>
      </c>
    </row>
    <row r="253">
      <c r="A253" s="3" t="s">
        <v>48</v>
      </c>
      <c r="B253" s="4" t="s">
        <v>2163</v>
      </c>
      <c r="C253" s="1" t="s">
        <v>2164</v>
      </c>
      <c r="D253" s="3" t="s">
        <v>2165</v>
      </c>
      <c r="E253" s="1" t="s">
        <v>30</v>
      </c>
      <c r="F253" s="5">
        <v>13790.0</v>
      </c>
      <c r="G253" s="1" t="s">
        <v>31</v>
      </c>
      <c r="H253" s="3" t="s">
        <v>32</v>
      </c>
      <c r="I253" s="1">
        <v>-6.3393885</v>
      </c>
      <c r="J253" s="3">
        <v>106.853509</v>
      </c>
      <c r="K253" s="6" t="s">
        <v>2166</v>
      </c>
      <c r="L253" s="11" t="str">
        <f t="shared" si="1"/>
        <v/>
      </c>
      <c r="Z253" s="2" t="s">
        <v>34</v>
      </c>
    </row>
    <row r="254">
      <c r="A254" s="3" t="s">
        <v>48</v>
      </c>
      <c r="B254" s="4" t="s">
        <v>2167</v>
      </c>
      <c r="C254" s="1" t="s">
        <v>2168</v>
      </c>
      <c r="D254" s="3" t="s">
        <v>2169</v>
      </c>
      <c r="E254" s="1" t="s">
        <v>30</v>
      </c>
      <c r="F254" s="5">
        <v>13790.0</v>
      </c>
      <c r="G254" s="1" t="s">
        <v>31</v>
      </c>
      <c r="H254" s="3" t="s">
        <v>32</v>
      </c>
      <c r="I254" s="1">
        <v>-6.3334389</v>
      </c>
      <c r="J254" s="3">
        <v>106.8616943</v>
      </c>
      <c r="K254" s="6" t="s">
        <v>2170</v>
      </c>
      <c r="L254" s="11">
        <f t="shared" si="1"/>
        <v>12745098.04</v>
      </c>
      <c r="M254" s="11">
        <f>1300000000/102</f>
        <v>12745098.04</v>
      </c>
      <c r="Z254" s="8" t="s">
        <v>2171</v>
      </c>
    </row>
    <row r="255">
      <c r="A255" s="3" t="s">
        <v>48</v>
      </c>
      <c r="B255" s="4" t="s">
        <v>2172</v>
      </c>
      <c r="C255" s="1" t="s">
        <v>2173</v>
      </c>
      <c r="D255" s="3" t="s">
        <v>2174</v>
      </c>
      <c r="E255" s="1" t="s">
        <v>30</v>
      </c>
      <c r="F255" s="5">
        <v>13260.0</v>
      </c>
      <c r="G255" s="1" t="s">
        <v>31</v>
      </c>
      <c r="H255" s="9">
        <v>8.78E10</v>
      </c>
      <c r="I255" s="1">
        <v>-6.1839205</v>
      </c>
      <c r="J255" s="3">
        <v>106.9025466</v>
      </c>
      <c r="K255" s="6" t="s">
        <v>2175</v>
      </c>
      <c r="L255" s="11">
        <f t="shared" si="1"/>
        <v>30949612.4</v>
      </c>
      <c r="M255" s="11">
        <f>950000000/30</f>
        <v>31666666.67</v>
      </c>
      <c r="N255" s="11">
        <f>1300000000/43</f>
        <v>30232558.14</v>
      </c>
      <c r="Z255" s="8" t="s">
        <v>2176</v>
      </c>
    </row>
    <row r="256">
      <c r="A256" s="3" t="s">
        <v>48</v>
      </c>
      <c r="B256" s="4" t="s">
        <v>2177</v>
      </c>
      <c r="C256" s="1" t="s">
        <v>2178</v>
      </c>
      <c r="D256" s="3" t="s">
        <v>2179</v>
      </c>
      <c r="E256" s="1" t="s">
        <v>30</v>
      </c>
      <c r="F256" s="5">
        <v>13260.0</v>
      </c>
      <c r="G256" s="1" t="s">
        <v>31</v>
      </c>
      <c r="H256" s="3" t="s">
        <v>32</v>
      </c>
      <c r="I256" s="1">
        <v>-6.1819276</v>
      </c>
      <c r="J256" s="3">
        <v>106.8955845</v>
      </c>
      <c r="K256" s="6" t="s">
        <v>2180</v>
      </c>
      <c r="L256" s="11">
        <f t="shared" si="1"/>
        <v>23004694.84</v>
      </c>
      <c r="M256" s="11">
        <f>4900000000/213</f>
        <v>23004694.84</v>
      </c>
      <c r="Z256" s="8" t="s">
        <v>2181</v>
      </c>
    </row>
    <row r="257">
      <c r="A257" s="3" t="s">
        <v>48</v>
      </c>
      <c r="B257" s="4" t="s">
        <v>2182</v>
      </c>
      <c r="C257" s="1" t="s">
        <v>2183</v>
      </c>
      <c r="D257" s="3" t="s">
        <v>1815</v>
      </c>
      <c r="E257" s="1" t="s">
        <v>30</v>
      </c>
      <c r="F257" s="5">
        <v>13210.0</v>
      </c>
      <c r="G257" s="1" t="s">
        <v>31</v>
      </c>
      <c r="H257" s="3" t="s">
        <v>32</v>
      </c>
      <c r="I257" s="1">
        <v>-6.1774994</v>
      </c>
      <c r="J257" s="3">
        <v>106.8840783</v>
      </c>
      <c r="K257" s="6" t="s">
        <v>2184</v>
      </c>
      <c r="L257" s="11" t="str">
        <f t="shared" si="1"/>
        <v/>
      </c>
      <c r="Z257" s="2" t="s">
        <v>34</v>
      </c>
    </row>
    <row r="258">
      <c r="A258" s="3" t="s">
        <v>48</v>
      </c>
      <c r="B258" s="4" t="s">
        <v>2185</v>
      </c>
      <c r="C258" s="1" t="s">
        <v>2186</v>
      </c>
      <c r="D258" s="3" t="s">
        <v>2187</v>
      </c>
      <c r="E258" s="1" t="s">
        <v>30</v>
      </c>
      <c r="F258" s="5">
        <v>13220.0</v>
      </c>
      <c r="G258" s="1" t="s">
        <v>31</v>
      </c>
      <c r="H258" s="3" t="s">
        <v>32</v>
      </c>
      <c r="I258" s="1">
        <v>-6.1960344</v>
      </c>
      <c r="J258" s="3">
        <v>106.9004625</v>
      </c>
      <c r="K258" s="6" t="s">
        <v>2188</v>
      </c>
      <c r="L258" s="11">
        <f t="shared" si="1"/>
        <v>27083333.33</v>
      </c>
      <c r="M258" s="11">
        <f>6500000000/240</f>
        <v>27083333.33</v>
      </c>
      <c r="Z258" s="8" t="s">
        <v>2189</v>
      </c>
    </row>
    <row r="259">
      <c r="A259" s="3" t="s">
        <v>833</v>
      </c>
      <c r="B259" s="4" t="s">
        <v>2190</v>
      </c>
      <c r="C259" s="1" t="s">
        <v>2191</v>
      </c>
      <c r="D259" s="3" t="s">
        <v>2192</v>
      </c>
      <c r="E259" s="1" t="s">
        <v>30</v>
      </c>
      <c r="F259" s="5">
        <v>13610.0</v>
      </c>
      <c r="G259" s="1" t="s">
        <v>31</v>
      </c>
      <c r="H259" s="14" t="s">
        <v>32</v>
      </c>
      <c r="I259" s="1">
        <v>-6.2846114</v>
      </c>
      <c r="J259" s="3">
        <v>106.8989665</v>
      </c>
      <c r="K259" s="6" t="s">
        <v>2193</v>
      </c>
      <c r="L259" s="11" t="str">
        <f t="shared" si="1"/>
        <v/>
      </c>
      <c r="Z259" s="2" t="s">
        <v>34</v>
      </c>
    </row>
    <row r="260">
      <c r="A260" s="3" t="s">
        <v>833</v>
      </c>
      <c r="B260" s="4" t="s">
        <v>2194</v>
      </c>
      <c r="C260" s="1" t="s">
        <v>2195</v>
      </c>
      <c r="D260" s="3" t="s">
        <v>2196</v>
      </c>
      <c r="E260" s="1" t="s">
        <v>30</v>
      </c>
      <c r="F260" s="5">
        <v>13710.0</v>
      </c>
      <c r="G260" s="1" t="s">
        <v>31</v>
      </c>
      <c r="H260" s="9">
        <v>8.22E10</v>
      </c>
      <c r="I260" s="1">
        <v>-6.3462205</v>
      </c>
      <c r="J260" s="3">
        <v>106.8689959</v>
      </c>
      <c r="K260" s="6" t="s">
        <v>2197</v>
      </c>
      <c r="L260" s="11">
        <f t="shared" si="1"/>
        <v>11663366.34</v>
      </c>
      <c r="M260" s="11">
        <f>2356000000/202</f>
        <v>11663366.34</v>
      </c>
      <c r="Z260" s="8" t="s">
        <v>2198</v>
      </c>
    </row>
    <row r="261">
      <c r="A261" s="3" t="s">
        <v>839</v>
      </c>
      <c r="B261" s="4" t="s">
        <v>2199</v>
      </c>
      <c r="C261" s="1" t="s">
        <v>2200</v>
      </c>
      <c r="D261" s="3" t="s">
        <v>2201</v>
      </c>
      <c r="E261" s="1" t="s">
        <v>30</v>
      </c>
      <c r="F261" s="5">
        <v>13830.0</v>
      </c>
      <c r="G261" s="1" t="s">
        <v>31</v>
      </c>
      <c r="H261" s="3" t="s">
        <v>32</v>
      </c>
      <c r="I261" s="1">
        <v>-6.3163726</v>
      </c>
      <c r="J261" s="3">
        <v>106.8838044</v>
      </c>
      <c r="K261" s="6" t="s">
        <v>2202</v>
      </c>
      <c r="L261" s="11" t="str">
        <f t="shared" si="1"/>
        <v/>
      </c>
      <c r="Z261" s="2" t="s">
        <v>34</v>
      </c>
    </row>
    <row r="262">
      <c r="A262" s="3" t="s">
        <v>839</v>
      </c>
      <c r="B262" s="4" t="s">
        <v>2203</v>
      </c>
      <c r="C262" s="1" t="s">
        <v>2204</v>
      </c>
      <c r="D262" s="3" t="s">
        <v>2205</v>
      </c>
      <c r="E262" s="1" t="s">
        <v>30</v>
      </c>
      <c r="F262" s="5">
        <v>13570.0</v>
      </c>
      <c r="G262" s="1" t="s">
        <v>31</v>
      </c>
      <c r="H262" s="9">
        <v>2.18E8</v>
      </c>
      <c r="I262" s="1">
        <v>-6.2833793</v>
      </c>
      <c r="J262" s="3">
        <v>106.879137</v>
      </c>
      <c r="K262" s="6" t="s">
        <v>2206</v>
      </c>
      <c r="L262" s="11">
        <f t="shared" si="1"/>
        <v>19313725.49</v>
      </c>
      <c r="M262" s="11">
        <f>985000000/51</f>
        <v>19313725.49</v>
      </c>
      <c r="Z262" s="8" t="s">
        <v>2207</v>
      </c>
    </row>
    <row r="263">
      <c r="A263" s="3" t="s">
        <v>845</v>
      </c>
      <c r="B263" s="4" t="s">
        <v>2208</v>
      </c>
      <c r="C263" s="1" t="s">
        <v>2209</v>
      </c>
      <c r="D263" s="3" t="s">
        <v>1249</v>
      </c>
      <c r="E263" s="1" t="s">
        <v>30</v>
      </c>
      <c r="F263" s="5">
        <v>13820.0</v>
      </c>
      <c r="G263" s="1" t="s">
        <v>31</v>
      </c>
      <c r="H263" s="3" t="s">
        <v>32</v>
      </c>
      <c r="I263" s="1">
        <v>-6.3174193</v>
      </c>
      <c r="J263" s="3">
        <v>106.8879404</v>
      </c>
      <c r="K263" s="6" t="s">
        <v>2210</v>
      </c>
      <c r="L263" s="11" t="str">
        <f t="shared" si="1"/>
        <v/>
      </c>
      <c r="Z263" s="2" t="s">
        <v>34</v>
      </c>
    </row>
    <row r="264">
      <c r="A264" s="3" t="s">
        <v>845</v>
      </c>
      <c r="B264" s="4" t="s">
        <v>2211</v>
      </c>
      <c r="C264" s="1" t="s">
        <v>2212</v>
      </c>
      <c r="D264" s="3" t="s">
        <v>2213</v>
      </c>
      <c r="E264" s="1" t="s">
        <v>30</v>
      </c>
      <c r="F264" s="5">
        <v>13860.0</v>
      </c>
      <c r="G264" s="1" t="s">
        <v>31</v>
      </c>
      <c r="H264" s="3" t="s">
        <v>32</v>
      </c>
      <c r="I264" s="1">
        <v>-6.3528525</v>
      </c>
      <c r="J264" s="3">
        <v>106.910637</v>
      </c>
      <c r="K264" s="6" t="s">
        <v>2214</v>
      </c>
      <c r="L264" s="11">
        <f t="shared" si="1"/>
        <v>12222222.22</v>
      </c>
      <c r="M264" s="11">
        <f>880000000/72</f>
        <v>12222222.22</v>
      </c>
      <c r="Z264" s="8" t="s">
        <v>2215</v>
      </c>
    </row>
    <row r="265">
      <c r="A265" s="3" t="s">
        <v>845</v>
      </c>
      <c r="B265" s="4" t="s">
        <v>2216</v>
      </c>
      <c r="C265" s="1" t="s">
        <v>2217</v>
      </c>
      <c r="D265" s="3" t="s">
        <v>2218</v>
      </c>
      <c r="E265" s="1" t="s">
        <v>30</v>
      </c>
      <c r="F265" s="5">
        <v>13860.0</v>
      </c>
      <c r="G265" s="1" t="s">
        <v>31</v>
      </c>
      <c r="H265" s="14" t="s">
        <v>32</v>
      </c>
      <c r="I265" s="1">
        <v>-6.3442572</v>
      </c>
      <c r="J265" s="3">
        <v>106.9095776</v>
      </c>
      <c r="K265" s="6" t="s">
        <v>2219</v>
      </c>
      <c r="L265" s="11" t="str">
        <f t="shared" si="1"/>
        <v/>
      </c>
      <c r="Z265" s="2" t="s">
        <v>34</v>
      </c>
    </row>
    <row r="266">
      <c r="A266" s="3" t="s">
        <v>845</v>
      </c>
      <c r="B266" s="4" t="s">
        <v>2220</v>
      </c>
      <c r="C266" s="1" t="s">
        <v>2221</v>
      </c>
      <c r="D266" s="3" t="s">
        <v>2222</v>
      </c>
      <c r="E266" s="1" t="s">
        <v>30</v>
      </c>
      <c r="F266" s="5">
        <v>13890.0</v>
      </c>
      <c r="G266" s="1" t="s">
        <v>31</v>
      </c>
      <c r="H266" s="3" t="s">
        <v>32</v>
      </c>
      <c r="I266" s="1">
        <v>-6.3172387</v>
      </c>
      <c r="J266" s="3">
        <v>106.9024149</v>
      </c>
      <c r="K266" s="6" t="s">
        <v>2223</v>
      </c>
      <c r="L266" s="11">
        <f t="shared" si="1"/>
        <v>13098360.66</v>
      </c>
      <c r="M266" s="11">
        <f>799000000/61</f>
        <v>13098360.66</v>
      </c>
      <c r="Z266" s="8" t="s">
        <v>2224</v>
      </c>
    </row>
    <row r="267">
      <c r="A267" s="3" t="s">
        <v>845</v>
      </c>
      <c r="B267" s="4" t="s">
        <v>2225</v>
      </c>
      <c r="C267" s="1" t="s">
        <v>2226</v>
      </c>
      <c r="D267" s="3" t="s">
        <v>2227</v>
      </c>
      <c r="E267" s="1" t="s">
        <v>30</v>
      </c>
      <c r="F267" s="5">
        <v>13730.0</v>
      </c>
      <c r="G267" s="1" t="s">
        <v>31</v>
      </c>
      <c r="H267" s="3" t="s">
        <v>32</v>
      </c>
      <c r="I267" s="1">
        <v>-6.3388169</v>
      </c>
      <c r="J267" s="3">
        <v>106.887682</v>
      </c>
      <c r="K267" s="6" t="s">
        <v>2228</v>
      </c>
      <c r="L267" s="11" t="str">
        <f t="shared" si="1"/>
        <v/>
      </c>
      <c r="Z267" s="2" t="s">
        <v>34</v>
      </c>
    </row>
    <row r="268">
      <c r="A268" s="3" t="s">
        <v>845</v>
      </c>
      <c r="B268" s="4" t="s">
        <v>2229</v>
      </c>
      <c r="C268" s="1" t="s">
        <v>2230</v>
      </c>
      <c r="D268" s="3" t="s">
        <v>2231</v>
      </c>
      <c r="E268" s="1" t="s">
        <v>30</v>
      </c>
      <c r="F268" s="5">
        <v>13740.0</v>
      </c>
      <c r="G268" s="1" t="s">
        <v>31</v>
      </c>
      <c r="H268" s="3" t="s">
        <v>32</v>
      </c>
      <c r="I268" s="1">
        <v>-6.3172883</v>
      </c>
      <c r="J268" s="3">
        <v>106.8733953</v>
      </c>
      <c r="K268" s="6" t="s">
        <v>2232</v>
      </c>
      <c r="L268" s="11" t="str">
        <f t="shared" si="1"/>
        <v/>
      </c>
      <c r="Z268" s="2" t="s">
        <v>34</v>
      </c>
    </row>
    <row r="269">
      <c r="A269" s="3" t="s">
        <v>845</v>
      </c>
      <c r="B269" s="4" t="s">
        <v>2233</v>
      </c>
      <c r="C269" s="1" t="s">
        <v>2234</v>
      </c>
      <c r="D269" s="3" t="s">
        <v>2235</v>
      </c>
      <c r="E269" s="1" t="s">
        <v>30</v>
      </c>
      <c r="F269" s="5">
        <v>13470.0</v>
      </c>
      <c r="G269" s="1" t="s">
        <v>31</v>
      </c>
      <c r="H269" s="3" t="s">
        <v>32</v>
      </c>
      <c r="I269" s="1">
        <v>-6.2192146</v>
      </c>
      <c r="J269" s="3">
        <v>106.9207588</v>
      </c>
      <c r="K269" s="6" t="s">
        <v>2236</v>
      </c>
      <c r="L269" s="11">
        <f t="shared" si="1"/>
        <v>8290816.327</v>
      </c>
      <c r="M269" s="11">
        <f>3250000000/392</f>
        <v>8290816.327</v>
      </c>
      <c r="Z269" s="8" t="s">
        <v>2237</v>
      </c>
    </row>
    <row r="270">
      <c r="A270" s="3" t="s">
        <v>845</v>
      </c>
      <c r="B270" s="4" t="s">
        <v>2238</v>
      </c>
      <c r="C270" s="1" t="s">
        <v>2239</v>
      </c>
      <c r="D270" s="3" t="s">
        <v>2240</v>
      </c>
      <c r="E270" s="1" t="s">
        <v>30</v>
      </c>
      <c r="F270" s="5">
        <v>13790.0</v>
      </c>
      <c r="G270" s="1" t="s">
        <v>31</v>
      </c>
      <c r="H270" s="3" t="s">
        <v>32</v>
      </c>
      <c r="I270" s="1">
        <v>-6.3348831</v>
      </c>
      <c r="J270" s="3">
        <v>106.8500402</v>
      </c>
      <c r="K270" s="6" t="s">
        <v>2241</v>
      </c>
      <c r="L270" s="11">
        <f t="shared" si="1"/>
        <v>14141414.14</v>
      </c>
      <c r="M270" s="11">
        <f>1400000000/99</f>
        <v>14141414.14</v>
      </c>
      <c r="Z270" s="8" t="s">
        <v>2242</v>
      </c>
    </row>
    <row r="271">
      <c r="A271" s="3" t="s">
        <v>845</v>
      </c>
      <c r="B271" s="4" t="s">
        <v>2243</v>
      </c>
      <c r="C271" s="1" t="s">
        <v>2244</v>
      </c>
      <c r="D271" s="3" t="s">
        <v>2245</v>
      </c>
      <c r="E271" s="1" t="s">
        <v>30</v>
      </c>
      <c r="F271" s="5">
        <v>13850.0</v>
      </c>
      <c r="G271" s="1" t="s">
        <v>31</v>
      </c>
      <c r="H271" s="3" t="s">
        <v>32</v>
      </c>
      <c r="I271" s="1">
        <v>-6.3467936</v>
      </c>
      <c r="J271" s="3">
        <v>106.8989917</v>
      </c>
      <c r="K271" s="6" t="s">
        <v>2246</v>
      </c>
      <c r="L271" s="11" t="str">
        <f t="shared" si="1"/>
        <v/>
      </c>
      <c r="Z271" s="2" t="s">
        <v>34</v>
      </c>
    </row>
    <row r="272">
      <c r="A272" s="3" t="s">
        <v>845</v>
      </c>
      <c r="B272" s="4" t="s">
        <v>2247</v>
      </c>
      <c r="C272" s="1" t="s">
        <v>2248</v>
      </c>
      <c r="D272" s="3" t="s">
        <v>2249</v>
      </c>
      <c r="E272" s="1" t="s">
        <v>30</v>
      </c>
      <c r="F272" s="5">
        <v>13830.0</v>
      </c>
      <c r="G272" s="1" t="s">
        <v>31</v>
      </c>
      <c r="H272" s="9">
        <v>8.17E8</v>
      </c>
      <c r="I272" s="1">
        <v>-6.3062746</v>
      </c>
      <c r="J272" s="3">
        <v>106.8716433</v>
      </c>
      <c r="K272" s="6" t="s">
        <v>2250</v>
      </c>
      <c r="L272" s="11">
        <f t="shared" si="1"/>
        <v>12945300</v>
      </c>
      <c r="M272" s="11">
        <f>595780000/50</f>
        <v>11915600</v>
      </c>
      <c r="N272" s="11">
        <f>698750000/50</f>
        <v>13975000</v>
      </c>
      <c r="Z272" s="8" t="s">
        <v>2251</v>
      </c>
    </row>
    <row r="273">
      <c r="A273" s="3" t="s">
        <v>845</v>
      </c>
      <c r="B273" s="4" t="s">
        <v>2252</v>
      </c>
      <c r="C273" s="1" t="s">
        <v>2253</v>
      </c>
      <c r="D273" s="3" t="s">
        <v>2254</v>
      </c>
      <c r="E273" s="1" t="s">
        <v>30</v>
      </c>
      <c r="F273" s="5">
        <v>13440.0</v>
      </c>
      <c r="G273" s="1" t="s">
        <v>31</v>
      </c>
      <c r="H273" s="9">
        <v>8.24E10</v>
      </c>
      <c r="I273" s="1">
        <v>-6.235109</v>
      </c>
      <c r="J273" s="3">
        <v>106.9171192</v>
      </c>
      <c r="K273" s="6" t="s">
        <v>2255</v>
      </c>
      <c r="L273" s="11">
        <f t="shared" si="1"/>
        <v>19130434.78</v>
      </c>
      <c r="M273" s="11">
        <f>2200000000/115</f>
        <v>19130434.78</v>
      </c>
      <c r="Z273" s="8" t="s">
        <v>2256</v>
      </c>
    </row>
    <row r="274">
      <c r="A274" s="3" t="s">
        <v>845</v>
      </c>
      <c r="B274" s="4" t="s">
        <v>2257</v>
      </c>
      <c r="C274" s="1" t="s">
        <v>2258</v>
      </c>
      <c r="D274" s="3" t="s">
        <v>2259</v>
      </c>
      <c r="E274" s="1" t="s">
        <v>30</v>
      </c>
      <c r="F274" s="5">
        <v>13460.0</v>
      </c>
      <c r="G274" s="1" t="s">
        <v>31</v>
      </c>
      <c r="H274" s="3" t="s">
        <v>32</v>
      </c>
      <c r="I274" s="1">
        <v>-6.2305927</v>
      </c>
      <c r="J274" s="3">
        <v>106.9352081</v>
      </c>
      <c r="K274" s="6" t="s">
        <v>2260</v>
      </c>
      <c r="L274" s="11" t="str">
        <f t="shared" si="1"/>
        <v/>
      </c>
      <c r="Z274" s="2" t="s">
        <v>34</v>
      </c>
    </row>
    <row r="275">
      <c r="A275" s="3" t="s">
        <v>845</v>
      </c>
      <c r="B275" s="4" t="s">
        <v>2261</v>
      </c>
      <c r="C275" s="1" t="s">
        <v>2262</v>
      </c>
      <c r="D275" s="3" t="s">
        <v>2263</v>
      </c>
      <c r="E275" s="1" t="s">
        <v>30</v>
      </c>
      <c r="F275" s="5">
        <v>13120.0</v>
      </c>
      <c r="G275" s="1" t="s">
        <v>31</v>
      </c>
      <c r="H275" s="3" t="s">
        <v>32</v>
      </c>
      <c r="I275" s="1">
        <v>-6.1950933</v>
      </c>
      <c r="J275" s="3">
        <v>106.8736232</v>
      </c>
      <c r="K275" s="6" t="s">
        <v>2264</v>
      </c>
      <c r="L275" s="11" t="str">
        <f t="shared" si="1"/>
        <v/>
      </c>
      <c r="Z275" s="2" t="s">
        <v>34</v>
      </c>
    </row>
    <row r="276">
      <c r="A276" s="3" t="s">
        <v>1095</v>
      </c>
      <c r="B276" s="4" t="s">
        <v>2265</v>
      </c>
      <c r="C276" s="1" t="s">
        <v>2266</v>
      </c>
      <c r="D276" s="3" t="s">
        <v>2267</v>
      </c>
      <c r="E276" s="1" t="s">
        <v>30</v>
      </c>
      <c r="F276" s="5">
        <v>13730.0</v>
      </c>
      <c r="G276" s="1" t="s">
        <v>31</v>
      </c>
      <c r="H276" s="3" t="s">
        <v>32</v>
      </c>
      <c r="I276" s="1">
        <v>-6.3436533</v>
      </c>
      <c r="J276" s="3">
        <v>106.8847927</v>
      </c>
      <c r="K276" s="6" t="s">
        <v>2268</v>
      </c>
      <c r="L276" s="11">
        <f t="shared" si="1"/>
        <v>9895287.958</v>
      </c>
      <c r="M276" s="11">
        <f>5670000000/573</f>
        <v>9895287.958</v>
      </c>
      <c r="Z276" s="8" t="s">
        <v>2269</v>
      </c>
    </row>
    <row r="277">
      <c r="A277" s="3" t="s">
        <v>119</v>
      </c>
      <c r="B277" s="4" t="s">
        <v>2270</v>
      </c>
      <c r="C277" s="1" t="s">
        <v>2271</v>
      </c>
      <c r="D277" s="3" t="s">
        <v>2272</v>
      </c>
      <c r="E277" s="1" t="s">
        <v>30</v>
      </c>
      <c r="F277" s="5">
        <v>13940.0</v>
      </c>
      <c r="G277" s="1" t="s">
        <v>31</v>
      </c>
      <c r="H277" s="14" t="s">
        <v>32</v>
      </c>
      <c r="I277" s="1">
        <v>-6.1982852</v>
      </c>
      <c r="J277" s="3">
        <v>106.9364506</v>
      </c>
      <c r="K277" s="6" t="s">
        <v>2273</v>
      </c>
      <c r="L277" s="11">
        <f t="shared" si="1"/>
        <v>11294642.86</v>
      </c>
      <c r="M277" s="11">
        <f>2530000000/224</f>
        <v>11294642.86</v>
      </c>
      <c r="Z277" s="8" t="s">
        <v>2274</v>
      </c>
    </row>
    <row r="278">
      <c r="A278" s="3" t="s">
        <v>119</v>
      </c>
      <c r="B278" s="4" t="s">
        <v>2275</v>
      </c>
      <c r="C278" s="1" t="s">
        <v>2276</v>
      </c>
      <c r="D278" s="3" t="s">
        <v>2277</v>
      </c>
      <c r="E278" s="1" t="s">
        <v>30</v>
      </c>
      <c r="F278" s="5">
        <v>13940.0</v>
      </c>
      <c r="G278" s="1" t="s">
        <v>31</v>
      </c>
      <c r="H278" s="14" t="s">
        <v>32</v>
      </c>
      <c r="I278" s="1">
        <v>-6.1985599</v>
      </c>
      <c r="J278" s="3">
        <v>106.9381615</v>
      </c>
      <c r="K278" s="6" t="s">
        <v>2278</v>
      </c>
      <c r="L278" s="11" t="str">
        <f t="shared" si="1"/>
        <v/>
      </c>
      <c r="Z278" s="2" t="s">
        <v>34</v>
      </c>
    </row>
    <row r="279">
      <c r="A279" s="3" t="s">
        <v>119</v>
      </c>
      <c r="B279" s="4" t="s">
        <v>2279</v>
      </c>
      <c r="C279" s="1" t="s">
        <v>2280</v>
      </c>
      <c r="D279" s="3" t="s">
        <v>2281</v>
      </c>
      <c r="E279" s="1" t="s">
        <v>30</v>
      </c>
      <c r="F279" s="5">
        <v>13840.0</v>
      </c>
      <c r="G279" s="1" t="s">
        <v>31</v>
      </c>
      <c r="H279" s="9">
        <v>8.12E10</v>
      </c>
      <c r="I279" s="1">
        <v>-6.3286064</v>
      </c>
      <c r="J279" s="3">
        <v>106.895197</v>
      </c>
      <c r="K279" s="6" t="s">
        <v>2282</v>
      </c>
      <c r="L279" s="11">
        <f t="shared" si="1"/>
        <v>8791208.791</v>
      </c>
      <c r="M279" s="11">
        <f>800000000/91</f>
        <v>8791208.791</v>
      </c>
      <c r="Z279" s="8" t="s">
        <v>2283</v>
      </c>
    </row>
    <row r="280">
      <c r="A280" s="3" t="s">
        <v>119</v>
      </c>
      <c r="B280" s="4" t="s">
        <v>2284</v>
      </c>
      <c r="C280" s="1" t="s">
        <v>2285</v>
      </c>
      <c r="D280" s="3" t="s">
        <v>2286</v>
      </c>
      <c r="E280" s="1" t="s">
        <v>30</v>
      </c>
      <c r="F280" s="5">
        <v>13430.0</v>
      </c>
      <c r="G280" s="1" t="s">
        <v>31</v>
      </c>
      <c r="H280" s="9">
        <v>8.22E10</v>
      </c>
      <c r="I280" s="1">
        <v>-6.2261785</v>
      </c>
      <c r="J280" s="3">
        <v>106.9051534</v>
      </c>
      <c r="K280" s="6" t="s">
        <v>2287</v>
      </c>
      <c r="L280" s="11" t="str">
        <f t="shared" si="1"/>
        <v/>
      </c>
      <c r="Z280" s="2" t="s">
        <v>34</v>
      </c>
    </row>
    <row r="281">
      <c r="A281" s="3" t="s">
        <v>119</v>
      </c>
      <c r="B281" s="4" t="s">
        <v>2288</v>
      </c>
      <c r="C281" s="1" t="s">
        <v>2289</v>
      </c>
      <c r="D281" s="3" t="s">
        <v>2290</v>
      </c>
      <c r="E281" s="1" t="s">
        <v>30</v>
      </c>
      <c r="F281" s="5">
        <v>13510.0</v>
      </c>
      <c r="G281" s="1" t="s">
        <v>31</v>
      </c>
      <c r="H281" s="3" t="s">
        <v>32</v>
      </c>
      <c r="I281" s="1">
        <v>-6.2643142</v>
      </c>
      <c r="J281" s="3">
        <v>106.8704559</v>
      </c>
      <c r="K281" s="6" t="s">
        <v>2291</v>
      </c>
      <c r="L281" s="11" t="str">
        <f t="shared" si="1"/>
        <v/>
      </c>
      <c r="Z281" s="2" t="s">
        <v>34</v>
      </c>
    </row>
    <row r="282">
      <c r="A282" s="3" t="s">
        <v>119</v>
      </c>
      <c r="B282" s="4" t="s">
        <v>2292</v>
      </c>
      <c r="C282" s="1" t="s">
        <v>2293</v>
      </c>
      <c r="D282" s="3" t="s">
        <v>2294</v>
      </c>
      <c r="E282" s="1" t="s">
        <v>30</v>
      </c>
      <c r="F282" s="5">
        <v>13520.0</v>
      </c>
      <c r="G282" s="1" t="s">
        <v>31</v>
      </c>
      <c r="H282" s="3" t="s">
        <v>32</v>
      </c>
      <c r="I282" s="1">
        <v>-6.280268</v>
      </c>
      <c r="J282" s="3">
        <v>106.8605702</v>
      </c>
      <c r="K282" s="6" t="s">
        <v>2295</v>
      </c>
      <c r="L282" s="11" t="str">
        <f t="shared" si="1"/>
        <v/>
      </c>
      <c r="Z282" s="2" t="s">
        <v>34</v>
      </c>
    </row>
    <row r="283">
      <c r="A283" s="3" t="s">
        <v>119</v>
      </c>
      <c r="B283" s="4" t="s">
        <v>2296</v>
      </c>
      <c r="C283" s="1" t="s">
        <v>2297</v>
      </c>
      <c r="D283" s="3" t="s">
        <v>2298</v>
      </c>
      <c r="E283" s="1" t="s">
        <v>30</v>
      </c>
      <c r="F283" s="5">
        <v>13950.0</v>
      </c>
      <c r="G283" s="1" t="s">
        <v>31</v>
      </c>
      <c r="H283" s="14" t="s">
        <v>32</v>
      </c>
      <c r="I283" s="1">
        <v>-6.2092836</v>
      </c>
      <c r="J283" s="3">
        <v>106.9465737</v>
      </c>
      <c r="K283" s="6" t="s">
        <v>2299</v>
      </c>
      <c r="L283" s="11" t="str">
        <f t="shared" si="1"/>
        <v/>
      </c>
      <c r="Z283" s="2" t="s">
        <v>34</v>
      </c>
    </row>
    <row r="284">
      <c r="A284" s="3" t="s">
        <v>119</v>
      </c>
      <c r="B284" s="4" t="s">
        <v>2300</v>
      </c>
      <c r="C284" s="1" t="s">
        <v>2301</v>
      </c>
      <c r="D284" s="3" t="s">
        <v>2302</v>
      </c>
      <c r="E284" s="1" t="s">
        <v>30</v>
      </c>
      <c r="F284" s="5">
        <v>13870.0</v>
      </c>
      <c r="G284" s="1" t="s">
        <v>31</v>
      </c>
      <c r="H284" s="3" t="s">
        <v>32</v>
      </c>
      <c r="I284" s="1">
        <v>-6.3418814</v>
      </c>
      <c r="J284" s="3">
        <v>106.9086419</v>
      </c>
      <c r="K284" s="6" t="s">
        <v>2303</v>
      </c>
      <c r="L284" s="11">
        <f t="shared" si="1"/>
        <v>12727272.73</v>
      </c>
      <c r="M284" s="11">
        <f>1400000000/110</f>
        <v>12727272.73</v>
      </c>
      <c r="Z284" s="8" t="s">
        <v>2304</v>
      </c>
    </row>
    <row r="285">
      <c r="A285" s="3" t="s">
        <v>119</v>
      </c>
      <c r="B285" s="4" t="s">
        <v>2305</v>
      </c>
      <c r="C285" s="1" t="s">
        <v>2306</v>
      </c>
      <c r="D285" s="3" t="s">
        <v>1360</v>
      </c>
      <c r="E285" s="1" t="s">
        <v>30</v>
      </c>
      <c r="F285" s="5">
        <v>13870.0</v>
      </c>
      <c r="G285" s="1" t="s">
        <v>31</v>
      </c>
      <c r="H285" s="3" t="s">
        <v>32</v>
      </c>
      <c r="I285" s="1">
        <v>-6.3340747</v>
      </c>
      <c r="J285" s="3">
        <v>106.900542</v>
      </c>
      <c r="K285" s="6" t="s">
        <v>2307</v>
      </c>
      <c r="L285" s="11" t="str">
        <f t="shared" si="1"/>
        <v/>
      </c>
      <c r="Z285" s="2" t="s">
        <v>34</v>
      </c>
    </row>
    <row r="286">
      <c r="A286" s="3" t="s">
        <v>119</v>
      </c>
      <c r="B286" s="4" t="s">
        <v>2308</v>
      </c>
      <c r="C286" s="1" t="s">
        <v>2309</v>
      </c>
      <c r="D286" s="3" t="s">
        <v>2310</v>
      </c>
      <c r="E286" s="1" t="s">
        <v>30</v>
      </c>
      <c r="F286" s="5">
        <v>13890.0</v>
      </c>
      <c r="G286" s="1" t="s">
        <v>31</v>
      </c>
      <c r="H286" s="14" t="s">
        <v>32</v>
      </c>
      <c r="I286" s="1">
        <v>-6.2995505</v>
      </c>
      <c r="J286" s="3">
        <v>106.9078369</v>
      </c>
      <c r="K286" s="6" t="s">
        <v>2311</v>
      </c>
      <c r="L286" s="11" t="str">
        <f t="shared" si="1"/>
        <v/>
      </c>
      <c r="Z286" s="2" t="s">
        <v>34</v>
      </c>
    </row>
    <row r="287">
      <c r="A287" s="3" t="s">
        <v>119</v>
      </c>
      <c r="B287" s="4" t="s">
        <v>2312</v>
      </c>
      <c r="C287" s="1" t="s">
        <v>2313</v>
      </c>
      <c r="D287" s="3" t="s">
        <v>2314</v>
      </c>
      <c r="E287" s="1" t="s">
        <v>30</v>
      </c>
      <c r="F287" s="5">
        <v>13520.0</v>
      </c>
      <c r="G287" s="1" t="s">
        <v>31</v>
      </c>
      <c r="H287" s="3" t="s">
        <v>32</v>
      </c>
      <c r="I287" s="1">
        <v>-6.2852637</v>
      </c>
      <c r="J287" s="3">
        <v>106.8609677</v>
      </c>
      <c r="K287" s="6" t="s">
        <v>2315</v>
      </c>
      <c r="L287" s="11" t="str">
        <f t="shared" si="1"/>
        <v/>
      </c>
      <c r="Z287" s="2" t="s">
        <v>34</v>
      </c>
    </row>
    <row r="288">
      <c r="A288" s="3" t="s">
        <v>119</v>
      </c>
      <c r="B288" s="4" t="s">
        <v>2316</v>
      </c>
      <c r="C288" s="1" t="s">
        <v>2317</v>
      </c>
      <c r="D288" s="3" t="s">
        <v>2318</v>
      </c>
      <c r="E288" s="1" t="s">
        <v>30</v>
      </c>
      <c r="F288" s="5">
        <v>13760.0</v>
      </c>
      <c r="G288" s="1" t="s">
        <v>31</v>
      </c>
      <c r="H288" s="3" t="s">
        <v>32</v>
      </c>
      <c r="I288" s="1">
        <v>-6.3013888</v>
      </c>
      <c r="J288" s="3">
        <v>106.8601356</v>
      </c>
      <c r="K288" s="6" t="s">
        <v>2319</v>
      </c>
      <c r="L288" s="11" t="str">
        <f t="shared" si="1"/>
        <v/>
      </c>
      <c r="Z288" s="2" t="s">
        <v>34</v>
      </c>
    </row>
    <row r="289">
      <c r="A289" s="3" t="s">
        <v>239</v>
      </c>
      <c r="B289" s="4" t="s">
        <v>2320</v>
      </c>
      <c r="C289" s="1" t="s">
        <v>2321</v>
      </c>
      <c r="D289" s="3" t="s">
        <v>2322</v>
      </c>
      <c r="E289" s="1" t="s">
        <v>30</v>
      </c>
      <c r="F289" s="5">
        <v>13950.0</v>
      </c>
      <c r="G289" s="1" t="s">
        <v>31</v>
      </c>
      <c r="H289" s="3" t="s">
        <v>32</v>
      </c>
      <c r="I289" s="1">
        <v>-6.19655</v>
      </c>
      <c r="J289" s="3">
        <v>106.939845</v>
      </c>
      <c r="K289" s="6" t="s">
        <v>2323</v>
      </c>
      <c r="L289" s="11">
        <f t="shared" si="1"/>
        <v>6944444.444</v>
      </c>
      <c r="M289" s="11">
        <f>1000000000/144</f>
        <v>6944444.444</v>
      </c>
      <c r="Z289" s="8" t="s">
        <v>2324</v>
      </c>
    </row>
    <row r="290">
      <c r="A290" s="3" t="s">
        <v>239</v>
      </c>
      <c r="B290" s="4" t="s">
        <v>2325</v>
      </c>
      <c r="C290" s="1" t="s">
        <v>2326</v>
      </c>
      <c r="D290" s="3" t="s">
        <v>2327</v>
      </c>
      <c r="E290" s="1" t="s">
        <v>30</v>
      </c>
      <c r="F290" s="5">
        <v>13940.0</v>
      </c>
      <c r="G290" s="1" t="s">
        <v>31</v>
      </c>
      <c r="H290" s="3" t="s">
        <v>32</v>
      </c>
      <c r="I290" s="1">
        <v>-6.2136642</v>
      </c>
      <c r="J290" s="3">
        <v>106.9259759</v>
      </c>
      <c r="K290" s="6" t="s">
        <v>2328</v>
      </c>
      <c r="L290" s="11">
        <f t="shared" si="1"/>
        <v>17500000</v>
      </c>
      <c r="M290" s="11">
        <f>3500000000/200</f>
        <v>17500000</v>
      </c>
      <c r="Z290" s="8" t="s">
        <v>2329</v>
      </c>
    </row>
    <row r="291">
      <c r="A291" s="3" t="s">
        <v>239</v>
      </c>
      <c r="B291" s="4" t="s">
        <v>2330</v>
      </c>
      <c r="C291" s="1" t="s">
        <v>2331</v>
      </c>
      <c r="D291" s="3" t="s">
        <v>2332</v>
      </c>
      <c r="E291" s="1" t="s">
        <v>30</v>
      </c>
      <c r="F291" s="5">
        <v>13860.0</v>
      </c>
      <c r="G291" s="1" t="s">
        <v>31</v>
      </c>
      <c r="H291" s="3" t="s">
        <v>32</v>
      </c>
      <c r="I291" s="1">
        <v>-6.3482988</v>
      </c>
      <c r="J291" s="3">
        <v>106.9062681</v>
      </c>
      <c r="K291" s="6" t="s">
        <v>2333</v>
      </c>
      <c r="L291" s="11">
        <f t="shared" si="1"/>
        <v>8055555.556</v>
      </c>
      <c r="M291" s="11">
        <f>580000000/72</f>
        <v>8055555.556</v>
      </c>
      <c r="Z291" s="8" t="s">
        <v>2334</v>
      </c>
    </row>
    <row r="292">
      <c r="A292" s="3" t="s">
        <v>239</v>
      </c>
      <c r="B292" s="4" t="s">
        <v>2335</v>
      </c>
      <c r="C292" s="1" t="s">
        <v>2336</v>
      </c>
      <c r="D292" s="3" t="s">
        <v>2337</v>
      </c>
      <c r="E292" s="1" t="s">
        <v>30</v>
      </c>
      <c r="F292" s="5">
        <v>13820.0</v>
      </c>
      <c r="G292" s="1" t="s">
        <v>31</v>
      </c>
      <c r="H292" s="9">
        <v>8.21E10</v>
      </c>
      <c r="I292" s="1">
        <v>-6.3187342</v>
      </c>
      <c r="J292" s="3">
        <v>106.8902316</v>
      </c>
      <c r="K292" s="6" t="s">
        <v>2338</v>
      </c>
      <c r="L292" s="11" t="str">
        <f t="shared" si="1"/>
        <v/>
      </c>
      <c r="Z292" s="2" t="s">
        <v>34</v>
      </c>
    </row>
    <row r="293">
      <c r="A293" s="3" t="s">
        <v>239</v>
      </c>
      <c r="B293" s="4" t="s">
        <v>2339</v>
      </c>
      <c r="C293" s="1" t="s">
        <v>2340</v>
      </c>
      <c r="D293" s="3" t="s">
        <v>2341</v>
      </c>
      <c r="E293" s="1" t="s">
        <v>30</v>
      </c>
      <c r="F293" s="5">
        <v>13840.0</v>
      </c>
      <c r="G293" s="1" t="s">
        <v>31</v>
      </c>
      <c r="H293" s="9">
        <v>8.13E10</v>
      </c>
      <c r="I293" s="1">
        <v>-6.3290526</v>
      </c>
      <c r="J293" s="3">
        <v>106.8994872</v>
      </c>
      <c r="K293" s="6" t="s">
        <v>2342</v>
      </c>
      <c r="L293" s="11">
        <f t="shared" si="1"/>
        <v>16250000</v>
      </c>
      <c r="M293" s="11">
        <f>975000000/60</f>
        <v>16250000</v>
      </c>
      <c r="Z293" s="8" t="s">
        <v>2343</v>
      </c>
    </row>
    <row r="294">
      <c r="A294" s="3" t="s">
        <v>239</v>
      </c>
      <c r="B294" s="4" t="s">
        <v>2344</v>
      </c>
      <c r="C294" s="1" t="s">
        <v>2345</v>
      </c>
      <c r="D294" s="3" t="s">
        <v>2346</v>
      </c>
      <c r="E294" s="1" t="s">
        <v>30</v>
      </c>
      <c r="F294" s="5">
        <v>13840.0</v>
      </c>
      <c r="G294" s="1" t="s">
        <v>31</v>
      </c>
      <c r="H294" s="14" t="s">
        <v>32</v>
      </c>
      <c r="I294" s="1">
        <v>-6.3213424</v>
      </c>
      <c r="J294" s="3">
        <v>106.8905523</v>
      </c>
      <c r="K294" s="6" t="s">
        <v>2347</v>
      </c>
      <c r="L294" s="11">
        <f t="shared" si="1"/>
        <v>20958083.83</v>
      </c>
      <c r="M294" s="11">
        <f>3500000000/167</f>
        <v>20958083.83</v>
      </c>
      <c r="Z294" s="8" t="s">
        <v>2348</v>
      </c>
    </row>
    <row r="295">
      <c r="A295" s="3" t="s">
        <v>239</v>
      </c>
      <c r="B295" s="4" t="s">
        <v>2349</v>
      </c>
      <c r="C295" s="1" t="s">
        <v>2350</v>
      </c>
      <c r="D295" s="3" t="s">
        <v>2351</v>
      </c>
      <c r="E295" s="1" t="s">
        <v>30</v>
      </c>
      <c r="F295" s="5">
        <v>13850.0</v>
      </c>
      <c r="G295" s="1" t="s">
        <v>31</v>
      </c>
      <c r="H295" s="3" t="s">
        <v>32</v>
      </c>
      <c r="I295" s="1">
        <v>-6.3435289</v>
      </c>
      <c r="J295" s="3">
        <v>106.8944094</v>
      </c>
      <c r="K295" s="6" t="s">
        <v>2352</v>
      </c>
      <c r="L295" s="11" t="str">
        <f t="shared" si="1"/>
        <v/>
      </c>
      <c r="Z295" s="2" t="s">
        <v>34</v>
      </c>
    </row>
    <row r="296">
      <c r="A296" s="3" t="s">
        <v>239</v>
      </c>
      <c r="B296" s="4" t="s">
        <v>2353</v>
      </c>
      <c r="C296" s="1" t="s">
        <v>2354</v>
      </c>
      <c r="D296" s="3" t="s">
        <v>2355</v>
      </c>
      <c r="E296" s="1" t="s">
        <v>30</v>
      </c>
      <c r="F296" s="5">
        <v>13890.0</v>
      </c>
      <c r="G296" s="1" t="s">
        <v>31</v>
      </c>
      <c r="H296" s="3" t="s">
        <v>32</v>
      </c>
      <c r="I296" s="1">
        <v>-6.319526</v>
      </c>
      <c r="J296" s="3">
        <v>106.9001551</v>
      </c>
      <c r="K296" s="6" t="s">
        <v>2356</v>
      </c>
      <c r="L296" s="11">
        <f t="shared" si="1"/>
        <v>17293233.08</v>
      </c>
      <c r="M296" s="11">
        <f>2300000000/133</f>
        <v>17293233.08</v>
      </c>
      <c r="Z296" s="8" t="s">
        <v>2357</v>
      </c>
    </row>
    <row r="297">
      <c r="A297" s="3" t="s">
        <v>239</v>
      </c>
      <c r="B297" s="4" t="s">
        <v>2358</v>
      </c>
      <c r="C297" s="1" t="s">
        <v>2359</v>
      </c>
      <c r="D297" s="3" t="s">
        <v>2360</v>
      </c>
      <c r="E297" s="1" t="s">
        <v>30</v>
      </c>
      <c r="F297" s="5">
        <v>13740.0</v>
      </c>
      <c r="G297" s="1" t="s">
        <v>31</v>
      </c>
      <c r="H297" s="9">
        <v>8.59E10</v>
      </c>
      <c r="I297" s="1">
        <v>-6.3437865</v>
      </c>
      <c r="J297" s="3">
        <v>106.8844191</v>
      </c>
      <c r="K297" s="6" t="s">
        <v>2361</v>
      </c>
      <c r="L297" s="11" t="str">
        <f t="shared" si="1"/>
        <v/>
      </c>
      <c r="Z297" s="2" t="s">
        <v>34</v>
      </c>
    </row>
    <row r="298">
      <c r="A298" s="3" t="s">
        <v>239</v>
      </c>
      <c r="B298" s="4" t="s">
        <v>2362</v>
      </c>
      <c r="C298" s="1" t="s">
        <v>2363</v>
      </c>
      <c r="D298" s="3" t="s">
        <v>2364</v>
      </c>
      <c r="E298" s="1" t="s">
        <v>30</v>
      </c>
      <c r="F298" s="5">
        <v>13870.0</v>
      </c>
      <c r="G298" s="1" t="s">
        <v>31</v>
      </c>
      <c r="H298" s="14" t="s">
        <v>32</v>
      </c>
      <c r="I298" s="1">
        <v>-6.3507751</v>
      </c>
      <c r="J298" s="3">
        <v>106.9041279</v>
      </c>
      <c r="K298" s="6" t="s">
        <v>2365</v>
      </c>
      <c r="L298" s="11">
        <f t="shared" si="1"/>
        <v>15019607.84</v>
      </c>
      <c r="M298" s="11">
        <f>766000000/51</f>
        <v>15019607.84</v>
      </c>
      <c r="Z298" s="8" t="s">
        <v>2366</v>
      </c>
    </row>
    <row r="299">
      <c r="A299" s="3" t="s">
        <v>239</v>
      </c>
      <c r="B299" s="4" t="s">
        <v>2367</v>
      </c>
      <c r="C299" s="1" t="s">
        <v>2368</v>
      </c>
      <c r="D299" s="3" t="s">
        <v>2369</v>
      </c>
      <c r="E299" s="1" t="s">
        <v>30</v>
      </c>
      <c r="F299" s="5">
        <v>13730.0</v>
      </c>
      <c r="G299" s="1" t="s">
        <v>31</v>
      </c>
      <c r="H299" s="14" t="s">
        <v>32</v>
      </c>
      <c r="I299" s="1">
        <v>-6.3310726</v>
      </c>
      <c r="J299" s="3">
        <v>106.8792295</v>
      </c>
      <c r="K299" s="6" t="s">
        <v>2370</v>
      </c>
      <c r="L299" s="11">
        <f t="shared" si="1"/>
        <v>16071428.57</v>
      </c>
      <c r="M299" s="11">
        <f>1350000000/84</f>
        <v>16071428.57</v>
      </c>
      <c r="Z299" s="8" t="s">
        <v>2371</v>
      </c>
    </row>
    <row r="300">
      <c r="A300" s="3" t="s">
        <v>239</v>
      </c>
      <c r="B300" s="4" t="s">
        <v>2372</v>
      </c>
      <c r="C300" s="1" t="s">
        <v>2373</v>
      </c>
      <c r="D300" s="3" t="s">
        <v>2374</v>
      </c>
      <c r="E300" s="1" t="s">
        <v>30</v>
      </c>
      <c r="F300" s="5">
        <v>13730.0</v>
      </c>
      <c r="G300" s="1" t="s">
        <v>31</v>
      </c>
      <c r="H300" s="3" t="s">
        <v>32</v>
      </c>
      <c r="I300" s="1">
        <v>-6.3424229</v>
      </c>
      <c r="J300" s="3">
        <v>106.8881193</v>
      </c>
      <c r="K300" s="6" t="s">
        <v>2375</v>
      </c>
      <c r="L300" s="11" t="str">
        <f t="shared" si="1"/>
        <v/>
      </c>
      <c r="Z300" s="2" t="s">
        <v>34</v>
      </c>
    </row>
    <row r="301">
      <c r="A301" s="3" t="s">
        <v>239</v>
      </c>
      <c r="B301" s="4" t="s">
        <v>2376</v>
      </c>
      <c r="C301" s="1" t="s">
        <v>2377</v>
      </c>
      <c r="D301" s="3" t="s">
        <v>2227</v>
      </c>
      <c r="E301" s="1" t="s">
        <v>30</v>
      </c>
      <c r="F301" s="5">
        <v>13730.0</v>
      </c>
      <c r="G301" s="1" t="s">
        <v>31</v>
      </c>
      <c r="H301" s="3" t="s">
        <v>32</v>
      </c>
      <c r="I301" s="1">
        <v>-6.339862</v>
      </c>
      <c r="J301" s="3">
        <v>106.88693</v>
      </c>
      <c r="K301" s="6" t="s">
        <v>2378</v>
      </c>
      <c r="L301" s="11">
        <f t="shared" si="1"/>
        <v>18018867.92</v>
      </c>
      <c r="M301" s="11">
        <f>1910000000/106</f>
        <v>18018867.92</v>
      </c>
      <c r="Z301" s="8" t="s">
        <v>2379</v>
      </c>
    </row>
    <row r="302">
      <c r="A302" s="3" t="s">
        <v>239</v>
      </c>
      <c r="B302" s="4" t="s">
        <v>2380</v>
      </c>
      <c r="C302" s="1" t="s">
        <v>2381</v>
      </c>
      <c r="D302" s="3" t="s">
        <v>2382</v>
      </c>
      <c r="E302" s="1" t="s">
        <v>30</v>
      </c>
      <c r="F302" s="5">
        <v>13740.0</v>
      </c>
      <c r="G302" s="1" t="s">
        <v>31</v>
      </c>
      <c r="H302" s="3" t="s">
        <v>32</v>
      </c>
      <c r="I302" s="1">
        <v>-6.3153778</v>
      </c>
      <c r="J302" s="3">
        <v>106.8745988</v>
      </c>
      <c r="K302" s="6" t="s">
        <v>2383</v>
      </c>
      <c r="L302" s="11">
        <f t="shared" si="1"/>
        <v>20166666.67</v>
      </c>
      <c r="M302" s="11">
        <f>1210000000/60</f>
        <v>20166666.67</v>
      </c>
      <c r="Z302" s="8" t="s">
        <v>2384</v>
      </c>
    </row>
    <row r="303">
      <c r="A303" s="3" t="s">
        <v>239</v>
      </c>
      <c r="B303" s="4" t="s">
        <v>2385</v>
      </c>
      <c r="C303" s="1" t="s">
        <v>2386</v>
      </c>
      <c r="D303" s="3" t="s">
        <v>1510</v>
      </c>
      <c r="E303" s="1" t="s">
        <v>30</v>
      </c>
      <c r="F303" s="5">
        <v>13740.0</v>
      </c>
      <c r="G303" s="1" t="s">
        <v>31</v>
      </c>
      <c r="H303" s="14" t="s">
        <v>32</v>
      </c>
      <c r="I303" s="1">
        <v>-6.3196007</v>
      </c>
      <c r="J303" s="3">
        <v>106.882589</v>
      </c>
      <c r="K303" s="6" t="s">
        <v>2387</v>
      </c>
      <c r="L303" s="11">
        <f t="shared" si="1"/>
        <v>15476190.48</v>
      </c>
      <c r="M303" s="11">
        <f>650000000/42</f>
        <v>15476190.48</v>
      </c>
      <c r="Z303" s="8" t="s">
        <v>1512</v>
      </c>
    </row>
    <row r="304">
      <c r="A304" s="3" t="s">
        <v>239</v>
      </c>
      <c r="B304" s="4" t="s">
        <v>2388</v>
      </c>
      <c r="C304" s="1" t="s">
        <v>2389</v>
      </c>
      <c r="D304" s="3" t="s">
        <v>2249</v>
      </c>
      <c r="E304" s="1" t="s">
        <v>30</v>
      </c>
      <c r="F304" s="5">
        <v>13830.0</v>
      </c>
      <c r="G304" s="1" t="s">
        <v>31</v>
      </c>
      <c r="H304" s="3" t="s">
        <v>32</v>
      </c>
      <c r="I304" s="1">
        <v>-6.3031218</v>
      </c>
      <c r="J304" s="3">
        <v>106.8756406</v>
      </c>
      <c r="K304" s="6" t="s">
        <v>2390</v>
      </c>
      <c r="L304" s="11">
        <f t="shared" si="1"/>
        <v>19610389.61</v>
      </c>
      <c r="M304" s="11">
        <f>1510000000/77</f>
        <v>19610389.61</v>
      </c>
      <c r="Z304" s="8" t="s">
        <v>2391</v>
      </c>
    </row>
    <row r="305">
      <c r="A305" s="3" t="s">
        <v>239</v>
      </c>
      <c r="B305" s="4" t="s">
        <v>2392</v>
      </c>
      <c r="C305" s="1" t="s">
        <v>2393</v>
      </c>
      <c r="D305" s="3" t="s">
        <v>2394</v>
      </c>
      <c r="E305" s="1" t="s">
        <v>30</v>
      </c>
      <c r="F305" s="5">
        <v>13440.0</v>
      </c>
      <c r="G305" s="1" t="s">
        <v>31</v>
      </c>
      <c r="H305" s="3" t="s">
        <v>32</v>
      </c>
      <c r="I305" s="1">
        <v>-6.2246799</v>
      </c>
      <c r="J305" s="3">
        <v>106.917046</v>
      </c>
      <c r="K305" s="6" t="s">
        <v>2395</v>
      </c>
      <c r="L305" s="11">
        <f t="shared" si="1"/>
        <v>15178571.43</v>
      </c>
      <c r="M305" s="11">
        <f>1700000000/112</f>
        <v>15178571.43</v>
      </c>
      <c r="Z305" s="8" t="s">
        <v>2396</v>
      </c>
    </row>
    <row r="306">
      <c r="A306" s="3" t="s">
        <v>239</v>
      </c>
      <c r="B306" s="4" t="s">
        <v>2397</v>
      </c>
      <c r="C306" s="1" t="s">
        <v>2398</v>
      </c>
      <c r="D306" s="3" t="s">
        <v>2399</v>
      </c>
      <c r="E306" s="1" t="s">
        <v>30</v>
      </c>
      <c r="F306" s="5">
        <v>13310.0</v>
      </c>
      <c r="G306" s="1" t="s">
        <v>31</v>
      </c>
      <c r="H306" s="9">
        <v>8.78E10</v>
      </c>
      <c r="I306" s="1">
        <v>-6.211903</v>
      </c>
      <c r="J306" s="3">
        <v>106.8626348</v>
      </c>
      <c r="K306" s="6" t="s">
        <v>2400</v>
      </c>
      <c r="L306" s="11" t="str">
        <f t="shared" si="1"/>
        <v/>
      </c>
      <c r="Z306" s="2" t="s">
        <v>34</v>
      </c>
    </row>
    <row r="307">
      <c r="A307" s="3" t="s">
        <v>239</v>
      </c>
      <c r="B307" s="4" t="s">
        <v>2401</v>
      </c>
      <c r="C307" s="1" t="s">
        <v>2402</v>
      </c>
      <c r="D307" s="3" t="s">
        <v>2403</v>
      </c>
      <c r="E307" s="1" t="s">
        <v>30</v>
      </c>
      <c r="F307" s="5">
        <v>13510.0</v>
      </c>
      <c r="G307" s="1" t="s">
        <v>31</v>
      </c>
      <c r="H307" s="3" t="s">
        <v>32</v>
      </c>
      <c r="I307" s="1">
        <v>-6.2838493</v>
      </c>
      <c r="J307" s="3">
        <v>106.8744214</v>
      </c>
      <c r="K307" s="6" t="s">
        <v>2404</v>
      </c>
      <c r="L307" s="11" t="str">
        <f t="shared" si="1"/>
        <v/>
      </c>
      <c r="Z307" s="2" t="s">
        <v>34</v>
      </c>
    </row>
    <row r="308">
      <c r="A308" s="3" t="s">
        <v>239</v>
      </c>
      <c r="B308" s="4" t="s">
        <v>2405</v>
      </c>
      <c r="C308" s="1" t="s">
        <v>2406</v>
      </c>
      <c r="D308" s="3" t="s">
        <v>2407</v>
      </c>
      <c r="E308" s="1" t="s">
        <v>30</v>
      </c>
      <c r="F308" s="5">
        <v>13530.0</v>
      </c>
      <c r="G308" s="1" t="s">
        <v>31</v>
      </c>
      <c r="H308" s="3" t="s">
        <v>32</v>
      </c>
      <c r="I308" s="1">
        <v>-6.2742342</v>
      </c>
      <c r="J308" s="3">
        <v>106.8535413</v>
      </c>
      <c r="K308" s="6" t="s">
        <v>2408</v>
      </c>
      <c r="L308" s="11" t="str">
        <f t="shared" si="1"/>
        <v/>
      </c>
      <c r="Z308" s="2" t="s">
        <v>34</v>
      </c>
    </row>
    <row r="309">
      <c r="A309" s="3" t="s">
        <v>239</v>
      </c>
      <c r="B309" s="4" t="s">
        <v>2409</v>
      </c>
      <c r="C309" s="1" t="s">
        <v>2410</v>
      </c>
      <c r="D309" s="3" t="s">
        <v>2411</v>
      </c>
      <c r="E309" s="1" t="s">
        <v>30</v>
      </c>
      <c r="F309" s="5">
        <v>13540.0</v>
      </c>
      <c r="G309" s="1" t="s">
        <v>31</v>
      </c>
      <c r="H309" s="3" t="s">
        <v>32</v>
      </c>
      <c r="I309" s="1">
        <v>-6.2924123</v>
      </c>
      <c r="J309" s="3">
        <v>106.8625039</v>
      </c>
      <c r="K309" s="6" t="s">
        <v>2412</v>
      </c>
      <c r="L309" s="11" t="str">
        <f t="shared" si="1"/>
        <v/>
      </c>
      <c r="Z309" s="2" t="s">
        <v>34</v>
      </c>
    </row>
    <row r="310">
      <c r="A310" s="3" t="s">
        <v>239</v>
      </c>
      <c r="B310" s="4" t="s">
        <v>2413</v>
      </c>
      <c r="C310" s="1" t="s">
        <v>2414</v>
      </c>
      <c r="D310" s="3" t="s">
        <v>2415</v>
      </c>
      <c r="E310" s="1" t="s">
        <v>30</v>
      </c>
      <c r="F310" s="5">
        <v>13620.0</v>
      </c>
      <c r="G310" s="1" t="s">
        <v>31</v>
      </c>
      <c r="H310" s="3" t="s">
        <v>32</v>
      </c>
      <c r="I310" s="1">
        <v>-6.2455333</v>
      </c>
      <c r="J310" s="3">
        <v>106.90225</v>
      </c>
      <c r="K310" s="6" t="s">
        <v>2416</v>
      </c>
      <c r="L310" s="11">
        <f t="shared" si="1"/>
        <v>5363984.674</v>
      </c>
      <c r="M310" s="11">
        <f>1400000000/261</f>
        <v>5363984.674</v>
      </c>
      <c r="Z310" s="8" t="s">
        <v>2417</v>
      </c>
    </row>
    <row r="311">
      <c r="A311" s="3" t="s">
        <v>239</v>
      </c>
      <c r="B311" s="4" t="s">
        <v>2418</v>
      </c>
      <c r="C311" s="1" t="s">
        <v>2419</v>
      </c>
      <c r="D311" s="3" t="s">
        <v>2420</v>
      </c>
      <c r="E311" s="1" t="s">
        <v>30</v>
      </c>
      <c r="F311" s="5">
        <v>13710.0</v>
      </c>
      <c r="G311" s="1" t="s">
        <v>31</v>
      </c>
      <c r="H311" s="3" t="s">
        <v>32</v>
      </c>
      <c r="I311" s="1">
        <v>-6.3450104</v>
      </c>
      <c r="J311" s="3">
        <v>106.8660845</v>
      </c>
      <c r="K311" s="6" t="s">
        <v>2421</v>
      </c>
      <c r="L311" s="11" t="str">
        <f t="shared" si="1"/>
        <v/>
      </c>
      <c r="Z311" s="2" t="s">
        <v>34</v>
      </c>
    </row>
    <row r="312">
      <c r="A312" s="3" t="s">
        <v>239</v>
      </c>
      <c r="B312" s="4" t="s">
        <v>2422</v>
      </c>
      <c r="C312" s="1" t="s">
        <v>2423</v>
      </c>
      <c r="D312" s="3" t="s">
        <v>2424</v>
      </c>
      <c r="E312" s="1" t="s">
        <v>30</v>
      </c>
      <c r="F312" s="5">
        <v>13760.0</v>
      </c>
      <c r="G312" s="1" t="s">
        <v>31</v>
      </c>
      <c r="H312" s="14" t="s">
        <v>32</v>
      </c>
      <c r="I312" s="1">
        <v>-6.2999242</v>
      </c>
      <c r="J312" s="3">
        <v>106.8608356</v>
      </c>
      <c r="K312" s="6" t="s">
        <v>2425</v>
      </c>
      <c r="L312" s="11">
        <f t="shared" si="1"/>
        <v>14757709.25</v>
      </c>
      <c r="M312" s="11">
        <f>6700000000/454</f>
        <v>14757709.25</v>
      </c>
      <c r="Z312" s="8" t="s">
        <v>2426</v>
      </c>
    </row>
    <row r="313">
      <c r="A313" s="3" t="s">
        <v>239</v>
      </c>
      <c r="B313" s="4" t="s">
        <v>2427</v>
      </c>
      <c r="C313" s="1" t="s">
        <v>2428</v>
      </c>
      <c r="D313" s="3" t="s">
        <v>1845</v>
      </c>
      <c r="E313" s="1" t="s">
        <v>30</v>
      </c>
      <c r="F313" s="5">
        <v>13260.0</v>
      </c>
      <c r="G313" s="1" t="s">
        <v>31</v>
      </c>
      <c r="H313" s="14" t="s">
        <v>32</v>
      </c>
      <c r="I313" s="1">
        <v>-6.1841845</v>
      </c>
      <c r="J313" s="3">
        <v>106.8987037</v>
      </c>
      <c r="K313" s="6" t="s">
        <v>2429</v>
      </c>
      <c r="L313" s="11">
        <f t="shared" si="1"/>
        <v>23529411.76</v>
      </c>
      <c r="M313" s="11">
        <f>2800000000/119</f>
        <v>23529411.76</v>
      </c>
      <c r="Z313" s="8" t="s">
        <v>2430</v>
      </c>
    </row>
    <row r="314">
      <c r="A314" s="3" t="s">
        <v>239</v>
      </c>
      <c r="B314" s="4" t="s">
        <v>2431</v>
      </c>
      <c r="C314" s="1" t="s">
        <v>2432</v>
      </c>
      <c r="D314" s="3" t="s">
        <v>2433</v>
      </c>
      <c r="E314" s="1" t="s">
        <v>30</v>
      </c>
      <c r="F314" s="5">
        <v>13250.0</v>
      </c>
      <c r="G314" s="1" t="s">
        <v>31</v>
      </c>
      <c r="H314" s="3" t="s">
        <v>32</v>
      </c>
      <c r="I314" s="1">
        <v>-6.2100049</v>
      </c>
      <c r="J314" s="3">
        <v>106.8982482</v>
      </c>
      <c r="K314" s="6" t="s">
        <v>2434</v>
      </c>
      <c r="L314" s="11" t="str">
        <f t="shared" si="1"/>
        <v/>
      </c>
      <c r="Z314" s="2" t="s">
        <v>34</v>
      </c>
    </row>
    <row r="315">
      <c r="A315" s="3" t="s">
        <v>239</v>
      </c>
      <c r="B315" s="4" t="s">
        <v>2435</v>
      </c>
      <c r="C315" s="1" t="s">
        <v>2436</v>
      </c>
      <c r="D315" s="3" t="s">
        <v>2437</v>
      </c>
      <c r="E315" s="1" t="s">
        <v>30</v>
      </c>
      <c r="F315" s="5">
        <v>13810.0</v>
      </c>
      <c r="G315" s="1" t="s">
        <v>31</v>
      </c>
      <c r="H315" s="9">
        <v>8.12E10</v>
      </c>
      <c r="I315" s="1">
        <v>-6.2897097</v>
      </c>
      <c r="J315" s="3">
        <v>106.8977877</v>
      </c>
      <c r="K315" s="6" t="s">
        <v>2438</v>
      </c>
      <c r="L315" s="11">
        <f t="shared" si="1"/>
        <v>22619047.62</v>
      </c>
      <c r="M315" s="11">
        <f>1900000000/84</f>
        <v>22619047.62</v>
      </c>
      <c r="Z315" s="8" t="s">
        <v>2439</v>
      </c>
    </row>
    <row r="316">
      <c r="A316" s="3" t="s">
        <v>239</v>
      </c>
      <c r="B316" s="4" t="s">
        <v>2440</v>
      </c>
      <c r="C316" s="1" t="s">
        <v>2441</v>
      </c>
      <c r="D316" s="3" t="s">
        <v>1301</v>
      </c>
      <c r="E316" s="1" t="s">
        <v>30</v>
      </c>
      <c r="F316" s="5">
        <v>13840.0</v>
      </c>
      <c r="G316" s="1" t="s">
        <v>31</v>
      </c>
      <c r="H316" s="3" t="s">
        <v>32</v>
      </c>
      <c r="I316" s="1">
        <v>-6.3269993</v>
      </c>
      <c r="J316" s="3">
        <v>106.8914517</v>
      </c>
      <c r="K316" s="6" t="s">
        <v>2442</v>
      </c>
      <c r="L316" s="11">
        <f t="shared" si="1"/>
        <v>9693877.551</v>
      </c>
      <c r="M316" s="11">
        <f>950000000/98</f>
        <v>9693877.551</v>
      </c>
      <c r="Z316" s="8" t="s">
        <v>2443</v>
      </c>
    </row>
    <row r="317">
      <c r="A317" s="3" t="s">
        <v>239</v>
      </c>
      <c r="B317" s="4" t="s">
        <v>2444</v>
      </c>
      <c r="C317" s="1" t="s">
        <v>2445</v>
      </c>
      <c r="D317" s="3" t="s">
        <v>2446</v>
      </c>
      <c r="E317" s="1" t="s">
        <v>30</v>
      </c>
      <c r="F317" s="5">
        <v>13860.0</v>
      </c>
      <c r="G317" s="1" t="s">
        <v>31</v>
      </c>
      <c r="H317" s="3" t="s">
        <v>32</v>
      </c>
      <c r="I317" s="1">
        <v>-6.3407686</v>
      </c>
      <c r="J317" s="3">
        <v>106.9166374</v>
      </c>
      <c r="K317" s="6" t="s">
        <v>2447</v>
      </c>
      <c r="L317" s="11" t="str">
        <f t="shared" si="1"/>
        <v/>
      </c>
      <c r="Z317" s="2" t="s">
        <v>34</v>
      </c>
    </row>
    <row r="318">
      <c r="A318" s="3" t="s">
        <v>239</v>
      </c>
      <c r="B318" s="4" t="s">
        <v>2448</v>
      </c>
      <c r="C318" s="1" t="s">
        <v>2449</v>
      </c>
      <c r="D318" s="3" t="s">
        <v>2450</v>
      </c>
      <c r="E318" s="1" t="s">
        <v>30</v>
      </c>
      <c r="F318" s="5">
        <v>13870.0</v>
      </c>
      <c r="G318" s="1" t="s">
        <v>31</v>
      </c>
      <c r="H318" s="3" t="s">
        <v>32</v>
      </c>
      <c r="I318" s="1">
        <v>-6.3410348</v>
      </c>
      <c r="J318" s="3">
        <v>106.91188</v>
      </c>
      <c r="K318" s="6" t="s">
        <v>2451</v>
      </c>
      <c r="L318" s="11" t="str">
        <f t="shared" si="1"/>
        <v/>
      </c>
      <c r="Z318" s="2" t="s">
        <v>34</v>
      </c>
    </row>
    <row r="319">
      <c r="A319" s="3" t="s">
        <v>239</v>
      </c>
      <c r="B319" s="4" t="s">
        <v>2452</v>
      </c>
      <c r="C319" s="1" t="s">
        <v>2453</v>
      </c>
      <c r="D319" s="3" t="s">
        <v>2454</v>
      </c>
      <c r="E319" s="1" t="s">
        <v>30</v>
      </c>
      <c r="F319" s="5">
        <v>13830.0</v>
      </c>
      <c r="G319" s="1" t="s">
        <v>31</v>
      </c>
      <c r="H319" s="14" t="s">
        <v>32</v>
      </c>
      <c r="I319" s="1">
        <v>-6.3144011</v>
      </c>
      <c r="J319" s="3">
        <v>106.8763859</v>
      </c>
      <c r="K319" s="6" t="s">
        <v>2455</v>
      </c>
      <c r="L319" s="11">
        <f t="shared" si="1"/>
        <v>14432989.69</v>
      </c>
      <c r="M319" s="11">
        <f>2800000000/194</f>
        <v>14432989.69</v>
      </c>
      <c r="Z319" s="8" t="s">
        <v>2456</v>
      </c>
    </row>
    <row r="320">
      <c r="A320" s="3" t="s">
        <v>239</v>
      </c>
      <c r="B320" s="4" t="s">
        <v>2457</v>
      </c>
      <c r="C320" s="1" t="s">
        <v>2458</v>
      </c>
      <c r="D320" s="3" t="s">
        <v>2459</v>
      </c>
      <c r="E320" s="1" t="s">
        <v>30</v>
      </c>
      <c r="F320" s="5">
        <v>13830.0</v>
      </c>
      <c r="G320" s="1" t="s">
        <v>31</v>
      </c>
      <c r="H320" s="9">
        <v>8.52E10</v>
      </c>
      <c r="I320" s="1">
        <v>-6.3089269</v>
      </c>
      <c r="J320" s="3">
        <v>106.8770186</v>
      </c>
      <c r="K320" s="6" t="s">
        <v>2460</v>
      </c>
      <c r="L320" s="11">
        <f t="shared" si="1"/>
        <v>14000000</v>
      </c>
      <c r="M320" s="11">
        <f>700000000/50</f>
        <v>14000000</v>
      </c>
      <c r="Z320" s="8" t="s">
        <v>2461</v>
      </c>
    </row>
    <row r="321">
      <c r="A321" s="3" t="s">
        <v>239</v>
      </c>
      <c r="B321" s="4" t="s">
        <v>2462</v>
      </c>
      <c r="C321" s="1" t="s">
        <v>2463</v>
      </c>
      <c r="D321" s="3" t="s">
        <v>2464</v>
      </c>
      <c r="E321" s="1" t="s">
        <v>30</v>
      </c>
      <c r="F321" s="5">
        <v>13430.0</v>
      </c>
      <c r="G321" s="1" t="s">
        <v>31</v>
      </c>
      <c r="H321" s="14" t="s">
        <v>32</v>
      </c>
      <c r="I321" s="1">
        <v>-6.2387896</v>
      </c>
      <c r="J321" s="3">
        <v>106.9016008</v>
      </c>
      <c r="K321" s="6" t="s">
        <v>2465</v>
      </c>
      <c r="L321" s="11">
        <f t="shared" si="1"/>
        <v>32500000</v>
      </c>
      <c r="M321" s="11">
        <f>1300000000/40</f>
        <v>32500000</v>
      </c>
      <c r="Z321" s="8" t="s">
        <v>2466</v>
      </c>
    </row>
    <row r="322">
      <c r="A322" s="3" t="s">
        <v>239</v>
      </c>
      <c r="B322" s="4" t="s">
        <v>2467</v>
      </c>
      <c r="C322" s="1" t="s">
        <v>2468</v>
      </c>
      <c r="D322" s="3" t="s">
        <v>2469</v>
      </c>
      <c r="E322" s="1" t="s">
        <v>30</v>
      </c>
      <c r="F322" s="5">
        <v>13540.0</v>
      </c>
      <c r="G322" s="1" t="s">
        <v>31</v>
      </c>
      <c r="H322" s="3" t="s">
        <v>32</v>
      </c>
      <c r="I322" s="1">
        <v>-6.2873341</v>
      </c>
      <c r="J322" s="3">
        <v>106.8626561</v>
      </c>
      <c r="K322" s="6" t="s">
        <v>2470</v>
      </c>
      <c r="L322" s="11" t="str">
        <f t="shared" si="1"/>
        <v/>
      </c>
      <c r="Z322" s="2" t="s">
        <v>34</v>
      </c>
    </row>
    <row r="323">
      <c r="A323" s="3" t="s">
        <v>239</v>
      </c>
      <c r="B323" s="4" t="s">
        <v>2471</v>
      </c>
      <c r="C323" s="1" t="s">
        <v>2472</v>
      </c>
      <c r="D323" s="3" t="s">
        <v>2473</v>
      </c>
      <c r="E323" s="1" t="s">
        <v>30</v>
      </c>
      <c r="F323" s="5">
        <v>13120.0</v>
      </c>
      <c r="G323" s="1" t="s">
        <v>31</v>
      </c>
      <c r="H323" s="3" t="s">
        <v>32</v>
      </c>
      <c r="I323" s="1">
        <v>-6.202722</v>
      </c>
      <c r="J323" s="3">
        <v>106.8713939</v>
      </c>
      <c r="K323" s="6" t="s">
        <v>2474</v>
      </c>
      <c r="L323" s="11" t="str">
        <f t="shared" si="1"/>
        <v/>
      </c>
      <c r="Z323" s="2" t="s">
        <v>34</v>
      </c>
    </row>
    <row r="324">
      <c r="A324" s="3" t="s">
        <v>239</v>
      </c>
      <c r="B324" s="4" t="s">
        <v>2475</v>
      </c>
      <c r="C324" s="1" t="s">
        <v>2476</v>
      </c>
      <c r="D324" s="3" t="s">
        <v>2477</v>
      </c>
      <c r="E324" s="1" t="s">
        <v>30</v>
      </c>
      <c r="F324" s="5">
        <v>13770.0</v>
      </c>
      <c r="G324" s="1" t="s">
        <v>31</v>
      </c>
      <c r="H324" s="3" t="s">
        <v>32</v>
      </c>
      <c r="I324" s="1">
        <v>-6.3214354</v>
      </c>
      <c r="J324" s="3">
        <v>106.8541449</v>
      </c>
      <c r="K324" s="6" t="s">
        <v>2478</v>
      </c>
      <c r="L324" s="11">
        <f t="shared" si="1"/>
        <v>21333333.33</v>
      </c>
      <c r="M324" s="11">
        <f>1920000000/90</f>
        <v>21333333.33</v>
      </c>
      <c r="Z324" s="8" t="s">
        <v>2479</v>
      </c>
    </row>
    <row r="325">
      <c r="A325" s="3" t="s">
        <v>239</v>
      </c>
      <c r="B325" s="4" t="s">
        <v>2480</v>
      </c>
      <c r="C325" s="1" t="s">
        <v>2481</v>
      </c>
      <c r="D325" s="3" t="s">
        <v>2482</v>
      </c>
      <c r="E325" s="1" t="s">
        <v>30</v>
      </c>
      <c r="F325" s="5">
        <v>13780.0</v>
      </c>
      <c r="G325" s="1" t="s">
        <v>31</v>
      </c>
      <c r="H325" s="14" t="s">
        <v>32</v>
      </c>
      <c r="I325" s="1">
        <v>-6.329699</v>
      </c>
      <c r="J325" s="3">
        <v>106.8547282</v>
      </c>
      <c r="K325" s="6" t="s">
        <v>2483</v>
      </c>
      <c r="L325" s="11">
        <f t="shared" si="1"/>
        <v>17384615.38</v>
      </c>
      <c r="M325" s="11">
        <f>2260000000/130</f>
        <v>17384615.38</v>
      </c>
      <c r="Z325" s="8" t="s">
        <v>2484</v>
      </c>
    </row>
    <row r="326">
      <c r="A326" s="3" t="s">
        <v>2485</v>
      </c>
      <c r="B326" s="4" t="s">
        <v>2486</v>
      </c>
      <c r="C326" s="1" t="s">
        <v>2487</v>
      </c>
      <c r="D326" s="3" t="s">
        <v>2488</v>
      </c>
      <c r="E326" s="1" t="s">
        <v>30</v>
      </c>
      <c r="F326" s="5">
        <v>13880.0</v>
      </c>
      <c r="G326" s="1" t="s">
        <v>31</v>
      </c>
      <c r="H326" s="9">
        <v>8.23E10</v>
      </c>
      <c r="I326" s="1">
        <v>-6.3107656</v>
      </c>
      <c r="J326" s="3">
        <v>106.9116358</v>
      </c>
      <c r="K326" s="6" t="s">
        <v>2489</v>
      </c>
      <c r="L326" s="11">
        <f t="shared" si="1"/>
        <v>18568345.32</v>
      </c>
      <c r="M326" s="11">
        <f>2581000000/139</f>
        <v>18568345.32</v>
      </c>
      <c r="Z326" s="8" t="s">
        <v>2490</v>
      </c>
    </row>
    <row r="327">
      <c r="A327" s="3" t="s">
        <v>1095</v>
      </c>
      <c r="B327" s="4" t="s">
        <v>2491</v>
      </c>
      <c r="C327" s="1" t="s">
        <v>2492</v>
      </c>
      <c r="D327" s="3" t="s">
        <v>2493</v>
      </c>
      <c r="E327" s="1" t="s">
        <v>30</v>
      </c>
      <c r="F327" s="5">
        <v>13880.0</v>
      </c>
      <c r="G327" s="1" t="s">
        <v>31</v>
      </c>
      <c r="H327" s="14" t="s">
        <v>32</v>
      </c>
      <c r="I327" s="1">
        <v>-6.3058892</v>
      </c>
      <c r="J327" s="3">
        <v>106.9211616</v>
      </c>
      <c r="K327" s="6" t="s">
        <v>2494</v>
      </c>
      <c r="L327" s="11">
        <f t="shared" si="1"/>
        <v>13492063.49</v>
      </c>
      <c r="M327" s="11">
        <f>850000000/63</f>
        <v>13492063.49</v>
      </c>
      <c r="Z327" s="8" t="s">
        <v>2495</v>
      </c>
    </row>
    <row r="328">
      <c r="A328" s="3" t="s">
        <v>1095</v>
      </c>
      <c r="B328" s="4" t="s">
        <v>2496</v>
      </c>
      <c r="C328" s="1" t="s">
        <v>2497</v>
      </c>
      <c r="D328" s="3" t="s">
        <v>2498</v>
      </c>
      <c r="E328" s="1" t="s">
        <v>30</v>
      </c>
      <c r="F328" s="5">
        <v>13440.0</v>
      </c>
      <c r="G328" s="1" t="s">
        <v>31</v>
      </c>
      <c r="H328" s="9">
        <v>8.21E10</v>
      </c>
      <c r="I328" s="1">
        <v>-6.230959</v>
      </c>
      <c r="J328" s="3">
        <v>106.9124167</v>
      </c>
      <c r="K328" s="6" t="s">
        <v>2499</v>
      </c>
      <c r="L328" s="11">
        <f t="shared" si="1"/>
        <v>17187500</v>
      </c>
      <c r="M328" s="11">
        <f>1650000000/96</f>
        <v>17187500</v>
      </c>
      <c r="Z328" s="8" t="s">
        <v>2500</v>
      </c>
    </row>
    <row r="329">
      <c r="A329" s="3" t="s">
        <v>1095</v>
      </c>
      <c r="B329" s="4" t="s">
        <v>2501</v>
      </c>
      <c r="C329" s="1" t="s">
        <v>2502</v>
      </c>
      <c r="D329" s="3" t="s">
        <v>2503</v>
      </c>
      <c r="E329" s="1" t="s">
        <v>30</v>
      </c>
      <c r="F329" s="5">
        <v>13440.0</v>
      </c>
      <c r="G329" s="1" t="s">
        <v>31</v>
      </c>
      <c r="H329" s="3" t="s">
        <v>32</v>
      </c>
      <c r="I329" s="1">
        <v>-6.2315929</v>
      </c>
      <c r="J329" s="3">
        <v>106.9161406</v>
      </c>
      <c r="K329" s="6" t="s">
        <v>2504</v>
      </c>
      <c r="L329" s="11">
        <f t="shared" si="1"/>
        <v>19736842.11</v>
      </c>
      <c r="M329" s="11">
        <f>1500000000/76</f>
        <v>19736842.11</v>
      </c>
      <c r="Z329" s="8" t="s">
        <v>2505</v>
      </c>
    </row>
    <row r="330">
      <c r="A330" s="3" t="s">
        <v>1095</v>
      </c>
      <c r="B330" s="4" t="s">
        <v>2506</v>
      </c>
      <c r="C330" s="1" t="s">
        <v>2507</v>
      </c>
      <c r="D330" s="3" t="s">
        <v>2508</v>
      </c>
      <c r="E330" s="1" t="s">
        <v>30</v>
      </c>
      <c r="F330" s="5">
        <v>13520.0</v>
      </c>
      <c r="G330" s="1" t="s">
        <v>31</v>
      </c>
      <c r="H330" s="3" t="s">
        <v>32</v>
      </c>
      <c r="I330" s="1">
        <v>-6.2805174</v>
      </c>
      <c r="J330" s="3">
        <v>106.8651559</v>
      </c>
      <c r="K330" s="6" t="s">
        <v>2509</v>
      </c>
      <c r="L330" s="11" t="str">
        <f t="shared" si="1"/>
        <v/>
      </c>
      <c r="Z330" s="2" t="s">
        <v>34</v>
      </c>
    </row>
    <row r="331">
      <c r="A331" s="3" t="s">
        <v>1095</v>
      </c>
      <c r="B331" s="4" t="s">
        <v>2510</v>
      </c>
      <c r="C331" s="1" t="s">
        <v>2511</v>
      </c>
      <c r="D331" s="3" t="s">
        <v>2512</v>
      </c>
      <c r="E331" s="1" t="s">
        <v>30</v>
      </c>
      <c r="F331" s="5">
        <v>13620.0</v>
      </c>
      <c r="G331" s="1" t="s">
        <v>31</v>
      </c>
      <c r="H331" s="3" t="s">
        <v>32</v>
      </c>
      <c r="I331" s="1">
        <v>-6.252665</v>
      </c>
      <c r="J331" s="3">
        <v>106.909463</v>
      </c>
      <c r="K331" s="6" t="s">
        <v>2513</v>
      </c>
      <c r="L331" s="11" t="str">
        <f t="shared" si="1"/>
        <v/>
      </c>
      <c r="Z331" s="2" t="s">
        <v>34</v>
      </c>
    </row>
    <row r="332">
      <c r="A332" s="3" t="s">
        <v>48</v>
      </c>
      <c r="B332" s="4" t="s">
        <v>2514</v>
      </c>
      <c r="C332" s="1" t="s">
        <v>2515</v>
      </c>
      <c r="D332" s="3" t="s">
        <v>2516</v>
      </c>
      <c r="E332" s="1" t="s">
        <v>30</v>
      </c>
      <c r="F332" s="5">
        <v>13710.0</v>
      </c>
      <c r="G332" s="1" t="s">
        <v>31</v>
      </c>
      <c r="H332" s="14" t="s">
        <v>32</v>
      </c>
      <c r="I332" s="1">
        <v>-6.3410555</v>
      </c>
      <c r="J332" s="3">
        <v>106.8602123</v>
      </c>
      <c r="K332" s="6" t="s">
        <v>2517</v>
      </c>
      <c r="L332" s="11" t="str">
        <f t="shared" si="1"/>
        <v/>
      </c>
      <c r="Z332" s="2" t="s">
        <v>34</v>
      </c>
    </row>
    <row r="333">
      <c r="A333" s="3" t="s">
        <v>48</v>
      </c>
      <c r="B333" s="4" t="s">
        <v>2518</v>
      </c>
      <c r="C333" s="1" t="s">
        <v>2519</v>
      </c>
      <c r="D333" s="3" t="s">
        <v>2520</v>
      </c>
      <c r="E333" s="1" t="s">
        <v>30</v>
      </c>
      <c r="F333" s="5">
        <v>13240.0</v>
      </c>
      <c r="G333" s="1" t="s">
        <v>31</v>
      </c>
      <c r="H333" s="3" t="s">
        <v>32</v>
      </c>
      <c r="I333" s="1">
        <v>-6.2098506</v>
      </c>
      <c r="J333" s="3">
        <v>106.8929079</v>
      </c>
      <c r="K333" s="6" t="s">
        <v>2521</v>
      </c>
      <c r="L333" s="11" t="str">
        <f t="shared" si="1"/>
        <v/>
      </c>
      <c r="Z333" s="2" t="s">
        <v>34</v>
      </c>
    </row>
    <row r="334">
      <c r="A334" s="3" t="s">
        <v>1095</v>
      </c>
      <c r="B334" s="4" t="s">
        <v>2522</v>
      </c>
      <c r="C334" s="1" t="s">
        <v>2523</v>
      </c>
      <c r="D334" s="3" t="s">
        <v>2524</v>
      </c>
      <c r="E334" s="1" t="s">
        <v>30</v>
      </c>
      <c r="F334" s="5">
        <v>13550.0</v>
      </c>
      <c r="G334" s="1" t="s">
        <v>31</v>
      </c>
      <c r="H334" s="3" t="s">
        <v>32</v>
      </c>
      <c r="I334" s="1">
        <v>-6.3030214</v>
      </c>
      <c r="J334" s="3">
        <v>106.8787139</v>
      </c>
      <c r="K334" s="6" t="s">
        <v>2525</v>
      </c>
      <c r="L334" s="11">
        <f t="shared" si="1"/>
        <v>11206896.55</v>
      </c>
      <c r="M334" s="11">
        <f>1300000000/116</f>
        <v>11206896.55</v>
      </c>
      <c r="Z334" s="8" t="s">
        <v>2526</v>
      </c>
    </row>
    <row r="335">
      <c r="A335" s="3" t="s">
        <v>125</v>
      </c>
      <c r="B335" s="4" t="s">
        <v>2527</v>
      </c>
      <c r="C335" s="1" t="s">
        <v>2528</v>
      </c>
      <c r="D335" s="3" t="s">
        <v>2529</v>
      </c>
      <c r="E335" s="1" t="s">
        <v>30</v>
      </c>
      <c r="F335" s="5">
        <v>13810.0</v>
      </c>
      <c r="G335" s="1" t="s">
        <v>31</v>
      </c>
      <c r="H335" s="3" t="s">
        <v>32</v>
      </c>
      <c r="I335" s="1">
        <v>-6.2888098</v>
      </c>
      <c r="J335" s="3">
        <v>106.9095291</v>
      </c>
      <c r="K335" s="6" t="s">
        <v>2530</v>
      </c>
      <c r="L335" s="11" t="str">
        <f t="shared" si="1"/>
        <v/>
      </c>
      <c r="Z335" s="2" t="s">
        <v>34</v>
      </c>
    </row>
    <row r="336">
      <c r="A336" s="3" t="s">
        <v>125</v>
      </c>
      <c r="B336" s="4" t="s">
        <v>2531</v>
      </c>
      <c r="C336" s="1" t="s">
        <v>2532</v>
      </c>
      <c r="D336" s="3" t="s">
        <v>1932</v>
      </c>
      <c r="E336" s="1" t="s">
        <v>30</v>
      </c>
      <c r="F336" s="5">
        <v>13860.0</v>
      </c>
      <c r="G336" s="1" t="s">
        <v>31</v>
      </c>
      <c r="H336" s="14" t="s">
        <v>32</v>
      </c>
      <c r="I336" s="1">
        <v>-6.3497328</v>
      </c>
      <c r="J336" s="3">
        <v>106.9137957</v>
      </c>
      <c r="K336" s="6" t="s">
        <v>2533</v>
      </c>
      <c r="L336" s="11">
        <f t="shared" si="1"/>
        <v>13777777.78</v>
      </c>
      <c r="M336" s="11">
        <f>620000000/45</f>
        <v>13777777.78</v>
      </c>
      <c r="Z336" s="8" t="s">
        <v>2534</v>
      </c>
    </row>
    <row r="337">
      <c r="A337" s="3" t="s">
        <v>125</v>
      </c>
      <c r="B337" s="4" t="s">
        <v>2535</v>
      </c>
      <c r="C337" s="1" t="s">
        <v>2536</v>
      </c>
      <c r="D337" s="3" t="s">
        <v>2537</v>
      </c>
      <c r="E337" s="1" t="s">
        <v>30</v>
      </c>
      <c r="F337" s="5">
        <v>13720.0</v>
      </c>
      <c r="G337" s="1" t="s">
        <v>31</v>
      </c>
      <c r="H337" s="9">
        <v>8.18E9</v>
      </c>
      <c r="I337" s="1">
        <v>-6.3633326</v>
      </c>
      <c r="J337" s="3">
        <v>106.8814486</v>
      </c>
      <c r="K337" s="6" t="s">
        <v>2538</v>
      </c>
      <c r="L337" s="11" t="str">
        <f t="shared" si="1"/>
        <v/>
      </c>
      <c r="Z337" s="2" t="s">
        <v>34</v>
      </c>
    </row>
    <row r="338">
      <c r="A338" s="3" t="s">
        <v>125</v>
      </c>
      <c r="B338" s="4" t="s">
        <v>2539</v>
      </c>
      <c r="C338" s="1" t="s">
        <v>2540</v>
      </c>
      <c r="D338" s="3" t="s">
        <v>2541</v>
      </c>
      <c r="E338" s="1" t="s">
        <v>30</v>
      </c>
      <c r="F338" s="5">
        <v>13460.0</v>
      </c>
      <c r="G338" s="1" t="s">
        <v>31</v>
      </c>
      <c r="H338" s="3" t="s">
        <v>32</v>
      </c>
      <c r="I338" s="1">
        <v>-6.23224</v>
      </c>
      <c r="J338" s="3">
        <v>106.9362882</v>
      </c>
      <c r="K338" s="6" t="s">
        <v>2542</v>
      </c>
      <c r="L338" s="11">
        <f t="shared" si="1"/>
        <v>17727272.73</v>
      </c>
      <c r="M338" s="11">
        <f>1950000000/110</f>
        <v>17727272.73</v>
      </c>
      <c r="Z338" s="8" t="s">
        <v>2543</v>
      </c>
    </row>
    <row r="339">
      <c r="A339" s="3" t="s">
        <v>125</v>
      </c>
      <c r="B339" s="4" t="s">
        <v>2544</v>
      </c>
      <c r="C339" s="1" t="s">
        <v>2545</v>
      </c>
      <c r="D339" s="3" t="s">
        <v>2546</v>
      </c>
      <c r="E339" s="1" t="s">
        <v>30</v>
      </c>
      <c r="F339" s="5">
        <v>13450.0</v>
      </c>
      <c r="G339" s="1" t="s">
        <v>31</v>
      </c>
      <c r="H339" s="3" t="s">
        <v>32</v>
      </c>
      <c r="I339" s="1">
        <v>-6.2458687</v>
      </c>
      <c r="J339" s="3">
        <v>106.9357185</v>
      </c>
      <c r="K339" s="6" t="s">
        <v>2547</v>
      </c>
      <c r="L339" s="11">
        <f t="shared" si="1"/>
        <v>21759259.26</v>
      </c>
      <c r="M339" s="11">
        <f>2350000000/108</f>
        <v>21759259.26</v>
      </c>
      <c r="Z339" s="8" t="s">
        <v>2548</v>
      </c>
    </row>
    <row r="340">
      <c r="A340" s="3" t="s">
        <v>125</v>
      </c>
      <c r="B340" s="4" t="s">
        <v>2549</v>
      </c>
      <c r="C340" s="1" t="s">
        <v>2550</v>
      </c>
      <c r="D340" s="3" t="s">
        <v>2551</v>
      </c>
      <c r="E340" s="1" t="s">
        <v>30</v>
      </c>
      <c r="F340" s="5">
        <v>13710.0</v>
      </c>
      <c r="G340" s="1" t="s">
        <v>31</v>
      </c>
      <c r="H340" s="3" t="s">
        <v>32</v>
      </c>
      <c r="I340" s="1">
        <v>-6.3355616</v>
      </c>
      <c r="J340" s="3">
        <v>106.8629998</v>
      </c>
      <c r="K340" s="6" t="s">
        <v>2552</v>
      </c>
      <c r="L340" s="11">
        <f t="shared" si="1"/>
        <v>26708074.53</v>
      </c>
      <c r="M340" s="11">
        <f>4300000000/161</f>
        <v>26708074.53</v>
      </c>
      <c r="Z340" s="8" t="s">
        <v>2553</v>
      </c>
    </row>
    <row r="341">
      <c r="A341" s="3" t="s">
        <v>125</v>
      </c>
      <c r="B341" s="4" t="s">
        <v>2554</v>
      </c>
      <c r="C341" s="1" t="s">
        <v>2555</v>
      </c>
      <c r="D341" s="3" t="s">
        <v>2556</v>
      </c>
      <c r="E341" s="1" t="s">
        <v>30</v>
      </c>
      <c r="F341" s="5">
        <v>13870.0</v>
      </c>
      <c r="G341" s="1" t="s">
        <v>31</v>
      </c>
      <c r="H341" s="3" t="s">
        <v>32</v>
      </c>
      <c r="I341" s="1">
        <v>-6.3333827</v>
      </c>
      <c r="J341" s="3">
        <v>106.9055154</v>
      </c>
      <c r="K341" s="6" t="s">
        <v>2557</v>
      </c>
      <c r="L341" s="11" t="str">
        <f t="shared" si="1"/>
        <v/>
      </c>
      <c r="Z341" s="2" t="s">
        <v>34</v>
      </c>
    </row>
    <row r="342">
      <c r="A342" s="3" t="s">
        <v>125</v>
      </c>
      <c r="B342" s="4" t="s">
        <v>2558</v>
      </c>
      <c r="C342" s="1" t="s">
        <v>2559</v>
      </c>
      <c r="D342" s="3" t="s">
        <v>2560</v>
      </c>
      <c r="E342" s="1" t="s">
        <v>30</v>
      </c>
      <c r="F342" s="5">
        <v>13720.0</v>
      </c>
      <c r="G342" s="1" t="s">
        <v>31</v>
      </c>
      <c r="H342" s="3" t="s">
        <v>32</v>
      </c>
      <c r="I342" s="1">
        <v>-6.3603395</v>
      </c>
      <c r="J342" s="3">
        <v>106.8835028</v>
      </c>
      <c r="K342" s="6" t="s">
        <v>2561</v>
      </c>
      <c r="L342" s="11">
        <f t="shared" si="1"/>
        <v>14415584.42</v>
      </c>
      <c r="M342" s="11">
        <f>1110000000/77</f>
        <v>14415584.42</v>
      </c>
      <c r="Z342" s="8" t="s">
        <v>2562</v>
      </c>
    </row>
    <row r="343">
      <c r="A343" s="3" t="s">
        <v>125</v>
      </c>
      <c r="B343" s="4" t="s">
        <v>2563</v>
      </c>
      <c r="C343" s="1" t="s">
        <v>2564</v>
      </c>
      <c r="D343" s="3" t="s">
        <v>2565</v>
      </c>
      <c r="E343" s="1" t="s">
        <v>30</v>
      </c>
      <c r="F343" s="5">
        <v>13740.0</v>
      </c>
      <c r="G343" s="1" t="s">
        <v>31</v>
      </c>
      <c r="H343" s="14" t="s">
        <v>32</v>
      </c>
      <c r="I343" s="1">
        <v>-6.3220209</v>
      </c>
      <c r="J343" s="3">
        <v>106.8735611</v>
      </c>
      <c r="K343" s="6" t="s">
        <v>2566</v>
      </c>
      <c r="L343" s="11">
        <f t="shared" si="1"/>
        <v>13083333.33</v>
      </c>
      <c r="M343" s="11">
        <f>1570000000/120</f>
        <v>13083333.33</v>
      </c>
      <c r="Z343" s="8" t="s">
        <v>2567</v>
      </c>
    </row>
    <row r="344">
      <c r="A344" s="3" t="s">
        <v>125</v>
      </c>
      <c r="B344" s="4" t="s">
        <v>2568</v>
      </c>
      <c r="C344" s="1" t="s">
        <v>2569</v>
      </c>
      <c r="D344" s="3" t="s">
        <v>2570</v>
      </c>
      <c r="E344" s="1" t="s">
        <v>30</v>
      </c>
      <c r="F344" s="5">
        <v>13450.0</v>
      </c>
      <c r="G344" s="1" t="s">
        <v>31</v>
      </c>
      <c r="H344" s="3" t="s">
        <v>32</v>
      </c>
      <c r="I344" s="1">
        <v>-6.23364</v>
      </c>
      <c r="J344" s="3">
        <v>106.9305506</v>
      </c>
      <c r="K344" s="6" t="s">
        <v>2571</v>
      </c>
      <c r="L344" s="11">
        <f t="shared" si="1"/>
        <v>14444444.44</v>
      </c>
      <c r="M344" s="11">
        <f>2080000000/144</f>
        <v>14444444.44</v>
      </c>
      <c r="Z344" s="8" t="s">
        <v>2572</v>
      </c>
    </row>
    <row r="345">
      <c r="A345" s="3" t="s">
        <v>1095</v>
      </c>
      <c r="B345" s="4" t="s">
        <v>2573</v>
      </c>
      <c r="C345" s="1" t="s">
        <v>2574</v>
      </c>
      <c r="D345" s="3" t="s">
        <v>2575</v>
      </c>
      <c r="E345" s="1" t="s">
        <v>30</v>
      </c>
      <c r="F345" s="5">
        <v>13910.0</v>
      </c>
      <c r="G345" s="1" t="s">
        <v>31</v>
      </c>
      <c r="H345" s="3" t="s">
        <v>32</v>
      </c>
      <c r="I345" s="1">
        <v>-6.171272</v>
      </c>
      <c r="J345" s="3">
        <v>106.968128</v>
      </c>
      <c r="K345" s="6" t="s">
        <v>2576</v>
      </c>
      <c r="L345" s="11">
        <f t="shared" si="1"/>
        <v>26956521.74</v>
      </c>
      <c r="M345" s="11">
        <f>2200000000/84</f>
        <v>26190476.19</v>
      </c>
      <c r="N345" s="11">
        <f>3100000000/115</f>
        <v>26956521.74</v>
      </c>
      <c r="O345" s="11">
        <f>4300000000/144</f>
        <v>29861111.11</v>
      </c>
      <c r="Z345" s="8" t="s">
        <v>2577</v>
      </c>
    </row>
    <row r="346">
      <c r="A346" s="3" t="s">
        <v>1095</v>
      </c>
      <c r="B346" s="4" t="s">
        <v>2578</v>
      </c>
      <c r="C346" s="1" t="s">
        <v>2579</v>
      </c>
      <c r="D346" s="3" t="s">
        <v>2580</v>
      </c>
      <c r="E346" s="1" t="s">
        <v>30</v>
      </c>
      <c r="F346" s="5">
        <v>13820.0</v>
      </c>
      <c r="G346" s="1" t="s">
        <v>31</v>
      </c>
      <c r="H346" s="9">
        <v>8.78E10</v>
      </c>
      <c r="I346" s="1">
        <v>-6.3081024</v>
      </c>
      <c r="J346" s="3">
        <v>106.8879834</v>
      </c>
      <c r="K346" s="6" t="s">
        <v>2581</v>
      </c>
      <c r="L346" s="11">
        <f t="shared" si="1"/>
        <v>24036144.58</v>
      </c>
      <c r="M346" s="11">
        <f>3990000000/166</f>
        <v>24036144.58</v>
      </c>
      <c r="Z346" s="8" t="s">
        <v>2582</v>
      </c>
    </row>
    <row r="347">
      <c r="A347" s="3" t="s">
        <v>1095</v>
      </c>
      <c r="B347" s="4" t="s">
        <v>2583</v>
      </c>
      <c r="C347" s="1" t="s">
        <v>2584</v>
      </c>
      <c r="D347" s="3" t="s">
        <v>2585</v>
      </c>
      <c r="E347" s="1" t="s">
        <v>30</v>
      </c>
      <c r="F347" s="5">
        <v>13820.0</v>
      </c>
      <c r="G347" s="1" t="s">
        <v>31</v>
      </c>
      <c r="H347" s="3" t="s">
        <v>32</v>
      </c>
      <c r="I347" s="1">
        <v>-6.3150946</v>
      </c>
      <c r="J347" s="3">
        <v>106.8900298</v>
      </c>
      <c r="K347" s="6" t="s">
        <v>2586</v>
      </c>
      <c r="L347" s="11">
        <f t="shared" si="1"/>
        <v>14395393.47</v>
      </c>
      <c r="M347" s="11">
        <f>15000000000/1042</f>
        <v>14395393.47</v>
      </c>
      <c r="Z347" s="8" t="s">
        <v>2587</v>
      </c>
    </row>
    <row r="348">
      <c r="A348" s="3" t="s">
        <v>1095</v>
      </c>
      <c r="B348" s="4" t="s">
        <v>2588</v>
      </c>
      <c r="C348" s="1" t="s">
        <v>2589</v>
      </c>
      <c r="D348" s="3" t="s">
        <v>2590</v>
      </c>
      <c r="E348" s="1" t="s">
        <v>30</v>
      </c>
      <c r="F348" s="5">
        <v>13880.0</v>
      </c>
      <c r="G348" s="1" t="s">
        <v>31</v>
      </c>
      <c r="H348" s="3" t="s">
        <v>32</v>
      </c>
      <c r="I348" s="1">
        <v>-6.319588</v>
      </c>
      <c r="J348" s="3">
        <v>106.9153646</v>
      </c>
      <c r="K348" s="6" t="s">
        <v>2591</v>
      </c>
      <c r="L348" s="11">
        <f t="shared" si="1"/>
        <v>11250000</v>
      </c>
      <c r="M348" s="11">
        <f>750000000/84</f>
        <v>8928571.429</v>
      </c>
      <c r="N348" s="11">
        <f>1800000000/163</f>
        <v>11042944.79</v>
      </c>
      <c r="O348" s="11">
        <f>950000000/67</f>
        <v>14179104.48</v>
      </c>
      <c r="P348" s="11">
        <f>2000000000/163</f>
        <v>12269938.65</v>
      </c>
      <c r="Q348" s="11">
        <f>1800000000/160</f>
        <v>11250000</v>
      </c>
      <c r="Z348" s="8" t="s">
        <v>2592</v>
      </c>
    </row>
    <row r="349">
      <c r="A349" s="3" t="s">
        <v>1095</v>
      </c>
      <c r="B349" s="4" t="s">
        <v>2593</v>
      </c>
      <c r="C349" s="1" t="s">
        <v>2594</v>
      </c>
      <c r="D349" s="3" t="s">
        <v>2595</v>
      </c>
      <c r="E349" s="1" t="s">
        <v>30</v>
      </c>
      <c r="F349" s="5">
        <v>13840.0</v>
      </c>
      <c r="G349" s="1" t="s">
        <v>31</v>
      </c>
      <c r="H349" s="3" t="s">
        <v>32</v>
      </c>
      <c r="I349" s="1">
        <v>-6.3279545</v>
      </c>
      <c r="J349" s="3">
        <v>106.892804</v>
      </c>
      <c r="K349" s="6" t="s">
        <v>2596</v>
      </c>
      <c r="L349" s="11" t="str">
        <f t="shared" si="1"/>
        <v/>
      </c>
      <c r="Z349" s="2" t="s">
        <v>34</v>
      </c>
    </row>
    <row r="350">
      <c r="A350" s="3" t="s">
        <v>1095</v>
      </c>
      <c r="B350" s="4" t="s">
        <v>2597</v>
      </c>
      <c r="C350" s="1" t="s">
        <v>2598</v>
      </c>
      <c r="D350" s="3" t="s">
        <v>2599</v>
      </c>
      <c r="E350" s="1" t="s">
        <v>30</v>
      </c>
      <c r="F350" s="5">
        <v>13850.0</v>
      </c>
      <c r="G350" s="1" t="s">
        <v>31</v>
      </c>
      <c r="H350" s="3" t="s">
        <v>32</v>
      </c>
      <c r="I350" s="1">
        <v>-6.3494214</v>
      </c>
      <c r="J350" s="3">
        <v>106.896057</v>
      </c>
      <c r="K350" s="6" t="s">
        <v>2600</v>
      </c>
      <c r="L350" s="11">
        <f t="shared" si="1"/>
        <v>18366666.67</v>
      </c>
      <c r="M350" s="11">
        <f>1004000000/60</f>
        <v>16733333.33</v>
      </c>
      <c r="N350" s="11">
        <f>1200000000/60</f>
        <v>20000000</v>
      </c>
      <c r="Z350" s="8" t="s">
        <v>2601</v>
      </c>
    </row>
    <row r="351">
      <c r="A351" s="3" t="s">
        <v>1095</v>
      </c>
      <c r="B351" s="4" t="s">
        <v>2602</v>
      </c>
      <c r="C351" s="1" t="s">
        <v>2603</v>
      </c>
      <c r="D351" s="3" t="s">
        <v>2604</v>
      </c>
      <c r="E351" s="1" t="s">
        <v>30</v>
      </c>
      <c r="F351" s="5">
        <v>13850.0</v>
      </c>
      <c r="G351" s="1" t="s">
        <v>31</v>
      </c>
      <c r="H351" s="3" t="s">
        <v>32</v>
      </c>
      <c r="I351" s="1">
        <v>-6.3529538</v>
      </c>
      <c r="J351" s="3">
        <v>106.8933649</v>
      </c>
      <c r="K351" s="6" t="s">
        <v>2605</v>
      </c>
      <c r="L351" s="11">
        <f t="shared" si="1"/>
        <v>12500000</v>
      </c>
      <c r="M351" s="11">
        <f>750000000/60</f>
        <v>12500000</v>
      </c>
      <c r="Z351" s="8" t="s">
        <v>2606</v>
      </c>
    </row>
    <row r="352">
      <c r="A352" s="3" t="s">
        <v>1095</v>
      </c>
      <c r="B352" s="4" t="s">
        <v>2607</v>
      </c>
      <c r="C352" s="1" t="s">
        <v>2608</v>
      </c>
      <c r="D352" s="3" t="s">
        <v>2609</v>
      </c>
      <c r="E352" s="1" t="s">
        <v>30</v>
      </c>
      <c r="F352" s="5">
        <v>13870.0</v>
      </c>
      <c r="G352" s="1" t="s">
        <v>31</v>
      </c>
      <c r="H352" s="9">
        <v>8.79E10</v>
      </c>
      <c r="I352" s="1">
        <v>-6.3311582</v>
      </c>
      <c r="J352" s="3">
        <v>106.9011978</v>
      </c>
      <c r="K352" s="6" t="s">
        <v>2610</v>
      </c>
      <c r="L352" s="11">
        <f t="shared" si="1"/>
        <v>18719626.17</v>
      </c>
      <c r="M352" s="11">
        <f>1240000000/63</f>
        <v>19682539.68</v>
      </c>
      <c r="N352" s="11">
        <f>1450000000/75</f>
        <v>19333333.33</v>
      </c>
      <c r="O352" s="11">
        <f>1800000000/103</f>
        <v>17475728.16</v>
      </c>
      <c r="P352" s="11">
        <f>2003000000/107</f>
        <v>18719626.17</v>
      </c>
      <c r="Q352" s="11">
        <f>246000000/140</f>
        <v>1757142.857</v>
      </c>
      <c r="Z352" s="8" t="s">
        <v>2611</v>
      </c>
    </row>
    <row r="353">
      <c r="A353" s="3" t="s">
        <v>1095</v>
      </c>
      <c r="B353" s="4" t="s">
        <v>2612</v>
      </c>
      <c r="C353" s="1" t="s">
        <v>2613</v>
      </c>
      <c r="D353" s="3" t="s">
        <v>2614</v>
      </c>
      <c r="E353" s="1" t="s">
        <v>30</v>
      </c>
      <c r="F353" s="5">
        <v>13880.0</v>
      </c>
      <c r="G353" s="1" t="s">
        <v>31</v>
      </c>
      <c r="H353" s="14" t="s">
        <v>32</v>
      </c>
      <c r="I353" s="1">
        <v>-6.3078862</v>
      </c>
      <c r="J353" s="3">
        <v>106.9194521</v>
      </c>
      <c r="K353" s="6" t="s">
        <v>2615</v>
      </c>
      <c r="L353" s="11" t="str">
        <f t="shared" si="1"/>
        <v/>
      </c>
      <c r="Z353" s="2" t="s">
        <v>34</v>
      </c>
    </row>
    <row r="354">
      <c r="A354" s="3" t="s">
        <v>1095</v>
      </c>
      <c r="B354" s="4" t="s">
        <v>2616</v>
      </c>
      <c r="C354" s="1" t="s">
        <v>2617</v>
      </c>
      <c r="D354" s="3" t="s">
        <v>2618</v>
      </c>
      <c r="E354" s="1" t="s">
        <v>30</v>
      </c>
      <c r="F354" s="5">
        <v>13720.0</v>
      </c>
      <c r="G354" s="1" t="s">
        <v>31</v>
      </c>
      <c r="H354" s="9">
        <v>8.13E10</v>
      </c>
      <c r="I354" s="1">
        <v>-6.3473049</v>
      </c>
      <c r="J354" s="3">
        <v>106.8789358</v>
      </c>
      <c r="K354" s="6" t="s">
        <v>2619</v>
      </c>
      <c r="L354" s="11" t="str">
        <f t="shared" si="1"/>
        <v/>
      </c>
      <c r="Z354" s="2" t="s">
        <v>34</v>
      </c>
    </row>
    <row r="355">
      <c r="A355" s="3" t="s">
        <v>1095</v>
      </c>
      <c r="B355" s="4" t="s">
        <v>2620</v>
      </c>
      <c r="C355" s="1" t="s">
        <v>2621</v>
      </c>
      <c r="D355" s="3" t="s">
        <v>2622</v>
      </c>
      <c r="E355" s="1" t="s">
        <v>30</v>
      </c>
      <c r="F355" s="5">
        <v>13730.0</v>
      </c>
      <c r="G355" s="1" t="s">
        <v>31</v>
      </c>
      <c r="H355" s="3" t="s">
        <v>32</v>
      </c>
      <c r="I355" s="1">
        <v>-6.3489194</v>
      </c>
      <c r="J355" s="3">
        <v>106.8845393</v>
      </c>
      <c r="K355" s="6" t="s">
        <v>2623</v>
      </c>
      <c r="L355" s="11" t="str">
        <f t="shared" si="1"/>
        <v/>
      </c>
      <c r="Z355" s="2" t="s">
        <v>34</v>
      </c>
    </row>
    <row r="356">
      <c r="A356" s="3" t="s">
        <v>1095</v>
      </c>
      <c r="B356" s="4" t="s">
        <v>2624</v>
      </c>
      <c r="C356" s="1" t="s">
        <v>2625</v>
      </c>
      <c r="D356" s="3" t="s">
        <v>2626</v>
      </c>
      <c r="E356" s="1" t="s">
        <v>30</v>
      </c>
      <c r="F356" s="5">
        <v>13450.0</v>
      </c>
      <c r="G356" s="1" t="s">
        <v>31</v>
      </c>
      <c r="H356" s="3" t="s">
        <v>32</v>
      </c>
      <c r="I356" s="1">
        <v>-6.233162</v>
      </c>
      <c r="J356" s="3">
        <v>106.935874</v>
      </c>
      <c r="K356" s="6" t="s">
        <v>2627</v>
      </c>
      <c r="L356" s="11">
        <f t="shared" si="1"/>
        <v>19780219.78</v>
      </c>
      <c r="M356" s="11">
        <f>9000000000/455</f>
        <v>19780219.78</v>
      </c>
      <c r="Z356" s="8" t="s">
        <v>1298</v>
      </c>
    </row>
    <row r="357">
      <c r="A357" s="3" t="s">
        <v>1095</v>
      </c>
      <c r="B357" s="4" t="s">
        <v>2628</v>
      </c>
      <c r="C357" s="1" t="s">
        <v>2629</v>
      </c>
      <c r="D357" s="3" t="s">
        <v>2630</v>
      </c>
      <c r="E357" s="1" t="s">
        <v>30</v>
      </c>
      <c r="F357" s="5">
        <v>13470.0</v>
      </c>
      <c r="G357" s="1" t="s">
        <v>31</v>
      </c>
      <c r="H357" s="3" t="s">
        <v>32</v>
      </c>
      <c r="I357" s="1">
        <v>-6.2204369</v>
      </c>
      <c r="J357" s="3">
        <v>106.9186947</v>
      </c>
      <c r="K357" s="6" t="s">
        <v>2631</v>
      </c>
      <c r="L357" s="11">
        <f t="shared" si="1"/>
        <v>19191919.19</v>
      </c>
      <c r="M357" s="11">
        <f>3800000000/198</f>
        <v>19191919.19</v>
      </c>
      <c r="Z357" s="8" t="s">
        <v>2632</v>
      </c>
    </row>
    <row r="358">
      <c r="A358" s="3" t="s">
        <v>1095</v>
      </c>
      <c r="B358" s="4" t="s">
        <v>2633</v>
      </c>
      <c r="C358" s="1" t="s">
        <v>2634</v>
      </c>
      <c r="D358" s="3" t="s">
        <v>2635</v>
      </c>
      <c r="E358" s="1" t="s">
        <v>30</v>
      </c>
      <c r="F358" s="5">
        <v>13760.0</v>
      </c>
      <c r="G358" s="1" t="s">
        <v>31</v>
      </c>
      <c r="H358" s="3" t="s">
        <v>32</v>
      </c>
      <c r="I358" s="1">
        <v>-6.2936868</v>
      </c>
      <c r="J358" s="3">
        <v>106.8566586</v>
      </c>
      <c r="K358" s="6" t="s">
        <v>2636</v>
      </c>
      <c r="L358" s="11">
        <f t="shared" si="1"/>
        <v>29729729.73</v>
      </c>
      <c r="M358" s="11">
        <f>5500000000/185</f>
        <v>29729729.73</v>
      </c>
      <c r="Z358" s="8" t="s">
        <v>2637</v>
      </c>
    </row>
    <row r="359">
      <c r="A359" s="3" t="s">
        <v>1095</v>
      </c>
      <c r="B359" s="4" t="s">
        <v>2638</v>
      </c>
      <c r="C359" s="1" t="s">
        <v>2639</v>
      </c>
      <c r="D359" s="3" t="s">
        <v>2640</v>
      </c>
      <c r="E359" s="1" t="s">
        <v>30</v>
      </c>
      <c r="F359" s="5">
        <v>13550.0</v>
      </c>
      <c r="G359" s="1" t="s">
        <v>31</v>
      </c>
      <c r="H359" s="14" t="s">
        <v>32</v>
      </c>
      <c r="I359" s="1">
        <v>-6.300477</v>
      </c>
      <c r="J359" s="3">
        <v>106.876059</v>
      </c>
      <c r="K359" s="6" t="s">
        <v>2641</v>
      </c>
      <c r="L359" s="11">
        <f t="shared" si="1"/>
        <v>21571428.57</v>
      </c>
      <c r="M359" s="11">
        <f>1510000000/70</f>
        <v>21571428.57</v>
      </c>
      <c r="Z359" s="8" t="s">
        <v>2642</v>
      </c>
    </row>
    <row r="360">
      <c r="A360" s="3" t="s">
        <v>1095</v>
      </c>
      <c r="B360" s="4" t="s">
        <v>2643</v>
      </c>
      <c r="C360" s="1" t="s">
        <v>2644</v>
      </c>
      <c r="D360" s="3" t="s">
        <v>2645</v>
      </c>
      <c r="E360" s="1" t="s">
        <v>30</v>
      </c>
      <c r="F360" s="5">
        <v>13550.0</v>
      </c>
      <c r="G360" s="1" t="s">
        <v>31</v>
      </c>
      <c r="H360" s="3" t="s">
        <v>32</v>
      </c>
      <c r="I360" s="1">
        <v>-6.2952349</v>
      </c>
      <c r="J360" s="3">
        <v>106.877931</v>
      </c>
      <c r="K360" s="6" t="s">
        <v>2646</v>
      </c>
      <c r="L360" s="11">
        <f t="shared" si="1"/>
        <v>22222222.22</v>
      </c>
      <c r="M360" s="11">
        <f>2450000000/105</f>
        <v>23333333.33</v>
      </c>
      <c r="N360" s="11">
        <f>2350000000/108</f>
        <v>21759259.26</v>
      </c>
      <c r="O360" s="11">
        <f>2400000000/108</f>
        <v>22222222.22</v>
      </c>
      <c r="Z360" s="8" t="s">
        <v>1251</v>
      </c>
    </row>
    <row r="361">
      <c r="A361" s="3" t="s">
        <v>1095</v>
      </c>
      <c r="B361" s="4" t="s">
        <v>2647</v>
      </c>
      <c r="C361" s="1" t="s">
        <v>2648</v>
      </c>
      <c r="D361" s="3" t="s">
        <v>2649</v>
      </c>
      <c r="E361" s="1" t="s">
        <v>30</v>
      </c>
      <c r="F361" s="5">
        <v>13610.0</v>
      </c>
      <c r="G361" s="1" t="s">
        <v>31</v>
      </c>
      <c r="H361" s="3" t="s">
        <v>32</v>
      </c>
      <c r="I361" s="1">
        <v>-6.2513979</v>
      </c>
      <c r="J361" s="3">
        <v>106.8989573</v>
      </c>
      <c r="K361" s="6" t="s">
        <v>2650</v>
      </c>
      <c r="L361" s="11" t="str">
        <f t="shared" si="1"/>
        <v/>
      </c>
      <c r="Z361" s="2" t="s">
        <v>34</v>
      </c>
    </row>
    <row r="362">
      <c r="A362" s="3" t="s">
        <v>1095</v>
      </c>
      <c r="B362" s="4" t="s">
        <v>2651</v>
      </c>
      <c r="C362" s="1" t="s">
        <v>2652</v>
      </c>
      <c r="D362" s="3" t="s">
        <v>2653</v>
      </c>
      <c r="E362" s="1" t="s">
        <v>30</v>
      </c>
      <c r="F362" s="5">
        <v>13810.0</v>
      </c>
      <c r="G362" s="1" t="s">
        <v>31</v>
      </c>
      <c r="H362" s="3" t="s">
        <v>32</v>
      </c>
      <c r="I362" s="1">
        <v>-6.2974709</v>
      </c>
      <c r="J362" s="3">
        <v>106.90825</v>
      </c>
      <c r="K362" s="6" t="s">
        <v>2654</v>
      </c>
      <c r="L362" s="11">
        <f t="shared" si="1"/>
        <v>17937500</v>
      </c>
      <c r="M362" s="11">
        <f>861000000/48</f>
        <v>17937500</v>
      </c>
      <c r="Z362" s="8" t="s">
        <v>2655</v>
      </c>
    </row>
    <row r="363">
      <c r="A363" s="3" t="s">
        <v>1095</v>
      </c>
      <c r="B363" s="4" t="s">
        <v>2656</v>
      </c>
      <c r="C363" s="1" t="s">
        <v>2657</v>
      </c>
      <c r="D363" s="3" t="s">
        <v>1249</v>
      </c>
      <c r="E363" s="1" t="s">
        <v>30</v>
      </c>
      <c r="F363" s="5">
        <v>13820.0</v>
      </c>
      <c r="G363" s="1" t="s">
        <v>31</v>
      </c>
      <c r="H363" s="9">
        <v>8.23E10</v>
      </c>
      <c r="I363" s="1">
        <v>-6.3177196</v>
      </c>
      <c r="J363" s="3">
        <v>106.8885218</v>
      </c>
      <c r="K363" s="6" t="s">
        <v>2658</v>
      </c>
      <c r="L363" s="11" t="str">
        <f t="shared" si="1"/>
        <v/>
      </c>
      <c r="Z363" s="2" t="s">
        <v>34</v>
      </c>
    </row>
    <row r="364">
      <c r="A364" s="3" t="s">
        <v>1095</v>
      </c>
      <c r="B364" s="4" t="s">
        <v>2659</v>
      </c>
      <c r="C364" s="1" t="s">
        <v>2660</v>
      </c>
      <c r="D364" s="3" t="s">
        <v>2661</v>
      </c>
      <c r="E364" s="1" t="s">
        <v>30</v>
      </c>
      <c r="F364" s="5">
        <v>13840.0</v>
      </c>
      <c r="G364" s="1" t="s">
        <v>31</v>
      </c>
      <c r="H364" s="9">
        <v>8.95E11</v>
      </c>
      <c r="I364" s="1">
        <v>-6.3272218</v>
      </c>
      <c r="J364" s="3">
        <v>106.8970813</v>
      </c>
      <c r="K364" s="6" t="s">
        <v>2662</v>
      </c>
      <c r="L364" s="11" t="str">
        <f t="shared" si="1"/>
        <v/>
      </c>
      <c r="Z364" s="2" t="s">
        <v>34</v>
      </c>
    </row>
    <row r="365">
      <c r="A365" s="3" t="s">
        <v>1095</v>
      </c>
      <c r="B365" s="4" t="s">
        <v>2663</v>
      </c>
      <c r="C365" s="1" t="s">
        <v>2664</v>
      </c>
      <c r="D365" s="3" t="s">
        <v>1374</v>
      </c>
      <c r="E365" s="1" t="s">
        <v>30</v>
      </c>
      <c r="F365" s="5">
        <v>13880.0</v>
      </c>
      <c r="G365" s="1" t="s">
        <v>31</v>
      </c>
      <c r="H365" s="3" t="s">
        <v>32</v>
      </c>
      <c r="I365" s="1">
        <v>-6.3138993</v>
      </c>
      <c r="J365" s="3">
        <v>106.9139054</v>
      </c>
      <c r="K365" s="6" t="s">
        <v>2665</v>
      </c>
      <c r="L365" s="11" t="str">
        <f t="shared" si="1"/>
        <v/>
      </c>
      <c r="Z365" s="2" t="s">
        <v>34</v>
      </c>
    </row>
    <row r="366">
      <c r="A366" s="3" t="s">
        <v>1095</v>
      </c>
      <c r="B366" s="4" t="s">
        <v>2666</v>
      </c>
      <c r="C366" s="1" t="s">
        <v>2667</v>
      </c>
      <c r="D366" s="3" t="s">
        <v>2668</v>
      </c>
      <c r="E366" s="1" t="s">
        <v>30</v>
      </c>
      <c r="F366" s="5">
        <v>13880.0</v>
      </c>
      <c r="G366" s="1" t="s">
        <v>31</v>
      </c>
      <c r="H366" s="3" t="s">
        <v>32</v>
      </c>
      <c r="I366" s="1">
        <v>-6.317422</v>
      </c>
      <c r="J366" s="3">
        <v>106.9206168</v>
      </c>
      <c r="K366" s="6" t="s">
        <v>2669</v>
      </c>
      <c r="L366" s="11">
        <f t="shared" si="1"/>
        <v>16250000</v>
      </c>
      <c r="M366" s="11">
        <f>975000000/60</f>
        <v>16250000</v>
      </c>
      <c r="Z366" s="8" t="s">
        <v>2343</v>
      </c>
    </row>
    <row r="367">
      <c r="A367" s="3" t="s">
        <v>1095</v>
      </c>
      <c r="B367" s="4" t="s">
        <v>2670</v>
      </c>
      <c r="C367" s="1" t="s">
        <v>2671</v>
      </c>
      <c r="D367" s="3" t="s">
        <v>2672</v>
      </c>
      <c r="E367" s="1" t="s">
        <v>30</v>
      </c>
      <c r="F367" s="5">
        <v>13880.0</v>
      </c>
      <c r="G367" s="1" t="s">
        <v>31</v>
      </c>
      <c r="H367" s="9">
        <v>8.13E10</v>
      </c>
      <c r="I367" s="1">
        <v>-6.3029691</v>
      </c>
      <c r="J367" s="3">
        <v>106.9160263</v>
      </c>
      <c r="K367" s="6" t="s">
        <v>2673</v>
      </c>
      <c r="L367" s="11">
        <f t="shared" si="1"/>
        <v>19539473.68</v>
      </c>
      <c r="M367" s="11">
        <f>2870000000/133</f>
        <v>21578947.37</v>
      </c>
      <c r="N367" s="11">
        <f>1680000000/96</f>
        <v>17500000</v>
      </c>
      <c r="Z367" s="8" t="s">
        <v>2674</v>
      </c>
    </row>
    <row r="368">
      <c r="A368" s="3" t="s">
        <v>1095</v>
      </c>
      <c r="B368" s="4" t="s">
        <v>2675</v>
      </c>
      <c r="C368" s="1" t="s">
        <v>2676</v>
      </c>
      <c r="D368" s="3" t="s">
        <v>2677</v>
      </c>
      <c r="E368" s="1" t="s">
        <v>30</v>
      </c>
      <c r="F368" s="5">
        <v>13730.0</v>
      </c>
      <c r="G368" s="1" t="s">
        <v>31</v>
      </c>
      <c r="H368" s="14" t="s">
        <v>32</v>
      </c>
      <c r="I368" s="1">
        <v>-6.3376449</v>
      </c>
      <c r="J368" s="3">
        <v>106.8877871</v>
      </c>
      <c r="K368" s="6" t="s">
        <v>2678</v>
      </c>
      <c r="L368" s="11">
        <f t="shared" si="1"/>
        <v>19166666.67</v>
      </c>
      <c r="M368" s="11">
        <f>2300000000/120</f>
        <v>19166666.67</v>
      </c>
      <c r="Z368" s="8" t="s">
        <v>2679</v>
      </c>
    </row>
    <row r="369">
      <c r="A369" s="3" t="s">
        <v>1095</v>
      </c>
      <c r="B369" s="4" t="s">
        <v>2680</v>
      </c>
      <c r="C369" s="1" t="s">
        <v>2681</v>
      </c>
      <c r="D369" s="3" t="s">
        <v>2682</v>
      </c>
      <c r="E369" s="1" t="s">
        <v>30</v>
      </c>
      <c r="F369" s="5">
        <v>13520.0</v>
      </c>
      <c r="G369" s="1" t="s">
        <v>31</v>
      </c>
      <c r="H369" s="14" t="s">
        <v>32</v>
      </c>
      <c r="I369" s="1">
        <v>-6.2910352</v>
      </c>
      <c r="J369" s="3">
        <v>106.8581347</v>
      </c>
      <c r="K369" s="6" t="s">
        <v>2683</v>
      </c>
      <c r="L369" s="11" t="str">
        <f t="shared" si="1"/>
        <v/>
      </c>
      <c r="Z369" s="2" t="s">
        <v>34</v>
      </c>
    </row>
    <row r="370">
      <c r="A370" s="3" t="s">
        <v>1095</v>
      </c>
      <c r="B370" s="4" t="s">
        <v>2684</v>
      </c>
      <c r="C370" s="1" t="s">
        <v>2685</v>
      </c>
      <c r="D370" s="3" t="s">
        <v>2686</v>
      </c>
      <c r="E370" s="1" t="s">
        <v>30</v>
      </c>
      <c r="F370" s="5">
        <v>13540.0</v>
      </c>
      <c r="G370" s="1" t="s">
        <v>31</v>
      </c>
      <c r="H370" s="14" t="s">
        <v>32</v>
      </c>
      <c r="I370" s="1">
        <v>-6.2875834</v>
      </c>
      <c r="J370" s="3">
        <v>106.8627138</v>
      </c>
      <c r="K370" s="6" t="s">
        <v>2687</v>
      </c>
      <c r="L370" s="11" t="str">
        <f t="shared" si="1"/>
        <v/>
      </c>
      <c r="Z370" s="2" t="s">
        <v>34</v>
      </c>
    </row>
    <row r="371">
      <c r="A371" s="3" t="s">
        <v>1095</v>
      </c>
      <c r="B371" s="4" t="s">
        <v>2688</v>
      </c>
      <c r="C371" s="1" t="s">
        <v>2689</v>
      </c>
      <c r="D371" s="3" t="s">
        <v>1691</v>
      </c>
      <c r="E371" s="1" t="s">
        <v>30</v>
      </c>
      <c r="F371" s="5">
        <v>13550.0</v>
      </c>
      <c r="G371" s="1" t="s">
        <v>31</v>
      </c>
      <c r="H371" s="14" t="s">
        <v>32</v>
      </c>
      <c r="I371" s="1">
        <v>-6.3028851</v>
      </c>
      <c r="J371" s="3">
        <v>106.8780145</v>
      </c>
      <c r="K371" s="6" t="s">
        <v>2690</v>
      </c>
      <c r="L371" s="11">
        <f t="shared" si="1"/>
        <v>11250000</v>
      </c>
      <c r="M371" s="11">
        <f>1350000000/120</f>
        <v>11250000</v>
      </c>
      <c r="Z371" s="8" t="s">
        <v>2691</v>
      </c>
    </row>
    <row r="372">
      <c r="A372" s="3" t="s">
        <v>1095</v>
      </c>
      <c r="B372" s="4" t="s">
        <v>2692</v>
      </c>
      <c r="C372" s="1" t="s">
        <v>2693</v>
      </c>
      <c r="D372" s="3" t="s">
        <v>1682</v>
      </c>
      <c r="E372" s="1" t="s">
        <v>30</v>
      </c>
      <c r="F372" s="5">
        <v>13550.0</v>
      </c>
      <c r="G372" s="1" t="s">
        <v>31</v>
      </c>
      <c r="H372" s="9">
        <v>8.13E10</v>
      </c>
      <c r="I372" s="1">
        <v>-6.303348</v>
      </c>
      <c r="J372" s="3">
        <v>106.8795812</v>
      </c>
      <c r="K372" s="6" t="s">
        <v>2694</v>
      </c>
      <c r="L372" s="11" t="str">
        <f t="shared" si="1"/>
        <v/>
      </c>
      <c r="Z372" s="2" t="s">
        <v>34</v>
      </c>
    </row>
    <row r="373">
      <c r="A373" s="3" t="s">
        <v>1095</v>
      </c>
      <c r="B373" s="4" t="s">
        <v>2695</v>
      </c>
      <c r="C373" s="1" t="s">
        <v>2696</v>
      </c>
      <c r="D373" s="3" t="s">
        <v>2697</v>
      </c>
      <c r="E373" s="1" t="s">
        <v>30</v>
      </c>
      <c r="F373" s="5">
        <v>13640.0</v>
      </c>
      <c r="G373" s="1" t="s">
        <v>31</v>
      </c>
      <c r="H373" s="3" t="s">
        <v>32</v>
      </c>
      <c r="I373" s="1">
        <v>-6.2622669</v>
      </c>
      <c r="J373" s="3">
        <v>106.8613011</v>
      </c>
      <c r="K373" s="6" t="s">
        <v>2698</v>
      </c>
      <c r="L373" s="11" t="str">
        <f t="shared" si="1"/>
        <v/>
      </c>
      <c r="Z373" s="2" t="s">
        <v>34</v>
      </c>
    </row>
    <row r="374">
      <c r="A374" s="3" t="s">
        <v>1095</v>
      </c>
      <c r="B374" s="4" t="s">
        <v>2699</v>
      </c>
      <c r="C374" s="1" t="s">
        <v>2700</v>
      </c>
      <c r="D374" s="3" t="s">
        <v>2701</v>
      </c>
      <c r="E374" s="1" t="s">
        <v>30</v>
      </c>
      <c r="F374" s="5">
        <v>13710.0</v>
      </c>
      <c r="G374" s="1" t="s">
        <v>31</v>
      </c>
      <c r="H374" s="3" t="s">
        <v>32</v>
      </c>
      <c r="I374" s="1">
        <v>-6.3419275</v>
      </c>
      <c r="J374" s="3">
        <v>106.8606732</v>
      </c>
      <c r="K374" s="6" t="s">
        <v>2702</v>
      </c>
      <c r="L374" s="11">
        <f t="shared" si="1"/>
        <v>29000000</v>
      </c>
      <c r="M374" s="11">
        <f>870000000/30</f>
        <v>29000000</v>
      </c>
      <c r="Z374" s="8" t="s">
        <v>2703</v>
      </c>
    </row>
    <row r="375">
      <c r="A375" s="3" t="s">
        <v>1095</v>
      </c>
      <c r="B375" s="4" t="s">
        <v>2704</v>
      </c>
      <c r="C375" s="1" t="s">
        <v>2705</v>
      </c>
      <c r="D375" s="3" t="s">
        <v>2706</v>
      </c>
      <c r="E375" s="1" t="s">
        <v>30</v>
      </c>
      <c r="F375" s="5">
        <v>13710.0</v>
      </c>
      <c r="G375" s="1" t="s">
        <v>31</v>
      </c>
      <c r="H375" s="14" t="s">
        <v>32</v>
      </c>
      <c r="I375" s="1">
        <v>-6.3458665</v>
      </c>
      <c r="J375" s="3">
        <v>106.8576062</v>
      </c>
      <c r="K375" s="6" t="s">
        <v>2707</v>
      </c>
      <c r="L375" s="11" t="str">
        <f t="shared" si="1"/>
        <v/>
      </c>
      <c r="Z375" s="2" t="s">
        <v>34</v>
      </c>
    </row>
    <row r="376">
      <c r="A376" s="3" t="s">
        <v>1095</v>
      </c>
      <c r="B376" s="4" t="s">
        <v>2708</v>
      </c>
      <c r="C376" s="1" t="s">
        <v>2709</v>
      </c>
      <c r="D376" s="3" t="s">
        <v>2710</v>
      </c>
      <c r="E376" s="1" t="s">
        <v>30</v>
      </c>
      <c r="F376" s="5">
        <v>13790.0</v>
      </c>
      <c r="G376" s="1" t="s">
        <v>31</v>
      </c>
      <c r="H376" s="3" t="s">
        <v>32</v>
      </c>
      <c r="I376" s="1">
        <v>-6.331258</v>
      </c>
      <c r="J376" s="3">
        <v>106.8590281</v>
      </c>
      <c r="K376" s="6" t="s">
        <v>2711</v>
      </c>
      <c r="L376" s="11" t="str">
        <f t="shared" si="1"/>
        <v/>
      </c>
      <c r="Z376" s="2" t="s">
        <v>34</v>
      </c>
    </row>
    <row r="377">
      <c r="A377" s="3" t="s">
        <v>1095</v>
      </c>
      <c r="B377" s="4" t="s">
        <v>2712</v>
      </c>
      <c r="C377" s="1" t="s">
        <v>2713</v>
      </c>
      <c r="D377" s="3" t="s">
        <v>2714</v>
      </c>
      <c r="E377" s="1" t="s">
        <v>30</v>
      </c>
      <c r="F377" s="5">
        <v>13790.0</v>
      </c>
      <c r="G377" s="1" t="s">
        <v>31</v>
      </c>
      <c r="H377" s="3" t="s">
        <v>32</v>
      </c>
      <c r="I377" s="1">
        <v>-6.340396</v>
      </c>
      <c r="J377" s="3">
        <v>106.8560891</v>
      </c>
      <c r="K377" s="6" t="s">
        <v>2715</v>
      </c>
      <c r="L377" s="11" t="str">
        <f t="shared" si="1"/>
        <v/>
      </c>
      <c r="Z377" s="2" t="s">
        <v>34</v>
      </c>
    </row>
    <row r="378">
      <c r="A378" s="3" t="s">
        <v>1095</v>
      </c>
      <c r="B378" s="4" t="s">
        <v>2716</v>
      </c>
      <c r="C378" s="1" t="s">
        <v>2717</v>
      </c>
      <c r="D378" s="3" t="s">
        <v>2718</v>
      </c>
      <c r="E378" s="1" t="s">
        <v>30</v>
      </c>
      <c r="F378" s="5">
        <v>13210.0</v>
      </c>
      <c r="G378" s="1" t="s">
        <v>31</v>
      </c>
      <c r="H378" s="3" t="s">
        <v>32</v>
      </c>
      <c r="I378" s="1">
        <v>-6.1801191</v>
      </c>
      <c r="J378" s="3">
        <v>106.8868556</v>
      </c>
      <c r="K378" s="6" t="s">
        <v>2719</v>
      </c>
      <c r="L378" s="11">
        <f t="shared" si="1"/>
        <v>54666666.67</v>
      </c>
      <c r="M378" s="11">
        <f>6500000000/150</f>
        <v>43333333.33</v>
      </c>
      <c r="N378" s="11">
        <f>9900000000/150</f>
        <v>66000000</v>
      </c>
      <c r="Z378" s="8" t="s">
        <v>1053</v>
      </c>
    </row>
    <row r="379">
      <c r="J379" s="11">
        <f>sum(K379:Y379)</f>
        <v>642</v>
      </c>
      <c r="K379" s="11">
        <f>COUNTA(K2:K378)</f>
        <v>377</v>
      </c>
      <c r="M379" s="11">
        <f t="shared" ref="M379:Y379" si="2">COUNTA(M2:M378)</f>
        <v>221</v>
      </c>
      <c r="N379" s="11">
        <f t="shared" si="2"/>
        <v>25</v>
      </c>
      <c r="O379" s="11">
        <f t="shared" si="2"/>
        <v>11</v>
      </c>
      <c r="P379" s="11">
        <f t="shared" si="2"/>
        <v>3</v>
      </c>
      <c r="Q379" s="11">
        <f t="shared" si="2"/>
        <v>3</v>
      </c>
      <c r="R379" s="11">
        <f t="shared" si="2"/>
        <v>1</v>
      </c>
      <c r="S379" s="11">
        <f t="shared" si="2"/>
        <v>1</v>
      </c>
      <c r="T379" s="11">
        <f t="shared" si="2"/>
        <v>0</v>
      </c>
      <c r="U379" s="11">
        <f t="shared" si="2"/>
        <v>0</v>
      </c>
      <c r="V379" s="11">
        <f t="shared" si="2"/>
        <v>0</v>
      </c>
      <c r="W379" s="11">
        <f t="shared" si="2"/>
        <v>0</v>
      </c>
      <c r="X379" s="11">
        <f t="shared" si="2"/>
        <v>0</v>
      </c>
      <c r="Y379" s="11">
        <f t="shared" si="2"/>
        <v>0</v>
      </c>
    </row>
  </sheetData>
  <hyperlinks>
    <hyperlink r:id="rId1" ref="K2"/>
    <hyperlink r:id="rId2" ref="Z2"/>
    <hyperlink r:id="rId3" ref="K3"/>
    <hyperlink r:id="rId4" ref="Z3"/>
    <hyperlink r:id="rId5" ref="K4"/>
    <hyperlink r:id="rId6" ref="K5"/>
    <hyperlink r:id="rId7" ref="Z5"/>
    <hyperlink r:id="rId8" ref="K6"/>
    <hyperlink r:id="rId9" ref="Z6"/>
    <hyperlink r:id="rId10" ref="K7"/>
    <hyperlink r:id="rId11" ref="Z7"/>
    <hyperlink r:id="rId12" ref="K8"/>
    <hyperlink r:id="rId13" ref="Z8"/>
    <hyperlink r:id="rId14" ref="K9"/>
    <hyperlink r:id="rId15" ref="K10"/>
    <hyperlink r:id="rId16" ref="K11"/>
    <hyperlink r:id="rId17" ref="Z11"/>
    <hyperlink r:id="rId18" ref="K12"/>
    <hyperlink r:id="rId19" ref="Z12"/>
    <hyperlink r:id="rId20" ref="K13"/>
    <hyperlink r:id="rId21" ref="K14"/>
    <hyperlink r:id="rId22" ref="K15"/>
    <hyperlink r:id="rId23" ref="Z15"/>
    <hyperlink r:id="rId24" ref="K16"/>
    <hyperlink r:id="rId25" ref="K17"/>
    <hyperlink r:id="rId26" ref="K18"/>
    <hyperlink r:id="rId27" ref="Z18"/>
    <hyperlink r:id="rId28" ref="K19"/>
    <hyperlink r:id="rId29" ref="Z19"/>
    <hyperlink r:id="rId30" ref="K20"/>
    <hyperlink r:id="rId31" ref="Z20"/>
    <hyperlink r:id="rId32" ref="K21"/>
    <hyperlink r:id="rId33" ref="Z21"/>
    <hyperlink r:id="rId34" ref="K22"/>
    <hyperlink r:id="rId35" ref="Z22"/>
    <hyperlink r:id="rId36" ref="K23"/>
    <hyperlink r:id="rId37" ref="K24"/>
    <hyperlink r:id="rId38" ref="Z24"/>
    <hyperlink r:id="rId39" ref="K25"/>
    <hyperlink r:id="rId40" ref="Z25"/>
    <hyperlink r:id="rId41" ref="K26"/>
    <hyperlink r:id="rId42" ref="Z26"/>
    <hyperlink r:id="rId43" ref="K27"/>
    <hyperlink r:id="rId44" ref="K28"/>
    <hyperlink r:id="rId45" ref="Z28"/>
    <hyperlink r:id="rId46" ref="K29"/>
    <hyperlink r:id="rId47" ref="Z29"/>
    <hyperlink r:id="rId48" ref="K30"/>
    <hyperlink r:id="rId49" ref="Z30"/>
    <hyperlink r:id="rId50" ref="K31"/>
    <hyperlink r:id="rId51" ref="K32"/>
    <hyperlink r:id="rId52" ref="Z32"/>
    <hyperlink r:id="rId53" ref="K33"/>
    <hyperlink r:id="rId54" ref="Z33"/>
    <hyperlink r:id="rId55" ref="K34"/>
    <hyperlink r:id="rId56" ref="K35"/>
    <hyperlink r:id="rId57" ref="K36"/>
    <hyperlink r:id="rId58" ref="Z36"/>
    <hyperlink r:id="rId59" ref="K37"/>
    <hyperlink r:id="rId60" ref="Z37"/>
    <hyperlink r:id="rId61" ref="K38"/>
    <hyperlink r:id="rId62" ref="Z38"/>
    <hyperlink r:id="rId63" ref="K39"/>
    <hyperlink r:id="rId64" ref="Z39"/>
    <hyperlink r:id="rId65" ref="K40"/>
    <hyperlink r:id="rId66" ref="Z40"/>
    <hyperlink r:id="rId67" ref="K41"/>
    <hyperlink r:id="rId68" ref="Z41"/>
    <hyperlink r:id="rId69" ref="K42"/>
    <hyperlink r:id="rId70" ref="Z42"/>
    <hyperlink r:id="rId71" ref="K43"/>
    <hyperlink r:id="rId72" ref="Z43"/>
    <hyperlink r:id="rId73" ref="K44"/>
    <hyperlink r:id="rId74" ref="Z44"/>
    <hyperlink r:id="rId75" ref="K45"/>
    <hyperlink r:id="rId76" ref="Z45"/>
    <hyperlink r:id="rId77" ref="K46"/>
    <hyperlink r:id="rId78" ref="K47"/>
    <hyperlink r:id="rId79" ref="K48"/>
    <hyperlink r:id="rId80" ref="Z48"/>
    <hyperlink r:id="rId81" ref="K49"/>
    <hyperlink r:id="rId82" ref="Z49"/>
    <hyperlink r:id="rId83" ref="K50"/>
    <hyperlink r:id="rId84" ref="K51"/>
    <hyperlink r:id="rId85" ref="K52"/>
    <hyperlink r:id="rId86" ref="Z52"/>
    <hyperlink r:id="rId87" ref="K53"/>
    <hyperlink r:id="rId88" ref="K54"/>
    <hyperlink r:id="rId89" ref="Z54"/>
    <hyperlink r:id="rId90" ref="K55"/>
    <hyperlink r:id="rId91" ref="Z55"/>
    <hyperlink r:id="rId92" ref="K56"/>
    <hyperlink r:id="rId93" ref="Z56"/>
    <hyperlink r:id="rId94" ref="K57"/>
    <hyperlink r:id="rId95" ref="Z57"/>
    <hyperlink r:id="rId96" ref="K58"/>
    <hyperlink r:id="rId97" ref="Z58"/>
    <hyperlink r:id="rId98" ref="K59"/>
    <hyperlink r:id="rId99" ref="Z59"/>
    <hyperlink r:id="rId100" ref="K60"/>
    <hyperlink r:id="rId101" ref="K61"/>
    <hyperlink r:id="rId102" ref="K62"/>
    <hyperlink r:id="rId103" ref="Z62"/>
    <hyperlink r:id="rId104" ref="K63"/>
    <hyperlink r:id="rId105" ref="Z63"/>
    <hyperlink r:id="rId106" ref="K64"/>
    <hyperlink r:id="rId107" ref="Z64"/>
    <hyperlink r:id="rId108" ref="K65"/>
    <hyperlink r:id="rId109" ref="Z65"/>
    <hyperlink r:id="rId110" ref="K66"/>
    <hyperlink r:id="rId111" ref="Z66"/>
    <hyperlink r:id="rId112" ref="K67"/>
    <hyperlink r:id="rId113" ref="Z67"/>
    <hyperlink r:id="rId114" ref="K68"/>
    <hyperlink r:id="rId115" ref="K69"/>
    <hyperlink r:id="rId116" ref="K70"/>
    <hyperlink r:id="rId117" ref="Z70"/>
    <hyperlink r:id="rId118" ref="K71"/>
    <hyperlink r:id="rId119" ref="Z71"/>
    <hyperlink r:id="rId120" ref="K72"/>
    <hyperlink r:id="rId121" ref="Z72"/>
    <hyperlink r:id="rId122" ref="K73"/>
    <hyperlink r:id="rId123" ref="Z73"/>
    <hyperlink r:id="rId124" ref="K74"/>
    <hyperlink r:id="rId125" ref="Z74"/>
    <hyperlink r:id="rId126" ref="K75"/>
    <hyperlink r:id="rId127" ref="Z75"/>
    <hyperlink r:id="rId128" ref="K76"/>
    <hyperlink r:id="rId129" ref="Z76"/>
    <hyperlink r:id="rId130" ref="K77"/>
    <hyperlink r:id="rId131" ref="K78"/>
    <hyperlink r:id="rId132" ref="Z78"/>
    <hyperlink r:id="rId133" ref="K79"/>
    <hyperlink r:id="rId134" ref="Z79"/>
    <hyperlink r:id="rId135" ref="K80"/>
    <hyperlink r:id="rId136" ref="K81"/>
    <hyperlink r:id="rId137" ref="Z81"/>
    <hyperlink r:id="rId138" ref="K82"/>
    <hyperlink r:id="rId139" ref="Z82"/>
    <hyperlink r:id="rId140" ref="K83"/>
    <hyperlink r:id="rId141" ref="K84"/>
    <hyperlink r:id="rId142" ref="K85"/>
    <hyperlink r:id="rId143" ref="Z85"/>
    <hyperlink r:id="rId144" ref="K86"/>
    <hyperlink r:id="rId145" ref="K87"/>
    <hyperlink r:id="rId146" ref="Z87"/>
    <hyperlink r:id="rId147" ref="K88"/>
    <hyperlink r:id="rId148" ref="Z88"/>
    <hyperlink r:id="rId149" ref="K89"/>
    <hyperlink r:id="rId150" ref="K90"/>
    <hyperlink r:id="rId151" ref="Z90"/>
    <hyperlink r:id="rId152" ref="K91"/>
    <hyperlink r:id="rId153" ref="Z91"/>
    <hyperlink r:id="rId154" ref="K92"/>
    <hyperlink r:id="rId155" ref="K93"/>
    <hyperlink r:id="rId156" ref="K94"/>
    <hyperlink r:id="rId157" ref="K95"/>
    <hyperlink r:id="rId158" ref="Z95"/>
    <hyperlink r:id="rId159" ref="K96"/>
    <hyperlink r:id="rId160" ref="Z96"/>
    <hyperlink r:id="rId161" ref="K97"/>
    <hyperlink r:id="rId162" ref="Z97"/>
    <hyperlink r:id="rId163" ref="K98"/>
    <hyperlink r:id="rId164" ref="K99"/>
    <hyperlink r:id="rId165" ref="Z99"/>
    <hyperlink r:id="rId166" ref="K100"/>
    <hyperlink r:id="rId167" ref="Z100"/>
    <hyperlink r:id="rId168" ref="K101"/>
    <hyperlink r:id="rId169" ref="K102"/>
    <hyperlink r:id="rId170" ref="Z102"/>
    <hyperlink r:id="rId171" ref="K103"/>
    <hyperlink r:id="rId172" ref="K104"/>
    <hyperlink r:id="rId173" ref="Z104"/>
    <hyperlink r:id="rId174" ref="K105"/>
    <hyperlink r:id="rId175" ref="Z105"/>
    <hyperlink r:id="rId176" ref="K106"/>
    <hyperlink r:id="rId177" ref="Z106"/>
    <hyperlink r:id="rId178" ref="K107"/>
    <hyperlink r:id="rId179" ref="K108"/>
    <hyperlink r:id="rId180" ref="Z108"/>
    <hyperlink r:id="rId181" ref="K109"/>
    <hyperlink r:id="rId182" ref="K110"/>
    <hyperlink r:id="rId183" ref="Z110"/>
    <hyperlink r:id="rId184" ref="K111"/>
    <hyperlink r:id="rId185" ref="Z111"/>
    <hyperlink r:id="rId186" ref="K112"/>
    <hyperlink r:id="rId187" ref="Z112"/>
    <hyperlink r:id="rId188" ref="K113"/>
    <hyperlink r:id="rId189" ref="K114"/>
    <hyperlink r:id="rId190" ref="Z114"/>
    <hyperlink r:id="rId191" ref="K115"/>
    <hyperlink r:id="rId192" ref="Z115"/>
    <hyperlink r:id="rId193" ref="K116"/>
    <hyperlink r:id="rId194" ref="Z116"/>
    <hyperlink r:id="rId195" ref="K117"/>
    <hyperlink r:id="rId196" ref="Z117"/>
    <hyperlink r:id="rId197" ref="K118"/>
    <hyperlink r:id="rId198" ref="Z118"/>
    <hyperlink r:id="rId199" ref="K119"/>
    <hyperlink r:id="rId200" ref="Z119"/>
    <hyperlink r:id="rId201" ref="K120"/>
    <hyperlink r:id="rId202" ref="Z120"/>
    <hyperlink r:id="rId203" ref="K121"/>
    <hyperlink r:id="rId204" ref="Z121"/>
    <hyperlink r:id="rId205" ref="K122"/>
    <hyperlink r:id="rId206" ref="Z122"/>
    <hyperlink r:id="rId207" ref="K123"/>
    <hyperlink r:id="rId208" ref="K124"/>
    <hyperlink r:id="rId209" ref="Z124"/>
    <hyperlink r:id="rId210" ref="K125"/>
    <hyperlink r:id="rId211" ref="K126"/>
    <hyperlink r:id="rId212" ref="Z126"/>
    <hyperlink r:id="rId213" ref="K127"/>
    <hyperlink r:id="rId214" ref="Z127"/>
    <hyperlink r:id="rId215" ref="K128"/>
    <hyperlink r:id="rId216" ref="Z128"/>
    <hyperlink r:id="rId217" ref="K129"/>
    <hyperlink r:id="rId218" ref="Z129"/>
    <hyperlink r:id="rId219" ref="K130"/>
    <hyperlink r:id="rId220" ref="K131"/>
    <hyperlink r:id="rId221" ref="Z131"/>
    <hyperlink r:id="rId222" ref="K132"/>
    <hyperlink r:id="rId223" ref="Z132"/>
    <hyperlink r:id="rId224" ref="K133"/>
    <hyperlink r:id="rId225" ref="Z133"/>
    <hyperlink r:id="rId226" ref="K134"/>
    <hyperlink r:id="rId227" ref="Z134"/>
    <hyperlink r:id="rId228" ref="K135"/>
    <hyperlink r:id="rId229" ref="K136"/>
    <hyperlink r:id="rId230" ref="Z136"/>
    <hyperlink r:id="rId231" ref="K137"/>
    <hyperlink r:id="rId232" ref="Z137"/>
    <hyperlink r:id="rId233" ref="K138"/>
    <hyperlink r:id="rId234" ref="Z138"/>
    <hyperlink r:id="rId235" ref="K139"/>
    <hyperlink r:id="rId236" ref="K140"/>
    <hyperlink r:id="rId237" ref="K141"/>
    <hyperlink r:id="rId238" ref="Z141"/>
    <hyperlink r:id="rId239" ref="K142"/>
    <hyperlink r:id="rId240" ref="Z142"/>
    <hyperlink r:id="rId241" ref="K143"/>
    <hyperlink r:id="rId242" ref="Z143"/>
    <hyperlink r:id="rId243" ref="K144"/>
    <hyperlink r:id="rId244" ref="K145"/>
    <hyperlink r:id="rId245" ref="Z145"/>
    <hyperlink r:id="rId246" ref="K146"/>
    <hyperlink r:id="rId247" ref="K147"/>
    <hyperlink r:id="rId248" ref="K148"/>
    <hyperlink r:id="rId249" ref="K149"/>
    <hyperlink r:id="rId250" ref="K150"/>
    <hyperlink r:id="rId251" ref="Z150"/>
    <hyperlink r:id="rId252" ref="K151"/>
    <hyperlink r:id="rId253" ref="Z151"/>
    <hyperlink r:id="rId254" ref="K152"/>
    <hyperlink r:id="rId255" ref="K153"/>
    <hyperlink r:id="rId256" ref="K154"/>
    <hyperlink r:id="rId257" ref="K155"/>
    <hyperlink r:id="rId258" ref="Z155"/>
    <hyperlink r:id="rId259" ref="K156"/>
    <hyperlink r:id="rId260" ref="K157"/>
    <hyperlink r:id="rId261" ref="K158"/>
    <hyperlink r:id="rId262" ref="K159"/>
    <hyperlink r:id="rId263" ref="Z159"/>
    <hyperlink r:id="rId264" ref="K160"/>
    <hyperlink r:id="rId265" ref="K161"/>
    <hyperlink r:id="rId266" ref="K162"/>
    <hyperlink r:id="rId267" ref="K163"/>
    <hyperlink r:id="rId268" ref="Z163"/>
    <hyperlink r:id="rId269" ref="K164"/>
    <hyperlink r:id="rId270" ref="K165"/>
    <hyperlink r:id="rId271" ref="Z165"/>
    <hyperlink r:id="rId272" ref="K166"/>
    <hyperlink r:id="rId273" ref="K167"/>
    <hyperlink r:id="rId274" ref="Z167"/>
    <hyperlink r:id="rId275" ref="K168"/>
    <hyperlink r:id="rId276" ref="K169"/>
    <hyperlink r:id="rId277" ref="K170"/>
    <hyperlink r:id="rId278" ref="K171"/>
    <hyperlink r:id="rId279" ref="Z171"/>
    <hyperlink r:id="rId280" ref="K172"/>
    <hyperlink r:id="rId281" ref="K173"/>
    <hyperlink r:id="rId282" ref="Z173"/>
    <hyperlink r:id="rId283" ref="K174"/>
    <hyperlink r:id="rId284" ref="Z174"/>
    <hyperlink r:id="rId285" ref="K175"/>
    <hyperlink r:id="rId286" ref="K176"/>
    <hyperlink r:id="rId287" ref="K177"/>
    <hyperlink r:id="rId288" ref="K178"/>
    <hyperlink r:id="rId289" ref="K179"/>
    <hyperlink r:id="rId290" ref="Z179"/>
    <hyperlink r:id="rId291" ref="K180"/>
    <hyperlink r:id="rId292" ref="K181"/>
    <hyperlink r:id="rId293" ref="Z181"/>
    <hyperlink r:id="rId294" ref="K182"/>
    <hyperlink r:id="rId295" ref="Z182"/>
    <hyperlink r:id="rId296" ref="K183"/>
    <hyperlink r:id="rId297" ref="Z183"/>
    <hyperlink r:id="rId298" ref="K184"/>
    <hyperlink r:id="rId299" ref="K185"/>
    <hyperlink r:id="rId300" ref="K186"/>
    <hyperlink r:id="rId301" ref="Z186"/>
    <hyperlink r:id="rId302" ref="K187"/>
    <hyperlink r:id="rId303" ref="Z187"/>
    <hyperlink r:id="rId304" ref="K188"/>
    <hyperlink r:id="rId305" ref="Z188"/>
    <hyperlink r:id="rId306" ref="K189"/>
    <hyperlink r:id="rId307" ref="K190"/>
    <hyperlink r:id="rId308" ref="Z190"/>
    <hyperlink r:id="rId309" ref="K191"/>
    <hyperlink r:id="rId310" ref="Z191"/>
    <hyperlink r:id="rId311" ref="K192"/>
    <hyperlink r:id="rId312" ref="Z192"/>
    <hyperlink r:id="rId313" ref="K193"/>
    <hyperlink r:id="rId314" ref="Z193"/>
    <hyperlink r:id="rId315" ref="K194"/>
    <hyperlink r:id="rId316" ref="K195"/>
    <hyperlink r:id="rId317" ref="Z195"/>
    <hyperlink r:id="rId318" ref="K196"/>
    <hyperlink r:id="rId319" ref="Z196"/>
    <hyperlink r:id="rId320" ref="K197"/>
    <hyperlink r:id="rId321" ref="K198"/>
    <hyperlink r:id="rId322" ref="K199"/>
    <hyperlink r:id="rId323" ref="K200"/>
    <hyperlink r:id="rId324" ref="K201"/>
    <hyperlink r:id="rId325" ref="K202"/>
    <hyperlink r:id="rId326" ref="Z202"/>
    <hyperlink r:id="rId327" ref="K203"/>
    <hyperlink r:id="rId328" ref="K204"/>
    <hyperlink r:id="rId329" ref="K205"/>
    <hyperlink r:id="rId330" ref="K206"/>
    <hyperlink r:id="rId331" ref="Z206"/>
    <hyperlink r:id="rId332" ref="K207"/>
    <hyperlink r:id="rId333" ref="Z207"/>
    <hyperlink r:id="rId334" ref="K208"/>
    <hyperlink r:id="rId335" ref="Z208"/>
    <hyperlink r:id="rId336" ref="K209"/>
    <hyperlink r:id="rId337" ref="K210"/>
    <hyperlink r:id="rId338" ref="Z210"/>
    <hyperlink r:id="rId339" ref="K211"/>
    <hyperlink r:id="rId340" ref="K212"/>
    <hyperlink r:id="rId341" ref="K213"/>
    <hyperlink r:id="rId342" ref="Z213"/>
    <hyperlink r:id="rId343" ref="K214"/>
    <hyperlink r:id="rId344" ref="Z214"/>
    <hyperlink r:id="rId345" ref="K215"/>
    <hyperlink r:id="rId346" ref="Z215"/>
    <hyperlink r:id="rId347" ref="K216"/>
    <hyperlink r:id="rId348" ref="K217"/>
    <hyperlink r:id="rId349" ref="K218"/>
    <hyperlink r:id="rId350" ref="Z218"/>
    <hyperlink r:id="rId351" ref="K219"/>
    <hyperlink r:id="rId352" ref="Z219"/>
    <hyperlink r:id="rId353" ref="K220"/>
    <hyperlink r:id="rId354" ref="Z220"/>
    <hyperlink r:id="rId355" ref="K221"/>
    <hyperlink r:id="rId356" ref="K222"/>
    <hyperlink r:id="rId357" ref="K223"/>
    <hyperlink r:id="rId358" ref="K224"/>
    <hyperlink r:id="rId359" ref="K225"/>
    <hyperlink r:id="rId360" ref="Z225"/>
    <hyperlink r:id="rId361" ref="K226"/>
    <hyperlink r:id="rId362" ref="Z226"/>
    <hyperlink r:id="rId363" ref="K227"/>
    <hyperlink r:id="rId364" ref="K228"/>
    <hyperlink r:id="rId365" ref="Z228"/>
    <hyperlink r:id="rId366" ref="K229"/>
    <hyperlink r:id="rId367" ref="Z229"/>
    <hyperlink r:id="rId368" ref="K230"/>
    <hyperlink r:id="rId369" ref="Z230"/>
    <hyperlink r:id="rId370" ref="K231"/>
    <hyperlink r:id="rId371" ref="K232"/>
    <hyperlink r:id="rId372" ref="Z232"/>
    <hyperlink r:id="rId373" ref="K233"/>
    <hyperlink r:id="rId374" ref="Z233"/>
    <hyperlink r:id="rId375" ref="K234"/>
    <hyperlink r:id="rId376" ref="K235"/>
    <hyperlink r:id="rId377" ref="Z235"/>
    <hyperlink r:id="rId378" ref="K236"/>
    <hyperlink r:id="rId379" ref="Z236"/>
    <hyperlink r:id="rId380" ref="K237"/>
    <hyperlink r:id="rId381" ref="K238"/>
    <hyperlink r:id="rId382" ref="Z238"/>
    <hyperlink r:id="rId383" ref="K239"/>
    <hyperlink r:id="rId384" ref="K240"/>
    <hyperlink r:id="rId385" ref="K241"/>
    <hyperlink r:id="rId386" ref="Z241"/>
    <hyperlink r:id="rId387" ref="K242"/>
    <hyperlink r:id="rId388" ref="Z242"/>
    <hyperlink r:id="rId389" ref="K243"/>
    <hyperlink r:id="rId390" ref="K244"/>
    <hyperlink r:id="rId391" ref="K245"/>
    <hyperlink r:id="rId392" ref="K246"/>
    <hyperlink r:id="rId393" ref="K247"/>
    <hyperlink r:id="rId394" ref="Z247"/>
    <hyperlink r:id="rId395" ref="K248"/>
    <hyperlink r:id="rId396" ref="K249"/>
    <hyperlink r:id="rId397" ref="Z249"/>
    <hyperlink r:id="rId398" ref="K250"/>
    <hyperlink r:id="rId399" ref="Z250"/>
    <hyperlink r:id="rId400" ref="K251"/>
    <hyperlink r:id="rId401" ref="Z251"/>
    <hyperlink r:id="rId402" ref="K252"/>
    <hyperlink r:id="rId403" ref="K253"/>
    <hyperlink r:id="rId404" ref="K254"/>
    <hyperlink r:id="rId405" ref="Z254"/>
    <hyperlink r:id="rId406" ref="K255"/>
    <hyperlink r:id="rId407" ref="Z255"/>
    <hyperlink r:id="rId408" ref="K256"/>
    <hyperlink r:id="rId409" ref="Z256"/>
    <hyperlink r:id="rId410" ref="K257"/>
    <hyperlink r:id="rId411" ref="K258"/>
    <hyperlink r:id="rId412" ref="Z258"/>
    <hyperlink r:id="rId413" ref="K259"/>
    <hyperlink r:id="rId414" ref="K260"/>
    <hyperlink r:id="rId415" ref="Z260"/>
    <hyperlink r:id="rId416" ref="K261"/>
    <hyperlink r:id="rId417" ref="K262"/>
    <hyperlink r:id="rId418" ref="Z262"/>
    <hyperlink r:id="rId419" ref="K263"/>
    <hyperlink r:id="rId420" ref="K264"/>
    <hyperlink r:id="rId421" ref="Z264"/>
    <hyperlink r:id="rId422" ref="K265"/>
    <hyperlink r:id="rId423" ref="K266"/>
    <hyperlink r:id="rId424" ref="Z266"/>
    <hyperlink r:id="rId425" ref="K267"/>
    <hyperlink r:id="rId426" ref="K268"/>
    <hyperlink r:id="rId427" ref="K269"/>
    <hyperlink r:id="rId428" ref="Z269"/>
    <hyperlink r:id="rId429" ref="K270"/>
    <hyperlink r:id="rId430" ref="Z270"/>
    <hyperlink r:id="rId431" ref="K271"/>
    <hyperlink r:id="rId432" ref="K272"/>
    <hyperlink r:id="rId433" ref="Z272"/>
    <hyperlink r:id="rId434" ref="K273"/>
    <hyperlink r:id="rId435" ref="Z273"/>
    <hyperlink r:id="rId436" ref="K274"/>
    <hyperlink r:id="rId437" ref="K275"/>
    <hyperlink r:id="rId438" ref="K276"/>
    <hyperlink r:id="rId439" ref="Z276"/>
    <hyperlink r:id="rId440" ref="K277"/>
    <hyperlink r:id="rId441" ref="Z277"/>
    <hyperlink r:id="rId442" ref="K278"/>
    <hyperlink r:id="rId443" ref="K279"/>
    <hyperlink r:id="rId444" ref="Z279"/>
    <hyperlink r:id="rId445" ref="K280"/>
    <hyperlink r:id="rId446" ref="K281"/>
    <hyperlink r:id="rId447" ref="K282"/>
    <hyperlink r:id="rId448" ref="K283"/>
    <hyperlink r:id="rId449" ref="K284"/>
    <hyperlink r:id="rId450" ref="Z284"/>
    <hyperlink r:id="rId451" ref="K285"/>
    <hyperlink r:id="rId452" ref="K286"/>
    <hyperlink r:id="rId453" ref="K287"/>
    <hyperlink r:id="rId454" ref="K288"/>
    <hyperlink r:id="rId455" ref="K289"/>
    <hyperlink r:id="rId456" ref="Z289"/>
    <hyperlink r:id="rId457" ref="K290"/>
    <hyperlink r:id="rId458" ref="Z290"/>
    <hyperlink r:id="rId459" ref="K291"/>
    <hyperlink r:id="rId460" ref="Z291"/>
    <hyperlink r:id="rId461" ref="K292"/>
    <hyperlink r:id="rId462" ref="K293"/>
    <hyperlink r:id="rId463" ref="Z293"/>
    <hyperlink r:id="rId464" ref="K294"/>
    <hyperlink r:id="rId465" ref="Z294"/>
    <hyperlink r:id="rId466" ref="K295"/>
    <hyperlink r:id="rId467" ref="K296"/>
    <hyperlink r:id="rId468" ref="Z296"/>
    <hyperlink r:id="rId469" ref="K297"/>
    <hyperlink r:id="rId470" ref="K298"/>
    <hyperlink r:id="rId471" ref="Z298"/>
    <hyperlink r:id="rId472" ref="K299"/>
    <hyperlink r:id="rId473" ref="Z299"/>
    <hyperlink r:id="rId474" ref="K300"/>
    <hyperlink r:id="rId475" ref="K301"/>
    <hyperlink r:id="rId476" ref="Z301"/>
    <hyperlink r:id="rId477" ref="K302"/>
    <hyperlink r:id="rId478" ref="Z302"/>
    <hyperlink r:id="rId479" ref="K303"/>
    <hyperlink r:id="rId480" ref="Z303"/>
    <hyperlink r:id="rId481" ref="K304"/>
    <hyperlink r:id="rId482" ref="Z304"/>
    <hyperlink r:id="rId483" ref="K305"/>
    <hyperlink r:id="rId484" ref="Z305"/>
    <hyperlink r:id="rId485" ref="K306"/>
    <hyperlink r:id="rId486" ref="K307"/>
    <hyperlink r:id="rId487" ref="K308"/>
    <hyperlink r:id="rId488" ref="K309"/>
    <hyperlink r:id="rId489" ref="K310"/>
    <hyperlink r:id="rId490" ref="Z310"/>
    <hyperlink r:id="rId491" ref="K311"/>
    <hyperlink r:id="rId492" ref="K312"/>
    <hyperlink r:id="rId493" ref="Z312"/>
    <hyperlink r:id="rId494" ref="K313"/>
    <hyperlink r:id="rId495" ref="Z313"/>
    <hyperlink r:id="rId496" ref="K314"/>
    <hyperlink r:id="rId497" ref="K315"/>
    <hyperlink r:id="rId498" ref="Z315"/>
    <hyperlink r:id="rId499" ref="K316"/>
    <hyperlink r:id="rId500" ref="Z316"/>
    <hyperlink r:id="rId501" ref="K317"/>
    <hyperlink r:id="rId502" ref="K318"/>
    <hyperlink r:id="rId503" ref="K319"/>
    <hyperlink r:id="rId504" ref="Z319"/>
    <hyperlink r:id="rId505" ref="K320"/>
    <hyperlink r:id="rId506" ref="Z320"/>
    <hyperlink r:id="rId507" ref="K321"/>
    <hyperlink r:id="rId508" ref="Z321"/>
    <hyperlink r:id="rId509" ref="K322"/>
    <hyperlink r:id="rId510" ref="K323"/>
    <hyperlink r:id="rId511" ref="K324"/>
    <hyperlink r:id="rId512" ref="Z324"/>
    <hyperlink r:id="rId513" ref="K325"/>
    <hyperlink r:id="rId514" ref="Z325"/>
    <hyperlink r:id="rId515" ref="K326"/>
    <hyperlink r:id="rId516" ref="Z326"/>
    <hyperlink r:id="rId517" ref="K327"/>
    <hyperlink r:id="rId518" ref="Z327"/>
    <hyperlink r:id="rId519" ref="K328"/>
    <hyperlink r:id="rId520" ref="Z328"/>
    <hyperlink r:id="rId521" ref="K329"/>
    <hyperlink r:id="rId522" ref="Z329"/>
    <hyperlink r:id="rId523" ref="K330"/>
    <hyperlink r:id="rId524" ref="K331"/>
    <hyperlink r:id="rId525" ref="K332"/>
    <hyperlink r:id="rId526" ref="K333"/>
    <hyperlink r:id="rId527" ref="K334"/>
    <hyperlink r:id="rId528" ref="Z334"/>
    <hyperlink r:id="rId529" ref="K335"/>
    <hyperlink r:id="rId530" ref="K336"/>
    <hyperlink r:id="rId531" ref="Z336"/>
    <hyperlink r:id="rId532" ref="K337"/>
    <hyperlink r:id="rId533" ref="K338"/>
    <hyperlink r:id="rId534" ref="Z338"/>
    <hyperlink r:id="rId535" ref="K339"/>
    <hyperlink r:id="rId536" ref="Z339"/>
    <hyperlink r:id="rId537" ref="K340"/>
    <hyperlink r:id="rId538" ref="Z340"/>
    <hyperlink r:id="rId539" ref="K341"/>
    <hyperlink r:id="rId540" ref="K342"/>
    <hyperlink r:id="rId541" ref="Z342"/>
    <hyperlink r:id="rId542" ref="K343"/>
    <hyperlink r:id="rId543" ref="Z343"/>
    <hyperlink r:id="rId544" ref="K344"/>
    <hyperlink r:id="rId545" ref="Z344"/>
    <hyperlink r:id="rId546" ref="K345"/>
    <hyperlink r:id="rId547" ref="Z345"/>
    <hyperlink r:id="rId548" ref="K346"/>
    <hyperlink r:id="rId549" ref="Z346"/>
    <hyperlink r:id="rId550" ref="K347"/>
    <hyperlink r:id="rId551" ref="Z347"/>
    <hyperlink r:id="rId552" ref="K348"/>
    <hyperlink r:id="rId553" ref="Z348"/>
    <hyperlink r:id="rId554" ref="K349"/>
    <hyperlink r:id="rId555" ref="K350"/>
    <hyperlink r:id="rId556" ref="Z350"/>
    <hyperlink r:id="rId557" ref="K351"/>
    <hyperlink r:id="rId558" ref="Z351"/>
    <hyperlink r:id="rId559" ref="K352"/>
    <hyperlink r:id="rId560" ref="Z352"/>
    <hyperlink r:id="rId561" ref="K353"/>
    <hyperlink r:id="rId562" ref="K354"/>
    <hyperlink r:id="rId563" ref="K355"/>
    <hyperlink r:id="rId564" ref="K356"/>
    <hyperlink r:id="rId565" ref="Z356"/>
    <hyperlink r:id="rId566" ref="K357"/>
    <hyperlink r:id="rId567" ref="Z357"/>
    <hyperlink r:id="rId568" ref="K358"/>
    <hyperlink r:id="rId569" ref="Z358"/>
    <hyperlink r:id="rId570" ref="K359"/>
    <hyperlink r:id="rId571" ref="Z359"/>
    <hyperlink r:id="rId572" ref="K360"/>
    <hyperlink r:id="rId573" ref="Z360"/>
    <hyperlink r:id="rId574" ref="K361"/>
    <hyperlink r:id="rId575" ref="K362"/>
    <hyperlink r:id="rId576" ref="Z362"/>
    <hyperlink r:id="rId577" ref="K363"/>
    <hyperlink r:id="rId578" ref="K364"/>
    <hyperlink r:id="rId579" ref="K365"/>
    <hyperlink r:id="rId580" ref="K366"/>
    <hyperlink r:id="rId581" ref="Z366"/>
    <hyperlink r:id="rId582" ref="K367"/>
    <hyperlink r:id="rId583" ref="Z367"/>
    <hyperlink r:id="rId584" ref="K368"/>
    <hyperlink r:id="rId585" ref="Z368"/>
    <hyperlink r:id="rId586" ref="K369"/>
    <hyperlink r:id="rId587" ref="K370"/>
    <hyperlink r:id="rId588" ref="K371"/>
    <hyperlink r:id="rId589" ref="Z371"/>
    <hyperlink r:id="rId590" ref="K372"/>
    <hyperlink r:id="rId591" ref="K373"/>
    <hyperlink r:id="rId592" ref="K374"/>
    <hyperlink r:id="rId593" ref="Z374"/>
    <hyperlink r:id="rId594" ref="K375"/>
    <hyperlink r:id="rId595" ref="K376"/>
    <hyperlink r:id="rId596" ref="K377"/>
    <hyperlink r:id="rId597" ref="K378"/>
    <hyperlink r:id="rId598" ref="Z378"/>
  </hyperlinks>
  <drawing r:id="rId59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5" t="s">
        <v>1010</v>
      </c>
      <c r="N1" s="15" t="s">
        <v>1011</v>
      </c>
      <c r="O1" s="15" t="s">
        <v>1012</v>
      </c>
      <c r="P1" s="15" t="s">
        <v>1013</v>
      </c>
      <c r="Q1" s="15" t="s">
        <v>1014</v>
      </c>
      <c r="R1" s="15" t="s">
        <v>1015</v>
      </c>
      <c r="S1" s="15" t="s">
        <v>1016</v>
      </c>
      <c r="T1" s="15" t="s">
        <v>1017</v>
      </c>
      <c r="U1" s="15" t="s">
        <v>1018</v>
      </c>
      <c r="V1" s="15" t="s">
        <v>1019</v>
      </c>
      <c r="W1" s="15" t="s">
        <v>1020</v>
      </c>
      <c r="X1" s="15" t="s">
        <v>1021</v>
      </c>
      <c r="Y1" s="15" t="s">
        <v>1022</v>
      </c>
      <c r="Z1" s="15" t="s">
        <v>25</v>
      </c>
    </row>
    <row r="2">
      <c r="A2" s="3" t="s">
        <v>35</v>
      </c>
      <c r="B2" s="3" t="s">
        <v>2720</v>
      </c>
      <c r="C2" s="1" t="s">
        <v>2721</v>
      </c>
      <c r="D2" s="3" t="s">
        <v>2722</v>
      </c>
      <c r="E2" s="1" t="s">
        <v>30</v>
      </c>
      <c r="F2" s="5">
        <v>14350.0</v>
      </c>
      <c r="G2" s="1" t="s">
        <v>31</v>
      </c>
      <c r="H2" s="3" t="s">
        <v>32</v>
      </c>
      <c r="I2" s="1">
        <v>-6.141789</v>
      </c>
      <c r="J2" s="3">
        <v>106.8533989</v>
      </c>
      <c r="K2" s="6" t="s">
        <v>2723</v>
      </c>
      <c r="L2" s="11">
        <f t="shared" ref="L2:L115" si="1">IFERROR(MEDIAN(M2:Y2),"")</f>
        <v>45148026.32</v>
      </c>
      <c r="M2" s="11">
        <f>6600000000/152</f>
        <v>43421052.63</v>
      </c>
      <c r="N2" s="11">
        <f>7500000000/160</f>
        <v>46875000</v>
      </c>
      <c r="Z2" s="10" t="s">
        <v>175</v>
      </c>
    </row>
    <row r="3">
      <c r="A3" s="3" t="s">
        <v>35</v>
      </c>
      <c r="B3" s="4" t="s">
        <v>2724</v>
      </c>
      <c r="C3" s="1" t="s">
        <v>2725</v>
      </c>
      <c r="D3" s="3" t="s">
        <v>2726</v>
      </c>
      <c r="E3" s="1" t="s">
        <v>30</v>
      </c>
      <c r="F3" s="5">
        <v>14250.0</v>
      </c>
      <c r="G3" s="1" t="s">
        <v>31</v>
      </c>
      <c r="H3" s="9">
        <v>2.15E8</v>
      </c>
      <c r="I3" s="1">
        <v>-6.1778651</v>
      </c>
      <c r="J3" s="3">
        <v>106.915472</v>
      </c>
      <c r="K3" s="6" t="s">
        <v>2727</v>
      </c>
      <c r="L3" s="11">
        <f t="shared" si="1"/>
        <v>37364130.43</v>
      </c>
      <c r="M3" s="11">
        <f>10000000000/230</f>
        <v>43478260.87</v>
      </c>
      <c r="N3" s="11">
        <f>12000000000/384</f>
        <v>31250000</v>
      </c>
      <c r="Z3" s="10" t="s">
        <v>2728</v>
      </c>
    </row>
    <row r="4">
      <c r="A4" s="3" t="s">
        <v>35</v>
      </c>
      <c r="B4" s="4" t="s">
        <v>2729</v>
      </c>
      <c r="C4" s="1" t="s">
        <v>2730</v>
      </c>
      <c r="D4" s="3" t="s">
        <v>2731</v>
      </c>
      <c r="E4" s="1" t="s">
        <v>30</v>
      </c>
      <c r="F4" s="5">
        <v>14440.0</v>
      </c>
      <c r="G4" s="1" t="s">
        <v>31</v>
      </c>
      <c r="H4" s="3" t="s">
        <v>32</v>
      </c>
      <c r="I4" s="1">
        <v>-6.1292937</v>
      </c>
      <c r="J4" s="3">
        <v>106.8041048</v>
      </c>
      <c r="K4" s="6" t="s">
        <v>2732</v>
      </c>
      <c r="L4" s="11" t="str">
        <f t="shared" si="1"/>
        <v/>
      </c>
      <c r="Z4" s="2" t="s">
        <v>34</v>
      </c>
    </row>
    <row r="5">
      <c r="A5" s="3" t="s">
        <v>134</v>
      </c>
      <c r="B5" s="4" t="s">
        <v>2733</v>
      </c>
      <c r="C5" s="1" t="s">
        <v>2734</v>
      </c>
      <c r="D5" s="3" t="s">
        <v>2735</v>
      </c>
      <c r="E5" s="1" t="s">
        <v>30</v>
      </c>
      <c r="F5" s="5">
        <v>14410.0</v>
      </c>
      <c r="G5" s="1" t="s">
        <v>31</v>
      </c>
      <c r="H5" s="9">
        <v>2.13E9</v>
      </c>
      <c r="I5" s="1">
        <v>-6.1471292</v>
      </c>
      <c r="J5" s="3">
        <v>106.8522316</v>
      </c>
      <c r="K5" s="6" t="s">
        <v>2736</v>
      </c>
      <c r="L5" s="11" t="str">
        <f t="shared" si="1"/>
        <v/>
      </c>
      <c r="Z5" s="2" t="s">
        <v>34</v>
      </c>
    </row>
    <row r="6">
      <c r="A6" s="3" t="s">
        <v>35</v>
      </c>
      <c r="B6" s="3" t="s">
        <v>2737</v>
      </c>
      <c r="C6" s="1" t="s">
        <v>2738</v>
      </c>
      <c r="D6" s="3" t="s">
        <v>2739</v>
      </c>
      <c r="E6" s="1" t="s">
        <v>30</v>
      </c>
      <c r="F6" s="5">
        <v>14240.0</v>
      </c>
      <c r="G6" s="1" t="s">
        <v>31</v>
      </c>
      <c r="H6" s="3" t="s">
        <v>32</v>
      </c>
      <c r="I6" s="1">
        <v>-6.1723932</v>
      </c>
      <c r="J6" s="3">
        <v>106.8987346</v>
      </c>
      <c r="K6" s="6" t="s">
        <v>2740</v>
      </c>
      <c r="L6" s="11">
        <f t="shared" si="1"/>
        <v>20978120.98</v>
      </c>
      <c r="M6" s="11">
        <f>3500000000/222</f>
        <v>15765765.77</v>
      </c>
      <c r="N6" s="11">
        <f>11000000000/420</f>
        <v>26190476.19</v>
      </c>
      <c r="Z6" s="10" t="s">
        <v>175</v>
      </c>
    </row>
    <row r="7">
      <c r="A7" s="3" t="s">
        <v>35</v>
      </c>
      <c r="B7" s="3" t="s">
        <v>2741</v>
      </c>
      <c r="C7" s="1" t="s">
        <v>2742</v>
      </c>
      <c r="D7" s="3" t="s">
        <v>2743</v>
      </c>
      <c r="E7" s="1" t="s">
        <v>30</v>
      </c>
      <c r="F7" s="5">
        <v>14240.0</v>
      </c>
      <c r="G7" s="1" t="s">
        <v>31</v>
      </c>
      <c r="H7" s="3" t="s">
        <v>32</v>
      </c>
      <c r="I7" s="1">
        <v>-6.1755716</v>
      </c>
      <c r="J7" s="3">
        <v>106.9122239</v>
      </c>
      <c r="K7" s="6" t="s">
        <v>2744</v>
      </c>
      <c r="L7" s="11">
        <f t="shared" si="1"/>
        <v>24327009.94</v>
      </c>
      <c r="M7" s="11">
        <f>2500000000/198</f>
        <v>12626262.63</v>
      </c>
      <c r="N7" s="11">
        <f>5500000000/180</f>
        <v>30555555.56</v>
      </c>
      <c r="O7" s="11">
        <f>4000000000/135</f>
        <v>29629629.63</v>
      </c>
      <c r="P7" s="11">
        <f>3900000000/205</f>
        <v>19024390.24</v>
      </c>
      <c r="Z7" s="10" t="s">
        <v>175</v>
      </c>
    </row>
    <row r="8">
      <c r="A8" s="3" t="s">
        <v>35</v>
      </c>
      <c r="B8" s="3" t="s">
        <v>2745</v>
      </c>
      <c r="C8" s="1" t="s">
        <v>2746</v>
      </c>
      <c r="D8" s="3" t="s">
        <v>2747</v>
      </c>
      <c r="E8" s="1" t="s">
        <v>30</v>
      </c>
      <c r="F8" s="5">
        <v>14350.0</v>
      </c>
      <c r="G8" s="1" t="s">
        <v>31</v>
      </c>
      <c r="H8" s="3" t="s">
        <v>32</v>
      </c>
      <c r="I8" s="1">
        <v>-6.1368246</v>
      </c>
      <c r="J8" s="3">
        <v>106.8639188</v>
      </c>
      <c r="K8" s="6" t="s">
        <v>2748</v>
      </c>
      <c r="L8" s="11">
        <f t="shared" si="1"/>
        <v>22695652.17</v>
      </c>
      <c r="M8" s="11">
        <f>4500000000/250</f>
        <v>18000000</v>
      </c>
      <c r="N8" s="11">
        <f>6300000000/230</f>
        <v>27391304.35</v>
      </c>
      <c r="Z8" s="10" t="s">
        <v>2749</v>
      </c>
    </row>
    <row r="9">
      <c r="A9" s="3" t="s">
        <v>48</v>
      </c>
      <c r="B9" s="4" t="s">
        <v>2750</v>
      </c>
      <c r="C9" s="1" t="s">
        <v>2751</v>
      </c>
      <c r="D9" s="3" t="s">
        <v>2752</v>
      </c>
      <c r="E9" s="1" t="s">
        <v>30</v>
      </c>
      <c r="F9" s="5">
        <v>14120.0</v>
      </c>
      <c r="G9" s="1" t="s">
        <v>31</v>
      </c>
      <c r="H9" s="3" t="s">
        <v>32</v>
      </c>
      <c r="I9" s="1">
        <v>-6.1139892</v>
      </c>
      <c r="J9" s="3">
        <v>106.9378548</v>
      </c>
      <c r="K9" s="6" t="s">
        <v>2753</v>
      </c>
      <c r="L9" s="11">
        <f t="shared" si="1"/>
        <v>17777777.78</v>
      </c>
      <c r="M9" s="11">
        <f>3000000000/150</f>
        <v>20000000</v>
      </c>
      <c r="N9" s="11">
        <f>1400000000/90</f>
        <v>15555555.56</v>
      </c>
      <c r="Z9" s="10" t="s">
        <v>175</v>
      </c>
    </row>
    <row r="10">
      <c r="A10" s="3" t="s">
        <v>48</v>
      </c>
      <c r="B10" s="4" t="s">
        <v>2754</v>
      </c>
      <c r="C10" s="1" t="s">
        <v>2755</v>
      </c>
      <c r="D10" s="3" t="s">
        <v>2756</v>
      </c>
      <c r="E10" s="1" t="s">
        <v>30</v>
      </c>
      <c r="F10" s="5">
        <v>14130.0</v>
      </c>
      <c r="G10" s="1" t="s">
        <v>31</v>
      </c>
      <c r="H10" s="9">
        <v>8.79E10</v>
      </c>
      <c r="I10" s="1">
        <v>-6.107175</v>
      </c>
      <c r="J10" s="3">
        <v>106.9275478</v>
      </c>
      <c r="K10" s="6" t="s">
        <v>2757</v>
      </c>
      <c r="L10" s="11" t="str">
        <f t="shared" si="1"/>
        <v/>
      </c>
      <c r="Z10" s="16" t="s">
        <v>34</v>
      </c>
    </row>
    <row r="11">
      <c r="A11" s="3" t="s">
        <v>48</v>
      </c>
      <c r="B11" s="4" t="s">
        <v>2758</v>
      </c>
      <c r="C11" s="1" t="s">
        <v>2759</v>
      </c>
      <c r="D11" s="3" t="s">
        <v>2760</v>
      </c>
      <c r="E11" s="1" t="s">
        <v>30</v>
      </c>
      <c r="F11" s="5">
        <v>14140.0</v>
      </c>
      <c r="G11" s="1" t="s">
        <v>31</v>
      </c>
      <c r="H11" s="3" t="s">
        <v>32</v>
      </c>
      <c r="I11" s="1">
        <v>-6.156312</v>
      </c>
      <c r="J11" s="3">
        <v>106.9246903</v>
      </c>
      <c r="K11" s="6" t="s">
        <v>2761</v>
      </c>
      <c r="L11" s="11" t="str">
        <f t="shared" si="1"/>
        <v/>
      </c>
      <c r="Z11" s="2" t="s">
        <v>34</v>
      </c>
    </row>
    <row r="12">
      <c r="A12" s="3" t="s">
        <v>48</v>
      </c>
      <c r="B12" s="4" t="s">
        <v>2762</v>
      </c>
      <c r="C12" s="1" t="s">
        <v>2763</v>
      </c>
      <c r="D12" s="3" t="s">
        <v>2764</v>
      </c>
      <c r="E12" s="1" t="s">
        <v>30</v>
      </c>
      <c r="F12" s="5">
        <v>14140.0</v>
      </c>
      <c r="G12" s="1" t="s">
        <v>31</v>
      </c>
      <c r="H12" s="3" t="s">
        <v>32</v>
      </c>
      <c r="I12" s="1">
        <v>-6.1376736</v>
      </c>
      <c r="J12" s="3">
        <v>106.9186385</v>
      </c>
      <c r="K12" s="6" t="s">
        <v>2765</v>
      </c>
      <c r="L12" s="11">
        <f t="shared" si="1"/>
        <v>18550000</v>
      </c>
      <c r="M12" s="11">
        <f>12700000000/53</f>
        <v>239622641.5</v>
      </c>
      <c r="N12" s="11">
        <f>1250000000/60</f>
        <v>20833333.33</v>
      </c>
      <c r="O12" s="11">
        <f>177000000/105</f>
        <v>1685714.286</v>
      </c>
      <c r="P12" s="11">
        <f>250000000/120</f>
        <v>2083333.333</v>
      </c>
      <c r="Q12" s="11">
        <f>1475000000/90</f>
        <v>16388888.89</v>
      </c>
      <c r="R12" s="11">
        <f>4600000000/180</f>
        <v>25555555.56</v>
      </c>
      <c r="S12" s="11">
        <f>1855000000/100</f>
        <v>18550000</v>
      </c>
      <c r="Z12" s="10" t="s">
        <v>175</v>
      </c>
    </row>
    <row r="13">
      <c r="A13" s="3" t="s">
        <v>48</v>
      </c>
      <c r="B13" s="4" t="s">
        <v>2766</v>
      </c>
      <c r="C13" s="1" t="s">
        <v>2767</v>
      </c>
      <c r="D13" s="3" t="s">
        <v>2768</v>
      </c>
      <c r="E13" s="1" t="s">
        <v>30</v>
      </c>
      <c r="F13" s="5">
        <v>14240.0</v>
      </c>
      <c r="G13" s="1" t="s">
        <v>31</v>
      </c>
      <c r="H13" s="3" t="s">
        <v>32</v>
      </c>
      <c r="I13" s="1">
        <v>-6.162137</v>
      </c>
      <c r="J13" s="3">
        <v>106.9038733</v>
      </c>
      <c r="K13" s="6" t="s">
        <v>2769</v>
      </c>
      <c r="L13" s="11">
        <f t="shared" si="1"/>
        <v>25378787.88</v>
      </c>
      <c r="M13" s="11">
        <f>2500000000/114</f>
        <v>21929824.56</v>
      </c>
      <c r="N13" s="11">
        <f>3350000000/132</f>
        <v>25378787.88</v>
      </c>
      <c r="O13" s="11">
        <f>7900000000/270</f>
        <v>29259259.26</v>
      </c>
      <c r="P13" s="11">
        <f>3800000000/102</f>
        <v>37254901.96</v>
      </c>
      <c r="Q13" s="11">
        <f>2250000000/102</f>
        <v>22058823.53</v>
      </c>
      <c r="R13" s="11">
        <f>6500000000/302</f>
        <v>21523178.81</v>
      </c>
      <c r="S13" s="11">
        <f>3500000000/90</f>
        <v>38888888.89</v>
      </c>
      <c r="Z13" s="10" t="s">
        <v>175</v>
      </c>
    </row>
    <row r="14">
      <c r="A14" s="3" t="s">
        <v>48</v>
      </c>
      <c r="B14" s="4" t="s">
        <v>2770</v>
      </c>
      <c r="C14" s="1" t="s">
        <v>2771</v>
      </c>
      <c r="D14" s="3" t="s">
        <v>2772</v>
      </c>
      <c r="E14" s="1" t="s">
        <v>30</v>
      </c>
      <c r="F14" s="5">
        <v>14240.0</v>
      </c>
      <c r="G14" s="1" t="s">
        <v>31</v>
      </c>
      <c r="H14" s="9">
        <v>8.23E10</v>
      </c>
      <c r="I14" s="1">
        <v>-6.1677815</v>
      </c>
      <c r="J14" s="3">
        <v>106.9097801</v>
      </c>
      <c r="K14" s="6" t="s">
        <v>2773</v>
      </c>
      <c r="L14" s="11">
        <f t="shared" si="1"/>
        <v>20109890.11</v>
      </c>
      <c r="M14" s="11">
        <f>2800000000/105</f>
        <v>26666666.67</v>
      </c>
      <c r="N14" s="11">
        <f>5490000000/273</f>
        <v>20109890.11</v>
      </c>
      <c r="O14" s="11">
        <f>4330000000/273</f>
        <v>15860805.86</v>
      </c>
      <c r="P14" s="11">
        <f>2350000000/105</f>
        <v>22380952.38</v>
      </c>
      <c r="Q14" s="11">
        <f>2800000000/161</f>
        <v>17391304.35</v>
      </c>
      <c r="R14" s="11">
        <f>1950000000/105</f>
        <v>18571428.57</v>
      </c>
      <c r="S14" s="11">
        <f>4200000000/171</f>
        <v>24561403.51</v>
      </c>
      <c r="Z14" s="10" t="s">
        <v>2774</v>
      </c>
    </row>
    <row r="15">
      <c r="A15" s="3" t="s">
        <v>48</v>
      </c>
      <c r="B15" s="4" t="s">
        <v>2775</v>
      </c>
      <c r="C15" s="1" t="s">
        <v>2776</v>
      </c>
      <c r="D15" s="3" t="s">
        <v>2777</v>
      </c>
      <c r="E15" s="1" t="s">
        <v>30</v>
      </c>
      <c r="F15" s="5">
        <v>14240.0</v>
      </c>
      <c r="G15" s="1" t="s">
        <v>31</v>
      </c>
      <c r="H15" s="3" t="s">
        <v>32</v>
      </c>
      <c r="I15" s="1">
        <v>-6.1684673</v>
      </c>
      <c r="J15" s="3">
        <v>106.884864</v>
      </c>
      <c r="K15" s="6" t="s">
        <v>2778</v>
      </c>
      <c r="L15" s="11" t="str">
        <f t="shared" si="1"/>
        <v/>
      </c>
      <c r="Z15" s="2" t="s">
        <v>34</v>
      </c>
    </row>
    <row r="16">
      <c r="A16" s="3" t="s">
        <v>48</v>
      </c>
      <c r="B16" s="4" t="s">
        <v>2779</v>
      </c>
      <c r="C16" s="1" t="s">
        <v>2780</v>
      </c>
      <c r="D16" s="3" t="s">
        <v>2781</v>
      </c>
      <c r="E16" s="1" t="s">
        <v>30</v>
      </c>
      <c r="F16" s="5">
        <v>14240.0</v>
      </c>
      <c r="G16" s="1" t="s">
        <v>31</v>
      </c>
      <c r="H16" s="3" t="s">
        <v>32</v>
      </c>
      <c r="I16" s="1">
        <v>-6.1485615</v>
      </c>
      <c r="J16" s="3">
        <v>106.9001963</v>
      </c>
      <c r="K16" s="6" t="s">
        <v>2782</v>
      </c>
      <c r="L16" s="11">
        <f t="shared" si="1"/>
        <v>59583333.33</v>
      </c>
      <c r="M16" s="11">
        <f>6800000000/120</f>
        <v>56666666.67</v>
      </c>
      <c r="N16" s="11">
        <f>7500000000/120</f>
        <v>62500000</v>
      </c>
      <c r="Z16" s="10" t="s">
        <v>175</v>
      </c>
    </row>
    <row r="17">
      <c r="A17" s="3" t="s">
        <v>48</v>
      </c>
      <c r="B17" s="4" t="s">
        <v>2783</v>
      </c>
      <c r="C17" s="1" t="s">
        <v>2784</v>
      </c>
      <c r="D17" s="3" t="s">
        <v>2785</v>
      </c>
      <c r="E17" s="1" t="s">
        <v>30</v>
      </c>
      <c r="F17" s="5">
        <v>14250.0</v>
      </c>
      <c r="G17" s="1" t="s">
        <v>31</v>
      </c>
      <c r="H17" s="3" t="s">
        <v>32</v>
      </c>
      <c r="I17" s="1">
        <v>-6.148773</v>
      </c>
      <c r="J17" s="3">
        <v>106.9131676</v>
      </c>
      <c r="K17" s="6" t="s">
        <v>2786</v>
      </c>
      <c r="L17" s="11">
        <f t="shared" si="1"/>
        <v>29417603</v>
      </c>
      <c r="M17" s="11">
        <f>8100000000/300</f>
        <v>27000000</v>
      </c>
      <c r="N17" s="11">
        <f>8500000000/267</f>
        <v>31835205.99</v>
      </c>
      <c r="Z17" s="10" t="s">
        <v>175</v>
      </c>
    </row>
    <row r="18">
      <c r="A18" s="3" t="s">
        <v>48</v>
      </c>
      <c r="B18" s="4" t="s">
        <v>2787</v>
      </c>
      <c r="C18" s="1" t="s">
        <v>2788</v>
      </c>
      <c r="D18" s="3" t="s">
        <v>2789</v>
      </c>
      <c r="E18" s="1" t="s">
        <v>30</v>
      </c>
      <c r="F18" s="5">
        <v>14240.0</v>
      </c>
      <c r="G18" s="1" t="s">
        <v>31</v>
      </c>
      <c r="H18" s="9">
        <v>8.17E8</v>
      </c>
      <c r="I18" s="1">
        <v>-6.1779636</v>
      </c>
      <c r="J18" s="3">
        <v>106.8989998</v>
      </c>
      <c r="K18" s="6" t="s">
        <v>2790</v>
      </c>
      <c r="L18" s="11">
        <f t="shared" si="1"/>
        <v>25782312.93</v>
      </c>
      <c r="M18" s="11">
        <f>2200000000/105</f>
        <v>20952380.95</v>
      </c>
      <c r="N18" s="11">
        <f>4500000000/147</f>
        <v>30612244.9</v>
      </c>
      <c r="Z18" s="10" t="s">
        <v>175</v>
      </c>
    </row>
    <row r="19">
      <c r="A19" s="3" t="s">
        <v>48</v>
      </c>
      <c r="B19" s="4" t="s">
        <v>2791</v>
      </c>
      <c r="C19" s="1" t="s">
        <v>2792</v>
      </c>
      <c r="D19" s="3" t="s">
        <v>2793</v>
      </c>
      <c r="E19" s="1" t="s">
        <v>30</v>
      </c>
      <c r="F19" s="5">
        <v>14250.0</v>
      </c>
      <c r="G19" s="1" t="s">
        <v>31</v>
      </c>
      <c r="H19" s="3" t="s">
        <v>32</v>
      </c>
      <c r="I19" s="1">
        <v>-6.1618709</v>
      </c>
      <c r="J19" s="3">
        <v>106.921373</v>
      </c>
      <c r="K19" s="6" t="s">
        <v>2794</v>
      </c>
      <c r="L19" s="11">
        <f t="shared" si="1"/>
        <v>25000000</v>
      </c>
      <c r="M19" s="11">
        <f>1700000000/68</f>
        <v>25000000</v>
      </c>
      <c r="Z19" s="10" t="s">
        <v>2749</v>
      </c>
    </row>
    <row r="20">
      <c r="A20" s="3" t="s">
        <v>48</v>
      </c>
      <c r="B20" s="4" t="s">
        <v>2795</v>
      </c>
      <c r="C20" s="1" t="s">
        <v>2796</v>
      </c>
      <c r="D20" s="3" t="s">
        <v>2797</v>
      </c>
      <c r="E20" s="1" t="s">
        <v>30</v>
      </c>
      <c r="F20" s="5">
        <v>14250.0</v>
      </c>
      <c r="G20" s="1" t="s">
        <v>31</v>
      </c>
      <c r="H20" s="3" t="s">
        <v>32</v>
      </c>
      <c r="I20" s="1">
        <v>-6.1599129</v>
      </c>
      <c r="J20" s="3">
        <v>106.9151298</v>
      </c>
      <c r="K20" s="6" t="s">
        <v>2798</v>
      </c>
      <c r="L20" s="11">
        <f t="shared" si="1"/>
        <v>25925925.93</v>
      </c>
      <c r="M20" s="11">
        <f>2800000000/90</f>
        <v>31111111.11</v>
      </c>
      <c r="N20" s="11">
        <f>5900000000/300</f>
        <v>19666666.67</v>
      </c>
      <c r="O20" s="11">
        <f>3500000000/135</f>
        <v>25925925.93</v>
      </c>
      <c r="Z20" s="10" t="s">
        <v>2749</v>
      </c>
    </row>
    <row r="21">
      <c r="A21" s="3" t="s">
        <v>48</v>
      </c>
      <c r="B21" s="4" t="s">
        <v>2799</v>
      </c>
      <c r="C21" s="1" t="s">
        <v>2800</v>
      </c>
      <c r="D21" s="3" t="s">
        <v>2801</v>
      </c>
      <c r="E21" s="1" t="s">
        <v>30</v>
      </c>
      <c r="F21" s="5">
        <v>14250.0</v>
      </c>
      <c r="G21" s="1" t="s">
        <v>31</v>
      </c>
      <c r="H21" s="3" t="s">
        <v>32</v>
      </c>
      <c r="I21" s="1">
        <v>-6.166347</v>
      </c>
      <c r="J21" s="3">
        <v>106.9194871</v>
      </c>
      <c r="K21" s="6" t="s">
        <v>2802</v>
      </c>
      <c r="L21" s="11">
        <f t="shared" si="1"/>
        <v>27314814.81</v>
      </c>
      <c r="M21" s="11">
        <f>5900000000/216</f>
        <v>27314814.81</v>
      </c>
      <c r="Z21" s="10" t="s">
        <v>2728</v>
      </c>
    </row>
    <row r="22">
      <c r="A22" s="3" t="s">
        <v>48</v>
      </c>
      <c r="B22" s="4" t="s">
        <v>2803</v>
      </c>
      <c r="C22" s="1" t="s">
        <v>2804</v>
      </c>
      <c r="D22" s="3" t="s">
        <v>2805</v>
      </c>
      <c r="E22" s="1" t="s">
        <v>30</v>
      </c>
      <c r="F22" s="5">
        <v>14260.0</v>
      </c>
      <c r="G22" s="1" t="s">
        <v>31</v>
      </c>
      <c r="H22" s="3" t="s">
        <v>32</v>
      </c>
      <c r="I22" s="1">
        <v>-6.1398504</v>
      </c>
      <c r="J22" s="3">
        <v>106.9119206</v>
      </c>
      <c r="K22" s="6" t="s">
        <v>2806</v>
      </c>
      <c r="L22" s="11">
        <f t="shared" si="1"/>
        <v>32916666.67</v>
      </c>
      <c r="M22" s="11">
        <f>13000000000/400</f>
        <v>32500000</v>
      </c>
      <c r="N22" s="11">
        <f>12500000000/375</f>
        <v>33333333.33</v>
      </c>
      <c r="O22" s="11">
        <f>19500000000/552</f>
        <v>35326086.96</v>
      </c>
      <c r="P22" s="11">
        <f>6900000000/217</f>
        <v>31797235.02</v>
      </c>
      <c r="Z22" s="10" t="s">
        <v>2749</v>
      </c>
    </row>
    <row r="23">
      <c r="A23" s="3" t="s">
        <v>48</v>
      </c>
      <c r="B23" s="4" t="s">
        <v>2807</v>
      </c>
      <c r="C23" s="1" t="s">
        <v>2808</v>
      </c>
      <c r="D23" s="3" t="s">
        <v>2809</v>
      </c>
      <c r="E23" s="1" t="s">
        <v>30</v>
      </c>
      <c r="F23" s="5">
        <v>14270.0</v>
      </c>
      <c r="G23" s="1" t="s">
        <v>31</v>
      </c>
      <c r="H23" s="3" t="s">
        <v>32</v>
      </c>
      <c r="I23" s="1">
        <v>-6.115744</v>
      </c>
      <c r="J23" s="3">
        <v>106.9111881</v>
      </c>
      <c r="K23" s="6" t="s">
        <v>2810</v>
      </c>
      <c r="L23" s="11" t="str">
        <f t="shared" si="1"/>
        <v/>
      </c>
      <c r="Z23" s="2" t="s">
        <v>34</v>
      </c>
    </row>
    <row r="24">
      <c r="A24" s="3" t="s">
        <v>48</v>
      </c>
      <c r="B24" s="4" t="s">
        <v>2811</v>
      </c>
      <c r="C24" s="1" t="s">
        <v>2812</v>
      </c>
      <c r="D24" s="3" t="s">
        <v>2813</v>
      </c>
      <c r="E24" s="1" t="s">
        <v>30</v>
      </c>
      <c r="F24" s="5">
        <v>14230.0</v>
      </c>
      <c r="G24" s="1" t="s">
        <v>31</v>
      </c>
      <c r="H24" s="3" t="s">
        <v>32</v>
      </c>
      <c r="I24" s="1">
        <v>-6.1262623</v>
      </c>
      <c r="J24" s="3">
        <v>106.9021176</v>
      </c>
      <c r="K24" s="6" t="s">
        <v>2814</v>
      </c>
      <c r="L24" s="11">
        <f t="shared" si="1"/>
        <v>17777777.78</v>
      </c>
      <c r="M24" s="11">
        <f>3000000000/150</f>
        <v>20000000</v>
      </c>
      <c r="N24" s="11">
        <f>1400000000/90</f>
        <v>15555555.56</v>
      </c>
      <c r="Z24" s="10" t="s">
        <v>175</v>
      </c>
    </row>
    <row r="25">
      <c r="A25" s="3" t="s">
        <v>48</v>
      </c>
      <c r="B25" s="4" t="s">
        <v>2815</v>
      </c>
      <c r="C25" s="1" t="s">
        <v>2816</v>
      </c>
      <c r="D25" s="3" t="s">
        <v>2817</v>
      </c>
      <c r="E25" s="1" t="s">
        <v>30</v>
      </c>
      <c r="F25" s="5">
        <v>14260.0</v>
      </c>
      <c r="G25" s="1" t="s">
        <v>31</v>
      </c>
      <c r="H25" s="3" t="s">
        <v>32</v>
      </c>
      <c r="I25" s="1">
        <v>-6.1266138</v>
      </c>
      <c r="J25" s="3">
        <v>106.9107886</v>
      </c>
      <c r="K25" s="6" t="s">
        <v>2818</v>
      </c>
      <c r="L25" s="11">
        <f t="shared" si="1"/>
        <v>13333333.33</v>
      </c>
      <c r="M25" s="11">
        <f>1600000000/120</f>
        <v>13333333.33</v>
      </c>
      <c r="Z25" s="10" t="s">
        <v>2749</v>
      </c>
    </row>
    <row r="26">
      <c r="A26" s="3" t="s">
        <v>48</v>
      </c>
      <c r="B26" s="4" t="s">
        <v>2819</v>
      </c>
      <c r="C26" s="1" t="s">
        <v>2820</v>
      </c>
      <c r="D26" s="3" t="s">
        <v>2821</v>
      </c>
      <c r="E26" s="1" t="s">
        <v>30</v>
      </c>
      <c r="F26" s="5">
        <v>14410.0</v>
      </c>
      <c r="G26" s="1" t="s">
        <v>31</v>
      </c>
      <c r="H26" s="3" t="s">
        <v>32</v>
      </c>
      <c r="I26" s="1">
        <v>-6.1513109</v>
      </c>
      <c r="J26" s="3">
        <v>106.8542254</v>
      </c>
      <c r="K26" s="6" t="s">
        <v>2822</v>
      </c>
      <c r="L26" s="11">
        <f t="shared" si="1"/>
        <v>39601139.6</v>
      </c>
      <c r="M26" s="11">
        <f>7500000000/195</f>
        <v>38461538.46</v>
      </c>
      <c r="N26" s="11">
        <f>11000000000/270</f>
        <v>40740740.74</v>
      </c>
      <c r="Z26" s="10" t="s">
        <v>175</v>
      </c>
    </row>
    <row r="27">
      <c r="A27" s="3" t="s">
        <v>48</v>
      </c>
      <c r="B27" s="4" t="s">
        <v>2823</v>
      </c>
      <c r="C27" s="1" t="s">
        <v>2824</v>
      </c>
      <c r="D27" s="3" t="s">
        <v>2825</v>
      </c>
      <c r="E27" s="1" t="s">
        <v>30</v>
      </c>
      <c r="F27" s="5">
        <v>14410.0</v>
      </c>
      <c r="G27" s="1" t="s">
        <v>31</v>
      </c>
      <c r="H27" s="3" t="s">
        <v>32</v>
      </c>
      <c r="I27" s="1">
        <v>-6.149331</v>
      </c>
      <c r="J27" s="3">
        <v>106.852756</v>
      </c>
      <c r="K27" s="6" t="s">
        <v>2826</v>
      </c>
      <c r="L27" s="11" t="str">
        <f t="shared" si="1"/>
        <v/>
      </c>
      <c r="Z27" s="2" t="s">
        <v>34</v>
      </c>
    </row>
    <row r="28">
      <c r="A28" s="3" t="s">
        <v>48</v>
      </c>
      <c r="B28" s="4" t="s">
        <v>2827</v>
      </c>
      <c r="C28" s="1" t="s">
        <v>2828</v>
      </c>
      <c r="D28" s="3" t="s">
        <v>2829</v>
      </c>
      <c r="E28" s="1" t="s">
        <v>30</v>
      </c>
      <c r="F28" s="5">
        <v>14420.0</v>
      </c>
      <c r="G28" s="1" t="s">
        <v>31</v>
      </c>
      <c r="H28" s="3" t="s">
        <v>32</v>
      </c>
      <c r="I28" s="1">
        <v>-6.1324364</v>
      </c>
      <c r="J28" s="3">
        <v>106.8423553</v>
      </c>
      <c r="K28" s="6" t="s">
        <v>2830</v>
      </c>
      <c r="L28" s="11">
        <f t="shared" si="1"/>
        <v>26666666.67</v>
      </c>
      <c r="M28" s="11">
        <f>3000000000/90</f>
        <v>33333333.33</v>
      </c>
      <c r="N28" s="11">
        <f>6000000000/225</f>
        <v>26666666.67</v>
      </c>
      <c r="O28" s="11">
        <f>4000000000/180</f>
        <v>22222222.22</v>
      </c>
      <c r="Z28" s="10" t="s">
        <v>175</v>
      </c>
    </row>
    <row r="29">
      <c r="A29" s="3" t="s">
        <v>48</v>
      </c>
      <c r="B29" s="4" t="s">
        <v>2831</v>
      </c>
      <c r="C29" s="1" t="s">
        <v>2832</v>
      </c>
      <c r="D29" s="3" t="s">
        <v>2833</v>
      </c>
      <c r="E29" s="1" t="s">
        <v>30</v>
      </c>
      <c r="F29" s="5">
        <v>14420.0</v>
      </c>
      <c r="G29" s="1" t="s">
        <v>31</v>
      </c>
      <c r="H29" s="3" t="s">
        <v>32</v>
      </c>
      <c r="I29" s="1">
        <v>-6.1393444</v>
      </c>
      <c r="J29" s="3">
        <v>106.8366857</v>
      </c>
      <c r="K29" s="6" t="s">
        <v>2834</v>
      </c>
      <c r="L29" s="11">
        <f t="shared" si="1"/>
        <v>20588235.29</v>
      </c>
      <c r="M29" s="11">
        <f>2800000000/136</f>
        <v>20588235.29</v>
      </c>
      <c r="Z29" s="10" t="s">
        <v>2835</v>
      </c>
    </row>
    <row r="30">
      <c r="A30" s="3" t="s">
        <v>48</v>
      </c>
      <c r="B30" s="4" t="s">
        <v>2836</v>
      </c>
      <c r="C30" s="1" t="s">
        <v>2837</v>
      </c>
      <c r="D30" s="3" t="s">
        <v>2838</v>
      </c>
      <c r="E30" s="1" t="s">
        <v>30</v>
      </c>
      <c r="F30" s="5">
        <v>14420.0</v>
      </c>
      <c r="G30" s="1" t="s">
        <v>31</v>
      </c>
      <c r="H30" s="3" t="s">
        <v>32</v>
      </c>
      <c r="I30" s="1">
        <v>-6.1339215</v>
      </c>
      <c r="J30" s="3">
        <v>106.8375552</v>
      </c>
      <c r="K30" s="6" t="s">
        <v>2839</v>
      </c>
      <c r="L30" s="11">
        <f t="shared" si="1"/>
        <v>12500000</v>
      </c>
      <c r="M30" s="11">
        <f>750000000/60</f>
        <v>12500000</v>
      </c>
      <c r="Z30" s="10" t="s">
        <v>175</v>
      </c>
    </row>
    <row r="31">
      <c r="A31" s="3" t="s">
        <v>48</v>
      </c>
      <c r="B31" s="4" t="s">
        <v>2840</v>
      </c>
      <c r="C31" s="1" t="s">
        <v>2841</v>
      </c>
      <c r="D31" s="3" t="s">
        <v>2842</v>
      </c>
      <c r="E31" s="1" t="s">
        <v>30</v>
      </c>
      <c r="F31" s="5">
        <v>14430.0</v>
      </c>
      <c r="G31" s="1" t="s">
        <v>31</v>
      </c>
      <c r="H31" s="3" t="s">
        <v>32</v>
      </c>
      <c r="I31" s="1">
        <v>-6.1204164</v>
      </c>
      <c r="J31" s="3">
        <v>106.858328</v>
      </c>
      <c r="K31" s="6" t="s">
        <v>2843</v>
      </c>
      <c r="L31" s="11">
        <f t="shared" si="1"/>
        <v>32142857.14</v>
      </c>
      <c r="M31" s="11">
        <f>4500000000/140</f>
        <v>32142857.14</v>
      </c>
      <c r="Z31" s="10" t="s">
        <v>2749</v>
      </c>
    </row>
    <row r="32">
      <c r="A32" s="3" t="s">
        <v>48</v>
      </c>
      <c r="B32" s="4" t="s">
        <v>2844</v>
      </c>
      <c r="C32" s="1" t="s">
        <v>2845</v>
      </c>
      <c r="D32" s="3" t="s">
        <v>2846</v>
      </c>
      <c r="E32" s="1" t="s">
        <v>30</v>
      </c>
      <c r="F32" s="5">
        <v>14430.0</v>
      </c>
      <c r="G32" s="1" t="s">
        <v>31</v>
      </c>
      <c r="H32" s="3" t="s">
        <v>32</v>
      </c>
      <c r="I32" s="1">
        <v>-6.1229535</v>
      </c>
      <c r="J32" s="3">
        <v>106.8554226</v>
      </c>
      <c r="K32" s="6" t="s">
        <v>2847</v>
      </c>
      <c r="L32" s="11">
        <f t="shared" si="1"/>
        <v>41666666.67</v>
      </c>
      <c r="M32" s="11">
        <f>12500000000/300</f>
        <v>41666666.67</v>
      </c>
      <c r="N32" s="11">
        <f>12500000000/600</f>
        <v>20833333.33</v>
      </c>
      <c r="O32" s="11">
        <f>37500000000/600</f>
        <v>62500000</v>
      </c>
      <c r="Z32" s="10" t="s">
        <v>2749</v>
      </c>
    </row>
    <row r="33">
      <c r="A33" s="3" t="s">
        <v>48</v>
      </c>
      <c r="B33" s="4" t="s">
        <v>2848</v>
      </c>
      <c r="C33" s="1" t="s">
        <v>2849</v>
      </c>
      <c r="D33" s="3" t="s">
        <v>2850</v>
      </c>
      <c r="E33" s="1" t="s">
        <v>30</v>
      </c>
      <c r="F33" s="5">
        <v>14450.0</v>
      </c>
      <c r="G33" s="1" t="s">
        <v>31</v>
      </c>
      <c r="H33" s="3" t="s">
        <v>32</v>
      </c>
      <c r="I33" s="1">
        <v>-6.1338029</v>
      </c>
      <c r="J33" s="3">
        <v>106.7895507</v>
      </c>
      <c r="K33" s="6" t="s">
        <v>2851</v>
      </c>
      <c r="L33" s="11">
        <f t="shared" si="1"/>
        <v>27383458.65</v>
      </c>
      <c r="M33" s="11">
        <f>10500000000/229</f>
        <v>45851528.38</v>
      </c>
      <c r="N33" s="11">
        <f>3750000000/133</f>
        <v>28195488.72</v>
      </c>
      <c r="O33" s="11">
        <f>3000000000/132</f>
        <v>22727272.73</v>
      </c>
      <c r="P33" s="11">
        <f>4650000000/175</f>
        <v>26571428.57</v>
      </c>
      <c r="Z33" s="10" t="s">
        <v>175</v>
      </c>
    </row>
    <row r="34">
      <c r="A34" s="3" t="s">
        <v>48</v>
      </c>
      <c r="B34" s="4" t="s">
        <v>2852</v>
      </c>
      <c r="C34" s="1" t="s">
        <v>2853</v>
      </c>
      <c r="D34" s="3" t="s">
        <v>2854</v>
      </c>
      <c r="E34" s="1" t="s">
        <v>30</v>
      </c>
      <c r="F34" s="5">
        <v>14450.0</v>
      </c>
      <c r="G34" s="1" t="s">
        <v>31</v>
      </c>
      <c r="H34" s="9">
        <v>2.17E9</v>
      </c>
      <c r="I34" s="1">
        <v>-6.1106226</v>
      </c>
      <c r="J34" s="3">
        <v>106.7900048</v>
      </c>
      <c r="K34" s="6" t="s">
        <v>2855</v>
      </c>
      <c r="L34" s="11">
        <f t="shared" si="1"/>
        <v>42016806.72</v>
      </c>
      <c r="M34" s="11">
        <f>5000000000/119</f>
        <v>42016806.72</v>
      </c>
      <c r="N34" s="11">
        <f>5500000000/122</f>
        <v>45081967.21</v>
      </c>
      <c r="O34" s="11">
        <f>4800000000/126</f>
        <v>38095238.1</v>
      </c>
      <c r="Z34" s="10" t="s">
        <v>175</v>
      </c>
    </row>
    <row r="35">
      <c r="A35" s="3" t="s">
        <v>48</v>
      </c>
      <c r="B35" s="4" t="s">
        <v>2856</v>
      </c>
      <c r="C35" s="1" t="s">
        <v>2857</v>
      </c>
      <c r="D35" s="3" t="s">
        <v>2858</v>
      </c>
      <c r="E35" s="1" t="s">
        <v>30</v>
      </c>
      <c r="F35" s="5">
        <v>14450.0</v>
      </c>
      <c r="G35" s="1" t="s">
        <v>31</v>
      </c>
      <c r="H35" s="3" t="s">
        <v>32</v>
      </c>
      <c r="I35" s="1">
        <v>-6.1415977</v>
      </c>
      <c r="J35" s="3">
        <v>106.7780123</v>
      </c>
      <c r="K35" s="6" t="s">
        <v>2859</v>
      </c>
      <c r="L35" s="11">
        <f t="shared" si="1"/>
        <v>26666666.67</v>
      </c>
      <c r="M35" s="11">
        <f>2490000000/97</f>
        <v>25670103.09</v>
      </c>
      <c r="N35" s="11">
        <f>12000000000/180</f>
        <v>66666666.67</v>
      </c>
      <c r="O35" s="11">
        <f>9850000000/274</f>
        <v>35948905.11</v>
      </c>
      <c r="P35" s="11">
        <f>3000000000/84</f>
        <v>35714285.71</v>
      </c>
      <c r="Q35" s="11">
        <f>2300000000/96</f>
        <v>23958333.33</v>
      </c>
      <c r="R35" s="11">
        <f>3200000000/120</f>
        <v>26666666.67</v>
      </c>
      <c r="S35" s="11">
        <f>2250000000/144</f>
        <v>15625000</v>
      </c>
      <c r="Z35" s="10" t="s">
        <v>2749</v>
      </c>
    </row>
    <row r="36">
      <c r="A36" s="3" t="s">
        <v>48</v>
      </c>
      <c r="B36" s="4" t="s">
        <v>2860</v>
      </c>
      <c r="C36" s="1" t="s">
        <v>2861</v>
      </c>
      <c r="D36" s="3" t="s">
        <v>2862</v>
      </c>
      <c r="E36" s="1" t="s">
        <v>30</v>
      </c>
      <c r="F36" s="5">
        <v>14470.0</v>
      </c>
      <c r="G36" s="1" t="s">
        <v>31</v>
      </c>
      <c r="H36" s="9">
        <v>8.59E10</v>
      </c>
      <c r="I36" s="1">
        <v>-6.1244783</v>
      </c>
      <c r="J36" s="3">
        <v>106.7475426</v>
      </c>
      <c r="K36" s="6" t="s">
        <v>2863</v>
      </c>
      <c r="L36" s="11">
        <f t="shared" si="1"/>
        <v>38092354.57</v>
      </c>
      <c r="M36" s="11">
        <f>13800000000/286</f>
        <v>48251748.25</v>
      </c>
      <c r="N36" s="11">
        <f>15000000000/537</f>
        <v>27932960.89</v>
      </c>
      <c r="O36" s="2">
        <f>14000000000/260</f>
        <v>53846153.85</v>
      </c>
      <c r="P36" s="11">
        <f>23000000</f>
        <v>23000000</v>
      </c>
      <c r="Z36" s="10" t="s">
        <v>175</v>
      </c>
    </row>
    <row r="37">
      <c r="A37" s="3" t="s">
        <v>48</v>
      </c>
      <c r="B37" s="4" t="s">
        <v>2864</v>
      </c>
      <c r="C37" s="1" t="s">
        <v>2865</v>
      </c>
      <c r="D37" s="3" t="s">
        <v>2866</v>
      </c>
      <c r="E37" s="1" t="s">
        <v>30</v>
      </c>
      <c r="F37" s="5">
        <v>14450.0</v>
      </c>
      <c r="G37" s="1" t="s">
        <v>31</v>
      </c>
      <c r="H37" s="3" t="s">
        <v>32</v>
      </c>
      <c r="I37" s="1">
        <v>-6.1410163</v>
      </c>
      <c r="J37" s="3">
        <v>106.7855633</v>
      </c>
      <c r="K37" s="6" t="s">
        <v>2867</v>
      </c>
      <c r="L37" s="11" t="str">
        <f t="shared" si="1"/>
        <v/>
      </c>
      <c r="Z37" s="2" t="s">
        <v>34</v>
      </c>
    </row>
    <row r="38">
      <c r="A38" s="3" t="s">
        <v>48</v>
      </c>
      <c r="B38" s="4" t="s">
        <v>2868</v>
      </c>
      <c r="C38" s="1" t="s">
        <v>2869</v>
      </c>
      <c r="D38" s="3" t="s">
        <v>2870</v>
      </c>
      <c r="E38" s="1" t="s">
        <v>30</v>
      </c>
      <c r="F38" s="5">
        <v>14460.0</v>
      </c>
      <c r="G38" s="1" t="s">
        <v>31</v>
      </c>
      <c r="H38" s="3" t="s">
        <v>32</v>
      </c>
      <c r="I38" s="1">
        <v>-6.1351271</v>
      </c>
      <c r="J38" s="3">
        <v>106.7559352</v>
      </c>
      <c r="K38" s="6" t="s">
        <v>2871</v>
      </c>
      <c r="L38" s="11">
        <f t="shared" si="1"/>
        <v>18333333.33</v>
      </c>
      <c r="M38" s="11">
        <f>5500000000/300</f>
        <v>18333333.33</v>
      </c>
      <c r="Z38" s="10" t="s">
        <v>175</v>
      </c>
    </row>
    <row r="39">
      <c r="A39" s="3" t="s">
        <v>48</v>
      </c>
      <c r="B39" s="4" t="s">
        <v>2872</v>
      </c>
      <c r="C39" s="1" t="s">
        <v>2873</v>
      </c>
      <c r="D39" s="3" t="s">
        <v>2874</v>
      </c>
      <c r="E39" s="1" t="s">
        <v>30</v>
      </c>
      <c r="F39" s="5">
        <v>14460.0</v>
      </c>
      <c r="G39" s="1" t="s">
        <v>31</v>
      </c>
      <c r="H39" s="3" t="s">
        <v>32</v>
      </c>
      <c r="I39" s="1">
        <v>-6.1081689</v>
      </c>
      <c r="J39" s="3">
        <v>106.7537577</v>
      </c>
      <c r="K39" s="6" t="s">
        <v>2875</v>
      </c>
      <c r="L39" s="11">
        <f t="shared" si="1"/>
        <v>36666666.67</v>
      </c>
      <c r="M39" s="11">
        <f>14500000000/240</f>
        <v>60416666.67</v>
      </c>
      <c r="N39" s="11">
        <f>4400000000/120</f>
        <v>36666666.67</v>
      </c>
      <c r="O39" s="11">
        <f>1900000000/60</f>
        <v>31666666.67</v>
      </c>
      <c r="P39" s="11">
        <f>5100000000/150</f>
        <v>34000000</v>
      </c>
      <c r="Q39" s="11">
        <f>3400000000/90</f>
        <v>37777777.78</v>
      </c>
      <c r="R39" s="11">
        <f>21000000000/640</f>
        <v>32812500</v>
      </c>
      <c r="S39" s="11">
        <f>5300000000/120</f>
        <v>44166666.67</v>
      </c>
      <c r="T39" s="11">
        <f>21500000000/640</f>
        <v>33593750</v>
      </c>
      <c r="U39" s="11">
        <f>30000000000/608</f>
        <v>49342105.26</v>
      </c>
      <c r="Z39" s="10" t="s">
        <v>175</v>
      </c>
    </row>
    <row r="40">
      <c r="A40" s="3" t="s">
        <v>48</v>
      </c>
      <c r="B40" s="4" t="s">
        <v>2876</v>
      </c>
      <c r="C40" s="1" t="s">
        <v>2877</v>
      </c>
      <c r="D40" s="3" t="s">
        <v>2878</v>
      </c>
      <c r="E40" s="1" t="s">
        <v>30</v>
      </c>
      <c r="F40" s="5">
        <v>14460.0</v>
      </c>
      <c r="G40" s="1" t="s">
        <v>31</v>
      </c>
      <c r="H40" s="9">
        <v>8.56E10</v>
      </c>
      <c r="I40" s="1">
        <v>-6.1097752</v>
      </c>
      <c r="J40" s="3">
        <v>106.7528811</v>
      </c>
      <c r="K40" s="6" t="s">
        <v>2879</v>
      </c>
      <c r="L40" s="11">
        <f t="shared" si="1"/>
        <v>45575339.48</v>
      </c>
      <c r="M40" s="11">
        <f>21000000000/377</f>
        <v>55702917.77</v>
      </c>
      <c r="N40" s="11">
        <f>19000000000/536</f>
        <v>35447761.19</v>
      </c>
      <c r="Z40" s="10" t="s">
        <v>2749</v>
      </c>
    </row>
    <row r="41">
      <c r="A41" s="3" t="s">
        <v>48</v>
      </c>
      <c r="B41" s="4" t="s">
        <v>2868</v>
      </c>
      <c r="C41" s="1" t="s">
        <v>2880</v>
      </c>
      <c r="D41" s="3" t="s">
        <v>2881</v>
      </c>
      <c r="E41" s="1" t="s">
        <v>30</v>
      </c>
      <c r="F41" s="5">
        <v>14460.0</v>
      </c>
      <c r="G41" s="1" t="s">
        <v>31</v>
      </c>
      <c r="H41" s="3" t="s">
        <v>32</v>
      </c>
      <c r="I41" s="1">
        <v>-6.1301818</v>
      </c>
      <c r="J41" s="3">
        <v>106.7579836</v>
      </c>
      <c r="K41" s="6" t="s">
        <v>2882</v>
      </c>
      <c r="L41" s="11">
        <f t="shared" si="1"/>
        <v>18333333.33</v>
      </c>
      <c r="M41" s="11">
        <f>5500000000/300</f>
        <v>18333333.33</v>
      </c>
      <c r="Z41" s="10" t="s">
        <v>175</v>
      </c>
    </row>
    <row r="42">
      <c r="A42" s="3" t="s">
        <v>48</v>
      </c>
      <c r="B42" s="4" t="s">
        <v>2883</v>
      </c>
      <c r="C42" s="1" t="s">
        <v>2884</v>
      </c>
      <c r="D42" s="3" t="s">
        <v>2885</v>
      </c>
      <c r="E42" s="1" t="s">
        <v>30</v>
      </c>
      <c r="F42" s="5">
        <v>14470.0</v>
      </c>
      <c r="G42" s="1" t="s">
        <v>31</v>
      </c>
      <c r="H42" s="3" t="s">
        <v>32</v>
      </c>
      <c r="I42" s="1">
        <v>-6.104115</v>
      </c>
      <c r="J42" s="3">
        <v>106.7461066</v>
      </c>
      <c r="K42" s="6" t="s">
        <v>2886</v>
      </c>
      <c r="L42" s="11" t="str">
        <f t="shared" si="1"/>
        <v/>
      </c>
      <c r="Z42" s="2" t="s">
        <v>34</v>
      </c>
    </row>
    <row r="43">
      <c r="A43" s="3" t="s">
        <v>48</v>
      </c>
      <c r="B43" s="4" t="s">
        <v>2887</v>
      </c>
      <c r="C43" s="1" t="s">
        <v>2888</v>
      </c>
      <c r="D43" s="3" t="s">
        <v>2889</v>
      </c>
      <c r="E43" s="1" t="s">
        <v>30</v>
      </c>
      <c r="F43" s="5">
        <v>14340.0</v>
      </c>
      <c r="G43" s="1" t="s">
        <v>31</v>
      </c>
      <c r="H43" s="3" t="s">
        <v>32</v>
      </c>
      <c r="I43" s="1">
        <v>-6.1292793</v>
      </c>
      <c r="J43" s="3">
        <v>106.8616922</v>
      </c>
      <c r="K43" s="6" t="s">
        <v>2890</v>
      </c>
      <c r="L43" s="11">
        <f t="shared" si="1"/>
        <v>23809523.81</v>
      </c>
      <c r="M43" s="11">
        <f>7200000000/327</f>
        <v>22018348.62</v>
      </c>
      <c r="N43" s="11">
        <f>2500000000/105</f>
        <v>23809523.81</v>
      </c>
      <c r="O43" s="11">
        <f>8500000000/327</f>
        <v>25993883.79</v>
      </c>
      <c r="Z43" s="10" t="s">
        <v>175</v>
      </c>
    </row>
    <row r="44">
      <c r="A44" s="3" t="s">
        <v>48</v>
      </c>
      <c r="B44" s="4" t="s">
        <v>2891</v>
      </c>
      <c r="C44" s="1" t="s">
        <v>2892</v>
      </c>
      <c r="D44" s="3" t="s">
        <v>2893</v>
      </c>
      <c r="E44" s="1" t="s">
        <v>30</v>
      </c>
      <c r="F44" s="5">
        <v>14370.0</v>
      </c>
      <c r="G44" s="1" t="s">
        <v>31</v>
      </c>
      <c r="H44" s="3" t="s">
        <v>32</v>
      </c>
      <c r="I44" s="1">
        <v>-6.1258878</v>
      </c>
      <c r="J44" s="3">
        <v>106.8738004</v>
      </c>
      <c r="K44" s="6" t="s">
        <v>2894</v>
      </c>
      <c r="L44" s="11" t="str">
        <f t="shared" si="1"/>
        <v/>
      </c>
      <c r="Z44" s="2" t="s">
        <v>34</v>
      </c>
    </row>
    <row r="45">
      <c r="A45" s="3" t="s">
        <v>48</v>
      </c>
      <c r="B45" s="4" t="s">
        <v>2895</v>
      </c>
      <c r="C45" s="1" t="s">
        <v>2896</v>
      </c>
      <c r="D45" s="3" t="s">
        <v>2897</v>
      </c>
      <c r="E45" s="1" t="s">
        <v>30</v>
      </c>
      <c r="F45" s="5">
        <v>14350.0</v>
      </c>
      <c r="G45" s="1" t="s">
        <v>31</v>
      </c>
      <c r="H45" s="3" t="s">
        <v>32</v>
      </c>
      <c r="I45" s="1">
        <v>-6.1345289</v>
      </c>
      <c r="J45" s="3">
        <v>106.8618021</v>
      </c>
      <c r="K45" s="6" t="s">
        <v>2898</v>
      </c>
      <c r="L45" s="11">
        <f t="shared" si="1"/>
        <v>115294117.6</v>
      </c>
      <c r="M45" s="11">
        <f>9800000000/85</f>
        <v>115294117.6</v>
      </c>
      <c r="Z45" s="10" t="s">
        <v>2728</v>
      </c>
    </row>
    <row r="46">
      <c r="A46" s="3" t="s">
        <v>48</v>
      </c>
      <c r="B46" s="4" t="s">
        <v>685</v>
      </c>
      <c r="C46" s="1" t="s">
        <v>2899</v>
      </c>
      <c r="D46" s="3" t="s">
        <v>2900</v>
      </c>
      <c r="E46" s="1" t="s">
        <v>30</v>
      </c>
      <c r="F46" s="5">
        <v>14350.0</v>
      </c>
      <c r="G46" s="1" t="s">
        <v>31</v>
      </c>
      <c r="H46" s="3" t="s">
        <v>32</v>
      </c>
      <c r="I46" s="1">
        <v>-6.1413987</v>
      </c>
      <c r="J46" s="3">
        <v>106.8711826</v>
      </c>
      <c r="K46" s="6" t="s">
        <v>2901</v>
      </c>
      <c r="L46" s="11" t="str">
        <f t="shared" si="1"/>
        <v/>
      </c>
      <c r="Z46" s="2" t="s">
        <v>34</v>
      </c>
    </row>
    <row r="47">
      <c r="A47" s="3" t="s">
        <v>48</v>
      </c>
      <c r="B47" s="4" t="s">
        <v>2902</v>
      </c>
      <c r="C47" s="1" t="s">
        <v>2903</v>
      </c>
      <c r="D47" s="3" t="s">
        <v>2904</v>
      </c>
      <c r="E47" s="1" t="s">
        <v>30</v>
      </c>
      <c r="F47" s="5">
        <v>14360.0</v>
      </c>
      <c r="G47" s="1" t="s">
        <v>31</v>
      </c>
      <c r="H47" s="3" t="s">
        <v>32</v>
      </c>
      <c r="I47" s="1">
        <v>-6.1537964</v>
      </c>
      <c r="J47" s="3">
        <v>106.8697435</v>
      </c>
      <c r="K47" s="6" t="s">
        <v>2905</v>
      </c>
      <c r="L47" s="11" t="str">
        <f t="shared" si="1"/>
        <v/>
      </c>
      <c r="Z47" s="2" t="s">
        <v>34</v>
      </c>
    </row>
    <row r="48">
      <c r="A48" s="3" t="s">
        <v>48</v>
      </c>
      <c r="B48" s="4" t="s">
        <v>2906</v>
      </c>
      <c r="C48" s="1" t="s">
        <v>2907</v>
      </c>
      <c r="D48" s="3" t="s">
        <v>2908</v>
      </c>
      <c r="E48" s="1" t="s">
        <v>30</v>
      </c>
      <c r="F48" s="5">
        <v>14360.0</v>
      </c>
      <c r="G48" s="1" t="s">
        <v>31</v>
      </c>
      <c r="H48" s="9">
        <v>8.58E10</v>
      </c>
      <c r="I48" s="1">
        <v>-6.153587</v>
      </c>
      <c r="J48" s="3">
        <v>106.8723143</v>
      </c>
      <c r="K48" s="6" t="s">
        <v>2909</v>
      </c>
      <c r="L48" s="11" t="str">
        <f t="shared" si="1"/>
        <v/>
      </c>
      <c r="Z48" s="2" t="s">
        <v>34</v>
      </c>
    </row>
    <row r="49">
      <c r="A49" s="3" t="s">
        <v>48</v>
      </c>
      <c r="B49" s="4" t="s">
        <v>2910</v>
      </c>
      <c r="C49" s="1" t="s">
        <v>2911</v>
      </c>
      <c r="D49" s="3" t="s">
        <v>2912</v>
      </c>
      <c r="E49" s="1" t="s">
        <v>30</v>
      </c>
      <c r="F49" s="5">
        <v>14360.0</v>
      </c>
      <c r="G49" s="1" t="s">
        <v>31</v>
      </c>
      <c r="H49" s="3" t="s">
        <v>32</v>
      </c>
      <c r="I49" s="1">
        <v>-6.155832</v>
      </c>
      <c r="J49" s="3">
        <v>106.8716325</v>
      </c>
      <c r="K49" s="6" t="s">
        <v>2913</v>
      </c>
      <c r="L49" s="11">
        <f t="shared" si="1"/>
        <v>11111111.11</v>
      </c>
      <c r="M49" s="11">
        <f>1000000000/90</f>
        <v>11111111.11</v>
      </c>
      <c r="Z49" s="10" t="s">
        <v>2749</v>
      </c>
    </row>
    <row r="50">
      <c r="A50" s="3" t="s">
        <v>48</v>
      </c>
      <c r="B50" s="4" t="s">
        <v>2914</v>
      </c>
      <c r="C50" s="1" t="s">
        <v>2915</v>
      </c>
      <c r="D50" s="3" t="s">
        <v>2916</v>
      </c>
      <c r="E50" s="1" t="s">
        <v>30</v>
      </c>
      <c r="F50" s="5">
        <v>14370.0</v>
      </c>
      <c r="G50" s="1" t="s">
        <v>31</v>
      </c>
      <c r="H50" s="3" t="s">
        <v>32</v>
      </c>
      <c r="I50" s="1">
        <v>-6.1215173</v>
      </c>
      <c r="J50" s="3">
        <v>106.876669</v>
      </c>
      <c r="K50" s="6" t="s">
        <v>2917</v>
      </c>
      <c r="L50" s="11" t="str">
        <f t="shared" si="1"/>
        <v/>
      </c>
      <c r="Z50" s="2" t="s">
        <v>34</v>
      </c>
    </row>
    <row r="51">
      <c r="A51" s="3" t="s">
        <v>48</v>
      </c>
      <c r="B51" s="4" t="s">
        <v>2918</v>
      </c>
      <c r="C51" s="1" t="s">
        <v>2919</v>
      </c>
      <c r="D51" s="3" t="s">
        <v>2920</v>
      </c>
      <c r="E51" s="1" t="s">
        <v>30</v>
      </c>
      <c r="F51" s="5">
        <v>14370.0</v>
      </c>
      <c r="G51" s="1" t="s">
        <v>31</v>
      </c>
      <c r="H51" s="3" t="s">
        <v>32</v>
      </c>
      <c r="I51" s="1">
        <v>-6.1209052</v>
      </c>
      <c r="J51" s="3">
        <v>106.8805066</v>
      </c>
      <c r="K51" s="6" t="s">
        <v>2921</v>
      </c>
      <c r="L51" s="11">
        <f t="shared" si="1"/>
        <v>20476190.48</v>
      </c>
      <c r="M51" s="11">
        <f>370000000/21</f>
        <v>17619047.62</v>
      </c>
      <c r="N51" s="11">
        <f>560000000/24</f>
        <v>23333333.33</v>
      </c>
      <c r="Z51" s="10" t="s">
        <v>2749</v>
      </c>
    </row>
    <row r="52">
      <c r="A52" s="3" t="s">
        <v>48</v>
      </c>
      <c r="B52" s="4" t="s">
        <v>2922</v>
      </c>
      <c r="C52" s="1" t="s">
        <v>2923</v>
      </c>
      <c r="D52" s="3" t="s">
        <v>2924</v>
      </c>
      <c r="E52" s="1" t="s">
        <v>30</v>
      </c>
      <c r="F52" s="5">
        <v>14120.0</v>
      </c>
      <c r="G52" s="1" t="s">
        <v>31</v>
      </c>
      <c r="H52" s="9">
        <v>8.23E10</v>
      </c>
      <c r="I52" s="1">
        <v>-6.1028653</v>
      </c>
      <c r="J52" s="3">
        <v>106.9312721</v>
      </c>
      <c r="K52" s="6" t="s">
        <v>2925</v>
      </c>
      <c r="L52" s="11" t="str">
        <f t="shared" si="1"/>
        <v/>
      </c>
      <c r="Z52" s="2" t="s">
        <v>34</v>
      </c>
    </row>
    <row r="53">
      <c r="A53" s="3" t="s">
        <v>48</v>
      </c>
      <c r="B53" s="4" t="s">
        <v>2926</v>
      </c>
      <c r="C53" s="1" t="s">
        <v>2927</v>
      </c>
      <c r="D53" s="3" t="s">
        <v>2928</v>
      </c>
      <c r="E53" s="1" t="s">
        <v>30</v>
      </c>
      <c r="F53" s="5">
        <v>14130.0</v>
      </c>
      <c r="G53" s="1" t="s">
        <v>31</v>
      </c>
      <c r="H53" s="3" t="s">
        <v>32</v>
      </c>
      <c r="I53" s="1">
        <v>-6.1290203</v>
      </c>
      <c r="J53" s="3">
        <v>106.9253675</v>
      </c>
      <c r="K53" s="6" t="s">
        <v>2929</v>
      </c>
      <c r="L53" s="11">
        <f t="shared" si="1"/>
        <v>5000000</v>
      </c>
      <c r="M53" s="11">
        <f>800000000/160</f>
        <v>5000000</v>
      </c>
      <c r="Z53" s="10" t="s">
        <v>175</v>
      </c>
    </row>
    <row r="54">
      <c r="A54" s="3" t="s">
        <v>48</v>
      </c>
      <c r="B54" s="4" t="s">
        <v>2930</v>
      </c>
      <c r="C54" s="1" t="s">
        <v>2931</v>
      </c>
      <c r="D54" s="3" t="s">
        <v>2932</v>
      </c>
      <c r="E54" s="1" t="s">
        <v>30</v>
      </c>
      <c r="F54" s="5">
        <v>14140.0</v>
      </c>
      <c r="G54" s="1" t="s">
        <v>31</v>
      </c>
      <c r="H54" s="3" t="s">
        <v>32</v>
      </c>
      <c r="I54" s="1">
        <v>-6.1404554</v>
      </c>
      <c r="J54" s="3">
        <v>106.9501965</v>
      </c>
      <c r="K54" s="6" t="s">
        <v>2933</v>
      </c>
      <c r="L54" s="11">
        <f t="shared" si="1"/>
        <v>10649509.8</v>
      </c>
      <c r="M54" s="11">
        <f>1070000000/102</f>
        <v>10490196.08</v>
      </c>
      <c r="N54" s="11">
        <f>1470000000/136</f>
        <v>10808823.53</v>
      </c>
      <c r="Z54" s="10" t="s">
        <v>175</v>
      </c>
    </row>
    <row r="55">
      <c r="A55" s="3" t="s">
        <v>48</v>
      </c>
      <c r="B55" s="4" t="s">
        <v>2934</v>
      </c>
      <c r="C55" s="1" t="s">
        <v>2935</v>
      </c>
      <c r="D55" s="3" t="s">
        <v>2936</v>
      </c>
      <c r="E55" s="1" t="s">
        <v>30</v>
      </c>
      <c r="F55" s="5">
        <v>14140.0</v>
      </c>
      <c r="G55" s="1" t="s">
        <v>31</v>
      </c>
      <c r="H55" s="9">
        <v>8.52E10</v>
      </c>
      <c r="I55" s="1">
        <v>-6.1485804</v>
      </c>
      <c r="J55" s="3">
        <v>106.9545017</v>
      </c>
      <c r="K55" s="6" t="s">
        <v>2937</v>
      </c>
      <c r="L55" s="11">
        <f t="shared" si="1"/>
        <v>12026315.79</v>
      </c>
      <c r="M55" s="11">
        <f>914000000/76</f>
        <v>12026315.79</v>
      </c>
      <c r="N55" s="11">
        <f>1040000000/60</f>
        <v>17333333.33</v>
      </c>
      <c r="O55" s="11">
        <f>1420000000/234</f>
        <v>6068376.068</v>
      </c>
      <c r="Z55" s="10" t="s">
        <v>175</v>
      </c>
    </row>
    <row r="56">
      <c r="A56" s="3" t="s">
        <v>48</v>
      </c>
      <c r="B56" s="4" t="s">
        <v>2938</v>
      </c>
      <c r="C56" s="1" t="s">
        <v>2939</v>
      </c>
      <c r="D56" s="3" t="s">
        <v>2940</v>
      </c>
      <c r="E56" s="1" t="s">
        <v>30</v>
      </c>
      <c r="F56" s="5">
        <v>14240.0</v>
      </c>
      <c r="G56" s="1" t="s">
        <v>31</v>
      </c>
      <c r="H56" s="3" t="s">
        <v>32</v>
      </c>
      <c r="I56" s="1">
        <v>-6.1637037</v>
      </c>
      <c r="J56" s="3">
        <v>106.8921638</v>
      </c>
      <c r="K56" s="6" t="s">
        <v>2941</v>
      </c>
      <c r="L56" s="11">
        <f t="shared" si="1"/>
        <v>36818181.82</v>
      </c>
      <c r="M56" s="11">
        <f>20250000000/550</f>
        <v>36818181.82</v>
      </c>
      <c r="N56" s="11">
        <f>8800000000/225</f>
        <v>39111111.11</v>
      </c>
      <c r="O56" s="11">
        <f>18000000000/500</f>
        <v>36000000</v>
      </c>
      <c r="Z56" s="10" t="s">
        <v>2749</v>
      </c>
    </row>
    <row r="57">
      <c r="A57" s="3" t="s">
        <v>48</v>
      </c>
      <c r="B57" s="4" t="s">
        <v>2942</v>
      </c>
      <c r="C57" s="1" t="s">
        <v>2943</v>
      </c>
      <c r="D57" s="3" t="s">
        <v>2944</v>
      </c>
      <c r="E57" s="1" t="s">
        <v>30</v>
      </c>
      <c r="F57" s="5">
        <v>14240.0</v>
      </c>
      <c r="G57" s="1" t="s">
        <v>31</v>
      </c>
      <c r="H57" s="3" t="s">
        <v>32</v>
      </c>
      <c r="I57" s="1">
        <v>-6.1719811</v>
      </c>
      <c r="J57" s="3">
        <v>106.8969125</v>
      </c>
      <c r="K57" s="6" t="s">
        <v>2945</v>
      </c>
      <c r="L57" s="11">
        <f t="shared" si="1"/>
        <v>21914924.51</v>
      </c>
      <c r="M57" s="11">
        <f>2500000000/120</f>
        <v>20833333.33</v>
      </c>
      <c r="N57" s="11">
        <f>3550000000/239</f>
        <v>14853556.49</v>
      </c>
      <c r="O57" s="11">
        <f>6500000000/240</f>
        <v>27083333.33</v>
      </c>
      <c r="P57" s="11">
        <f>6800000000/292</f>
        <v>23287671.23</v>
      </c>
      <c r="Q57" s="11">
        <f>6600000000/287</f>
        <v>22996515.68</v>
      </c>
      <c r="R57" s="11">
        <f>4500000000/239</f>
        <v>18828451.88</v>
      </c>
      <c r="Z57" s="10" t="s">
        <v>2774</v>
      </c>
    </row>
    <row r="58">
      <c r="A58" s="3" t="s">
        <v>48</v>
      </c>
      <c r="B58" s="4" t="s">
        <v>2946</v>
      </c>
      <c r="C58" s="1" t="s">
        <v>2947</v>
      </c>
      <c r="D58" s="3" t="s">
        <v>2948</v>
      </c>
      <c r="E58" s="1" t="s">
        <v>30</v>
      </c>
      <c r="F58" s="5">
        <v>14240.0</v>
      </c>
      <c r="G58" s="1" t="s">
        <v>31</v>
      </c>
      <c r="H58" s="3" t="s">
        <v>32</v>
      </c>
      <c r="I58" s="1">
        <v>-6.167268</v>
      </c>
      <c r="J58" s="3">
        <v>106.9088347</v>
      </c>
      <c r="K58" s="6" t="s">
        <v>2949</v>
      </c>
      <c r="L58" s="11">
        <f t="shared" si="1"/>
        <v>32467532.47</v>
      </c>
      <c r="M58" s="11">
        <f>2500000000/77</f>
        <v>32467532.47</v>
      </c>
      <c r="N58" s="11">
        <f>4000000000/90</f>
        <v>44444444.44</v>
      </c>
      <c r="O58" s="11">
        <f>2200000000/105</f>
        <v>20952380.95</v>
      </c>
      <c r="P58" s="11">
        <f>2500000000/77</f>
        <v>32467532.47</v>
      </c>
      <c r="Z58" s="10" t="s">
        <v>175</v>
      </c>
    </row>
    <row r="59">
      <c r="A59" s="3" t="s">
        <v>48</v>
      </c>
      <c r="B59" s="4" t="s">
        <v>2950</v>
      </c>
      <c r="C59" s="1" t="s">
        <v>2951</v>
      </c>
      <c r="D59" s="3" t="s">
        <v>2952</v>
      </c>
      <c r="E59" s="1" t="s">
        <v>30</v>
      </c>
      <c r="F59" s="5">
        <v>14240.0</v>
      </c>
      <c r="G59" s="1" t="s">
        <v>31</v>
      </c>
      <c r="H59" s="3" t="s">
        <v>32</v>
      </c>
      <c r="I59" s="1">
        <v>-6.1420109</v>
      </c>
      <c r="J59" s="3">
        <v>106.8982374</v>
      </c>
      <c r="K59" s="6" t="s">
        <v>2953</v>
      </c>
      <c r="L59" s="11">
        <f t="shared" si="1"/>
        <v>37834224.6</v>
      </c>
      <c r="M59" s="11">
        <f>13000000000/263</f>
        <v>49429657.79</v>
      </c>
      <c r="N59" s="11">
        <f>5850000000/153</f>
        <v>38235294.12</v>
      </c>
      <c r="O59" s="11">
        <f>6950000000/220</f>
        <v>31590909.09</v>
      </c>
      <c r="P59" s="11">
        <f>7100000000/220</f>
        <v>32272727.27</v>
      </c>
      <c r="Q59" s="11">
        <f>7000000000/187</f>
        <v>37433155.08</v>
      </c>
      <c r="R59" s="11">
        <f>8500000000/180</f>
        <v>47222222.22</v>
      </c>
      <c r="Z59" s="10" t="s">
        <v>175</v>
      </c>
    </row>
    <row r="60">
      <c r="A60" s="3" t="s">
        <v>48</v>
      </c>
      <c r="B60" s="4" t="s">
        <v>2954</v>
      </c>
      <c r="C60" s="1" t="s">
        <v>2955</v>
      </c>
      <c r="D60" s="3" t="s">
        <v>2956</v>
      </c>
      <c r="E60" s="1" t="s">
        <v>30</v>
      </c>
      <c r="F60" s="5">
        <v>14320.0</v>
      </c>
      <c r="G60" s="1" t="s">
        <v>31</v>
      </c>
      <c r="H60" s="3" t="s">
        <v>32</v>
      </c>
      <c r="I60" s="1">
        <v>-6.1239947</v>
      </c>
      <c r="J60" s="3">
        <v>106.8884827</v>
      </c>
      <c r="K60" s="6" t="s">
        <v>2957</v>
      </c>
      <c r="L60" s="11">
        <f t="shared" si="1"/>
        <v>22380952.38</v>
      </c>
      <c r="M60" s="11">
        <f>470000000/21</f>
        <v>22380952.38</v>
      </c>
      <c r="Z60" s="10" t="s">
        <v>2749</v>
      </c>
    </row>
    <row r="61">
      <c r="A61" s="3" t="s">
        <v>48</v>
      </c>
      <c r="B61" s="4" t="s">
        <v>2958</v>
      </c>
      <c r="C61" s="1" t="s">
        <v>2959</v>
      </c>
      <c r="D61" s="3" t="s">
        <v>2960</v>
      </c>
      <c r="E61" s="1" t="s">
        <v>30</v>
      </c>
      <c r="F61" s="5">
        <v>14430.0</v>
      </c>
      <c r="G61" s="1" t="s">
        <v>31</v>
      </c>
      <c r="H61" s="3" t="s">
        <v>32</v>
      </c>
      <c r="I61" s="1">
        <v>-6.123683</v>
      </c>
      <c r="J61" s="3">
        <v>106.825455</v>
      </c>
      <c r="K61" s="6" t="s">
        <v>2961</v>
      </c>
      <c r="L61" s="11" t="str">
        <f t="shared" si="1"/>
        <v/>
      </c>
      <c r="Z61" s="2" t="s">
        <v>34</v>
      </c>
    </row>
    <row r="62">
      <c r="A62" s="3" t="s">
        <v>35</v>
      </c>
      <c r="B62" s="3" t="s">
        <v>2962</v>
      </c>
      <c r="C62" s="1" t="s">
        <v>2963</v>
      </c>
      <c r="D62" s="3" t="s">
        <v>2964</v>
      </c>
      <c r="E62" s="1" t="s">
        <v>30</v>
      </c>
      <c r="F62" s="5">
        <v>14450.0</v>
      </c>
      <c r="G62" s="1" t="s">
        <v>31</v>
      </c>
      <c r="H62" s="3" t="s">
        <v>32</v>
      </c>
      <c r="I62" s="1">
        <v>-6.1066477</v>
      </c>
      <c r="J62" s="3">
        <v>106.7906885</v>
      </c>
      <c r="K62" s="6" t="s">
        <v>2965</v>
      </c>
      <c r="L62" s="11" t="str">
        <f t="shared" si="1"/>
        <v/>
      </c>
      <c r="Z62" s="2" t="s">
        <v>34</v>
      </c>
    </row>
    <row r="63">
      <c r="A63" s="3" t="s">
        <v>48</v>
      </c>
      <c r="B63" s="4" t="s">
        <v>2966</v>
      </c>
      <c r="C63" s="1" t="s">
        <v>2967</v>
      </c>
      <c r="D63" s="3" t="s">
        <v>2968</v>
      </c>
      <c r="E63" s="1" t="s">
        <v>30</v>
      </c>
      <c r="F63" s="5">
        <v>14450.0</v>
      </c>
      <c r="G63" s="1" t="s">
        <v>31</v>
      </c>
      <c r="H63" s="3" t="s">
        <v>32</v>
      </c>
      <c r="I63" s="1">
        <v>-6.122061</v>
      </c>
      <c r="J63" s="3">
        <v>106.7958252</v>
      </c>
      <c r="K63" s="6" t="s">
        <v>2969</v>
      </c>
      <c r="L63" s="11" t="str">
        <f t="shared" si="1"/>
        <v/>
      </c>
      <c r="Z63" s="2" t="s">
        <v>34</v>
      </c>
    </row>
    <row r="64">
      <c r="A64" s="3" t="s">
        <v>48</v>
      </c>
      <c r="B64" s="4" t="s">
        <v>2970</v>
      </c>
      <c r="C64" s="1" t="s">
        <v>2971</v>
      </c>
      <c r="D64" s="3" t="s">
        <v>2972</v>
      </c>
      <c r="E64" s="1" t="s">
        <v>30</v>
      </c>
      <c r="F64" s="5">
        <v>14450.0</v>
      </c>
      <c r="G64" s="1" t="s">
        <v>31</v>
      </c>
      <c r="H64" s="3" t="s">
        <v>32</v>
      </c>
      <c r="I64" s="1">
        <v>-6.1044743</v>
      </c>
      <c r="J64" s="3">
        <v>106.7956433</v>
      </c>
      <c r="K64" s="6" t="s">
        <v>2973</v>
      </c>
      <c r="L64" s="11" t="str">
        <f t="shared" si="1"/>
        <v/>
      </c>
      <c r="Z64" s="2" t="s">
        <v>34</v>
      </c>
    </row>
    <row r="65">
      <c r="A65" s="3" t="s">
        <v>48</v>
      </c>
      <c r="B65" s="4" t="s">
        <v>2974</v>
      </c>
      <c r="C65" s="1" t="s">
        <v>2975</v>
      </c>
      <c r="D65" s="3" t="s">
        <v>2976</v>
      </c>
      <c r="E65" s="1" t="s">
        <v>30</v>
      </c>
      <c r="F65" s="5">
        <v>14450.0</v>
      </c>
      <c r="G65" s="1" t="s">
        <v>31</v>
      </c>
      <c r="H65" s="3" t="s">
        <v>32</v>
      </c>
      <c r="I65" s="1">
        <v>-6.1414447</v>
      </c>
      <c r="J65" s="3">
        <v>106.795883</v>
      </c>
      <c r="K65" s="6" t="s">
        <v>2977</v>
      </c>
      <c r="L65" s="11" t="str">
        <f t="shared" si="1"/>
        <v/>
      </c>
      <c r="Z65" s="2" t="s">
        <v>34</v>
      </c>
    </row>
    <row r="66">
      <c r="A66" s="3" t="s">
        <v>48</v>
      </c>
      <c r="B66" s="4" t="s">
        <v>2978</v>
      </c>
      <c r="C66" s="1" t="s">
        <v>2979</v>
      </c>
      <c r="D66" s="3" t="s">
        <v>2980</v>
      </c>
      <c r="E66" s="1" t="s">
        <v>30</v>
      </c>
      <c r="F66" s="5">
        <v>14450.0</v>
      </c>
      <c r="G66" s="1" t="s">
        <v>31</v>
      </c>
      <c r="H66" s="3" t="s">
        <v>32</v>
      </c>
      <c r="I66" s="1">
        <v>-6.1128533</v>
      </c>
      <c r="J66" s="3">
        <v>106.7718085</v>
      </c>
      <c r="K66" s="6" t="s">
        <v>2981</v>
      </c>
      <c r="L66" s="11">
        <f t="shared" si="1"/>
        <v>39333333.33</v>
      </c>
      <c r="M66" s="11">
        <f>4200000000/90</f>
        <v>46666666.67</v>
      </c>
      <c r="N66" s="11">
        <f>4800000000/150</f>
        <v>32000000</v>
      </c>
      <c r="Z66" s="10" t="s">
        <v>175</v>
      </c>
    </row>
    <row r="67">
      <c r="A67" s="3" t="s">
        <v>48</v>
      </c>
      <c r="B67" s="4" t="s">
        <v>2982</v>
      </c>
      <c r="C67" s="1" t="s">
        <v>2983</v>
      </c>
      <c r="D67" s="3" t="s">
        <v>2984</v>
      </c>
      <c r="E67" s="1" t="s">
        <v>30</v>
      </c>
      <c r="F67" s="5">
        <v>14460.0</v>
      </c>
      <c r="G67" s="1" t="s">
        <v>31</v>
      </c>
      <c r="H67" s="3" t="s">
        <v>32</v>
      </c>
      <c r="I67" s="1">
        <v>-6.1209567</v>
      </c>
      <c r="J67" s="3">
        <v>106.7563908</v>
      </c>
      <c r="K67" s="6" t="s">
        <v>2985</v>
      </c>
      <c r="L67" s="11">
        <f t="shared" si="1"/>
        <v>51250000</v>
      </c>
      <c r="M67" s="11">
        <f>82000000000/1600</f>
        <v>51250000</v>
      </c>
      <c r="Z67" s="10" t="s">
        <v>175</v>
      </c>
    </row>
    <row r="68">
      <c r="A68" s="3" t="s">
        <v>48</v>
      </c>
      <c r="B68" s="4" t="s">
        <v>2986</v>
      </c>
      <c r="C68" s="1" t="s">
        <v>2987</v>
      </c>
      <c r="D68" s="3" t="s">
        <v>2988</v>
      </c>
      <c r="E68" s="1" t="s">
        <v>30</v>
      </c>
      <c r="F68" s="5">
        <v>14460.0</v>
      </c>
      <c r="G68" s="1" t="s">
        <v>31</v>
      </c>
      <c r="H68" s="3" t="s">
        <v>32</v>
      </c>
      <c r="I68" s="1">
        <v>-6.1318204</v>
      </c>
      <c r="J68" s="3">
        <v>106.7660899</v>
      </c>
      <c r="K68" s="6" t="s">
        <v>2989</v>
      </c>
      <c r="L68" s="11">
        <f t="shared" si="1"/>
        <v>22544642.86</v>
      </c>
      <c r="M68" s="11">
        <f>2900000000/200</f>
        <v>14500000</v>
      </c>
      <c r="N68" s="11">
        <f>3100000000/160</f>
        <v>19375000</v>
      </c>
      <c r="O68" s="11">
        <f>1800000000/70</f>
        <v>25714285.71</v>
      </c>
      <c r="P68" s="11">
        <f>2350000000/80</f>
        <v>29375000</v>
      </c>
      <c r="Z68" s="10" t="s">
        <v>175</v>
      </c>
    </row>
    <row r="69">
      <c r="A69" s="3" t="s">
        <v>48</v>
      </c>
      <c r="B69" s="4" t="s">
        <v>2990</v>
      </c>
      <c r="C69" s="1" t="s">
        <v>2991</v>
      </c>
      <c r="D69" s="3" t="s">
        <v>2992</v>
      </c>
      <c r="E69" s="1" t="s">
        <v>30</v>
      </c>
      <c r="F69" s="5">
        <v>14470.0</v>
      </c>
      <c r="G69" s="1" t="s">
        <v>31</v>
      </c>
      <c r="H69" s="3" t="s">
        <v>32</v>
      </c>
      <c r="I69" s="1">
        <v>-6.105591</v>
      </c>
      <c r="J69" s="3">
        <v>106.742534</v>
      </c>
      <c r="K69" s="6" t="s">
        <v>2993</v>
      </c>
      <c r="L69" s="11">
        <f t="shared" si="1"/>
        <v>20000000</v>
      </c>
      <c r="M69" s="11">
        <f>4000000000/200</f>
        <v>20000000</v>
      </c>
      <c r="Z69" s="10" t="s">
        <v>175</v>
      </c>
    </row>
    <row r="70">
      <c r="A70" s="3" t="s">
        <v>48</v>
      </c>
      <c r="B70" s="4" t="s">
        <v>2994</v>
      </c>
      <c r="C70" s="1" t="s">
        <v>2995</v>
      </c>
      <c r="D70" s="3" t="s">
        <v>2996</v>
      </c>
      <c r="E70" s="1" t="s">
        <v>30</v>
      </c>
      <c r="F70" s="5">
        <v>14470.0</v>
      </c>
      <c r="G70" s="1" t="s">
        <v>31</v>
      </c>
      <c r="H70" s="3" t="s">
        <v>32</v>
      </c>
      <c r="I70" s="1">
        <v>-6.1056896</v>
      </c>
      <c r="J70" s="3">
        <v>106.7400571</v>
      </c>
      <c r="K70" s="6" t="s">
        <v>2997</v>
      </c>
      <c r="L70" s="11">
        <f t="shared" si="1"/>
        <v>41111111.11</v>
      </c>
      <c r="M70" s="11">
        <f>18500000000/450</f>
        <v>41111111.11</v>
      </c>
      <c r="N70" s="11">
        <f>20000000000/600</f>
        <v>33333333.33</v>
      </c>
      <c r="O70" s="11">
        <f>12000000000/250</f>
        <v>48000000</v>
      </c>
      <c r="Z70" s="10" t="s">
        <v>175</v>
      </c>
    </row>
    <row r="71">
      <c r="A71" s="3" t="s">
        <v>48</v>
      </c>
      <c r="B71" s="4" t="s">
        <v>2998</v>
      </c>
      <c r="C71" s="1" t="s">
        <v>2999</v>
      </c>
      <c r="D71" s="3" t="s">
        <v>3000</v>
      </c>
      <c r="E71" s="1" t="s">
        <v>30</v>
      </c>
      <c r="F71" s="5">
        <v>14310.0</v>
      </c>
      <c r="G71" s="1" t="s">
        <v>31</v>
      </c>
      <c r="H71" s="3" t="s">
        <v>32</v>
      </c>
      <c r="I71" s="1">
        <v>-6.120858</v>
      </c>
      <c r="J71" s="3">
        <v>106.8694431</v>
      </c>
      <c r="K71" s="6" t="s">
        <v>3001</v>
      </c>
      <c r="L71" s="11" t="str">
        <f t="shared" si="1"/>
        <v/>
      </c>
      <c r="Z71" s="2" t="s">
        <v>34</v>
      </c>
    </row>
    <row r="72">
      <c r="A72" s="3" t="s">
        <v>48</v>
      </c>
      <c r="B72" s="4" t="s">
        <v>3002</v>
      </c>
      <c r="C72" s="1" t="s">
        <v>3003</v>
      </c>
      <c r="D72" s="3" t="s">
        <v>3004</v>
      </c>
      <c r="E72" s="1" t="s">
        <v>30</v>
      </c>
      <c r="F72" s="5">
        <v>14330.0</v>
      </c>
      <c r="G72" s="1" t="s">
        <v>31</v>
      </c>
      <c r="H72" s="3" t="s">
        <v>32</v>
      </c>
      <c r="I72" s="1">
        <v>-6.1195499</v>
      </c>
      <c r="J72" s="3">
        <v>106.8827312</v>
      </c>
      <c r="K72" s="6" t="s">
        <v>3005</v>
      </c>
      <c r="L72" s="11">
        <f t="shared" si="1"/>
        <v>23545454.55</v>
      </c>
      <c r="M72" s="11">
        <f>777000000/33</f>
        <v>23545454.55</v>
      </c>
      <c r="Z72" s="10" t="s">
        <v>2749</v>
      </c>
    </row>
    <row r="73">
      <c r="A73" s="3" t="s">
        <v>48</v>
      </c>
      <c r="B73" s="4" t="s">
        <v>3006</v>
      </c>
      <c r="C73" s="1" t="s">
        <v>3007</v>
      </c>
      <c r="D73" s="3" t="s">
        <v>3008</v>
      </c>
      <c r="E73" s="1" t="s">
        <v>30</v>
      </c>
      <c r="F73" s="5">
        <v>14350.0</v>
      </c>
      <c r="G73" s="1" t="s">
        <v>31</v>
      </c>
      <c r="H73" s="3" t="s">
        <v>32</v>
      </c>
      <c r="I73" s="1">
        <v>-6.1355485</v>
      </c>
      <c r="J73" s="3">
        <v>106.8704439</v>
      </c>
      <c r="K73" s="6" t="s">
        <v>3009</v>
      </c>
      <c r="L73" s="11">
        <f t="shared" si="1"/>
        <v>23217909.69</v>
      </c>
      <c r="M73" s="11">
        <f>3400000000/146</f>
        <v>23287671.23</v>
      </c>
      <c r="N73" s="11">
        <f>3000000000/134</f>
        <v>22388059.7</v>
      </c>
      <c r="O73" s="11">
        <f>5000000000/216</f>
        <v>23148148.15</v>
      </c>
      <c r="P73" s="11">
        <f>3300000000/96</f>
        <v>34375000</v>
      </c>
      <c r="Q73" s="11">
        <f>4600000000/216</f>
        <v>21296296.3</v>
      </c>
      <c r="R73" s="11">
        <f>4750000000/177</f>
        <v>26836158.19</v>
      </c>
      <c r="Z73" s="10" t="s">
        <v>2774</v>
      </c>
    </row>
    <row r="74">
      <c r="A74" s="3" t="s">
        <v>48</v>
      </c>
      <c r="B74" s="4" t="s">
        <v>3010</v>
      </c>
      <c r="C74" s="1" t="s">
        <v>3011</v>
      </c>
      <c r="D74" s="3" t="s">
        <v>3012</v>
      </c>
      <c r="E74" s="1" t="s">
        <v>30</v>
      </c>
      <c r="F74" s="5">
        <v>14350.0</v>
      </c>
      <c r="G74" s="1" t="s">
        <v>31</v>
      </c>
      <c r="H74" s="3" t="s">
        <v>32</v>
      </c>
      <c r="I74" s="1">
        <v>-6.1386755</v>
      </c>
      <c r="J74" s="3">
        <v>106.8538411</v>
      </c>
      <c r="K74" s="6" t="s">
        <v>3013</v>
      </c>
      <c r="L74" s="11">
        <f t="shared" si="1"/>
        <v>42184684.68</v>
      </c>
      <c r="M74" s="11">
        <f>9000000000/216</f>
        <v>41666666.67</v>
      </c>
      <c r="N74" s="11">
        <f>7250000000/175</f>
        <v>41428571.43</v>
      </c>
      <c r="O74" s="11">
        <f>12500000000/263</f>
        <v>47528517.11</v>
      </c>
      <c r="P74" s="11">
        <f>7250000000/175</f>
        <v>41428571.43</v>
      </c>
      <c r="Q74" s="11">
        <f>6000000000/180</f>
        <v>33333333.33</v>
      </c>
      <c r="R74" s="11">
        <f>7900000000/185</f>
        <v>42702702.7</v>
      </c>
      <c r="S74" s="11">
        <f>8790000000/200</f>
        <v>43950000</v>
      </c>
      <c r="T74" s="11">
        <f>9000000000/200</f>
        <v>45000000</v>
      </c>
      <c r="U74" s="11">
        <f>7800000000/175</f>
        <v>44571428.57</v>
      </c>
      <c r="V74" s="11">
        <f>8000000000/185</f>
        <v>43243243.24</v>
      </c>
      <c r="W74" s="11">
        <f>19500000000/534</f>
        <v>36516853.93</v>
      </c>
      <c r="X74" s="11">
        <f>8500000000/216</f>
        <v>39351851.85</v>
      </c>
      <c r="Z74" s="10" t="s">
        <v>2774</v>
      </c>
    </row>
    <row r="75">
      <c r="A75" s="3" t="s">
        <v>48</v>
      </c>
      <c r="B75" s="4" t="s">
        <v>3014</v>
      </c>
      <c r="C75" s="1" t="s">
        <v>3015</v>
      </c>
      <c r="D75" s="3" t="s">
        <v>3016</v>
      </c>
      <c r="E75" s="1" t="s">
        <v>30</v>
      </c>
      <c r="F75" s="5">
        <v>14360.0</v>
      </c>
      <c r="G75" s="1" t="s">
        <v>31</v>
      </c>
      <c r="H75" s="3" t="s">
        <v>32</v>
      </c>
      <c r="I75" s="1">
        <v>-6.1565408</v>
      </c>
      <c r="J75" s="3">
        <v>106.8804506</v>
      </c>
      <c r="K75" s="6" t="s">
        <v>3017</v>
      </c>
      <c r="L75" s="11" t="str">
        <f t="shared" si="1"/>
        <v/>
      </c>
      <c r="Z75" s="2" t="s">
        <v>34</v>
      </c>
    </row>
    <row r="76">
      <c r="A76" s="3" t="s">
        <v>833</v>
      </c>
      <c r="B76" s="4" t="s">
        <v>3018</v>
      </c>
      <c r="C76" s="1" t="s">
        <v>3019</v>
      </c>
      <c r="D76" s="3" t="s">
        <v>3020</v>
      </c>
      <c r="E76" s="1" t="s">
        <v>30</v>
      </c>
      <c r="F76" s="5">
        <v>14240.0</v>
      </c>
      <c r="G76" s="1" t="s">
        <v>31</v>
      </c>
      <c r="H76" s="5">
        <v>2.1888167E7</v>
      </c>
      <c r="I76" s="1">
        <v>-6.1628176</v>
      </c>
      <c r="J76" s="3">
        <v>106.8928101</v>
      </c>
      <c r="K76" s="6" t="s">
        <v>3021</v>
      </c>
      <c r="L76" s="11" t="str">
        <f t="shared" si="1"/>
        <v/>
      </c>
      <c r="Z76" s="2" t="s">
        <v>34</v>
      </c>
    </row>
    <row r="77">
      <c r="A77" s="3" t="s">
        <v>839</v>
      </c>
      <c r="B77" s="4" t="s">
        <v>3022</v>
      </c>
      <c r="C77" s="1" t="s">
        <v>3023</v>
      </c>
      <c r="D77" s="3" t="s">
        <v>3024</v>
      </c>
      <c r="E77" s="1" t="s">
        <v>30</v>
      </c>
      <c r="F77" s="5">
        <v>14470.0</v>
      </c>
      <c r="G77" s="1" t="s">
        <v>31</v>
      </c>
      <c r="H77" s="3" t="s">
        <v>32</v>
      </c>
      <c r="I77" s="1">
        <v>-6.0949604</v>
      </c>
      <c r="J77" s="3">
        <v>106.7126307</v>
      </c>
      <c r="K77" s="6" t="s">
        <v>3025</v>
      </c>
      <c r="L77" s="11" t="str">
        <f t="shared" si="1"/>
        <v/>
      </c>
      <c r="Z77" s="2" t="s">
        <v>34</v>
      </c>
    </row>
    <row r="78">
      <c r="A78" s="3" t="s">
        <v>839</v>
      </c>
      <c r="B78" s="4" t="s">
        <v>3026</v>
      </c>
      <c r="C78" s="1" t="s">
        <v>3027</v>
      </c>
      <c r="D78" s="3" t="s">
        <v>3028</v>
      </c>
      <c r="E78" s="1" t="s">
        <v>30</v>
      </c>
      <c r="F78" s="5">
        <v>14360.0</v>
      </c>
      <c r="G78" s="1" t="s">
        <v>31</v>
      </c>
      <c r="H78" s="3" t="s">
        <v>32</v>
      </c>
      <c r="I78" s="1">
        <v>-6.153762</v>
      </c>
      <c r="J78" s="3">
        <v>106.8727804</v>
      </c>
      <c r="K78" s="6" t="s">
        <v>3029</v>
      </c>
      <c r="L78" s="11">
        <f t="shared" si="1"/>
        <v>25641025.64</v>
      </c>
      <c r="M78" s="11">
        <f>20000000000/780</f>
        <v>25641025.64</v>
      </c>
      <c r="Z78" s="10" t="s">
        <v>175</v>
      </c>
    </row>
    <row r="79">
      <c r="A79" s="3" t="s">
        <v>845</v>
      </c>
      <c r="B79" s="4" t="s">
        <v>3030</v>
      </c>
      <c r="C79" s="1" t="s">
        <v>3031</v>
      </c>
      <c r="D79" s="3" t="s">
        <v>3032</v>
      </c>
      <c r="E79" s="1" t="s">
        <v>30</v>
      </c>
      <c r="F79" s="5">
        <v>14440.0</v>
      </c>
      <c r="G79" s="1" t="s">
        <v>31</v>
      </c>
      <c r="H79" s="3" t="s">
        <v>32</v>
      </c>
      <c r="I79" s="1">
        <v>-6.1286507</v>
      </c>
      <c r="J79" s="3">
        <v>106.7999312</v>
      </c>
      <c r="K79" s="6" t="s">
        <v>3033</v>
      </c>
      <c r="L79" s="11" t="str">
        <f t="shared" si="1"/>
        <v/>
      </c>
      <c r="Z79" s="2" t="s">
        <v>34</v>
      </c>
    </row>
    <row r="80">
      <c r="A80" s="3" t="s">
        <v>845</v>
      </c>
      <c r="B80" s="4" t="s">
        <v>3034</v>
      </c>
      <c r="C80" s="1" t="s">
        <v>3035</v>
      </c>
      <c r="D80" s="3" t="s">
        <v>3036</v>
      </c>
      <c r="E80" s="1" t="s">
        <v>30</v>
      </c>
      <c r="F80" s="5">
        <v>14340.0</v>
      </c>
      <c r="G80" s="1" t="s">
        <v>31</v>
      </c>
      <c r="H80" s="3" t="s">
        <v>32</v>
      </c>
      <c r="I80" s="1">
        <v>-6.1296511</v>
      </c>
      <c r="J80" s="3">
        <v>106.8730273</v>
      </c>
      <c r="K80" s="6" t="s">
        <v>3037</v>
      </c>
      <c r="L80" s="11">
        <f t="shared" si="1"/>
        <v>33379629.63</v>
      </c>
      <c r="M80" s="11">
        <f>5900000000/160</f>
        <v>36875000</v>
      </c>
      <c r="N80" s="11">
        <f>2800000000/108</f>
        <v>25925925.93</v>
      </c>
      <c r="O80" s="11">
        <f>3700000000/108</f>
        <v>34259259.26</v>
      </c>
      <c r="P80" s="11">
        <f>5200000000/160</f>
        <v>32500000</v>
      </c>
      <c r="Z80" s="10" t="s">
        <v>2774</v>
      </c>
    </row>
    <row r="81">
      <c r="A81" s="3" t="s">
        <v>845</v>
      </c>
      <c r="B81" s="4" t="s">
        <v>3038</v>
      </c>
      <c r="C81" s="1" t="s">
        <v>3039</v>
      </c>
      <c r="D81" s="3" t="s">
        <v>3040</v>
      </c>
      <c r="E81" s="1" t="s">
        <v>30</v>
      </c>
      <c r="F81" s="5">
        <v>14230.0</v>
      </c>
      <c r="G81" s="1" t="s">
        <v>31</v>
      </c>
      <c r="H81" s="3" t="s">
        <v>32</v>
      </c>
      <c r="I81" s="1">
        <v>-6.1303191</v>
      </c>
      <c r="J81" s="3">
        <v>106.8977421</v>
      </c>
      <c r="K81" s="6" t="s">
        <v>3041</v>
      </c>
      <c r="L81" s="11">
        <f t="shared" si="1"/>
        <v>26455026.46</v>
      </c>
      <c r="M81" s="11">
        <f>15000000000/567</f>
        <v>26455026.46</v>
      </c>
      <c r="Z81" s="10" t="s">
        <v>175</v>
      </c>
    </row>
    <row r="82">
      <c r="A82" s="3" t="s">
        <v>119</v>
      </c>
      <c r="B82" s="4" t="s">
        <v>3042</v>
      </c>
      <c r="C82" s="1" t="s">
        <v>3043</v>
      </c>
      <c r="D82" s="3" t="s">
        <v>3044</v>
      </c>
      <c r="E82" s="1" t="s">
        <v>30</v>
      </c>
      <c r="F82" s="5">
        <v>14340.0</v>
      </c>
      <c r="G82" s="1" t="s">
        <v>31</v>
      </c>
      <c r="H82" s="3" t="s">
        <v>32</v>
      </c>
      <c r="I82" s="1">
        <v>-6.1330399</v>
      </c>
      <c r="J82" s="3">
        <v>106.8650665</v>
      </c>
      <c r="K82" s="6" t="s">
        <v>3045</v>
      </c>
      <c r="L82" s="11">
        <f t="shared" si="1"/>
        <v>23527465.92</v>
      </c>
      <c r="M82" s="11">
        <f>5300000000/290</f>
        <v>18275862.07</v>
      </c>
      <c r="N82" s="11">
        <f>9900000000/344</f>
        <v>28779069.77</v>
      </c>
      <c r="Z82" s="10" t="s">
        <v>2749</v>
      </c>
    </row>
    <row r="83">
      <c r="A83" s="3" t="s">
        <v>119</v>
      </c>
      <c r="B83" s="4" t="s">
        <v>3046</v>
      </c>
      <c r="C83" s="1" t="s">
        <v>3047</v>
      </c>
      <c r="D83" s="3" t="s">
        <v>3048</v>
      </c>
      <c r="E83" s="1" t="s">
        <v>30</v>
      </c>
      <c r="F83" s="5">
        <v>14240.0</v>
      </c>
      <c r="G83" s="1" t="s">
        <v>31</v>
      </c>
      <c r="H83" s="3" t="s">
        <v>32</v>
      </c>
      <c r="I83" s="1">
        <v>-6.1432396</v>
      </c>
      <c r="J83" s="3">
        <v>106.9092475</v>
      </c>
      <c r="K83" s="6" t="s">
        <v>3049</v>
      </c>
      <c r="L83" s="11">
        <f t="shared" si="1"/>
        <v>23039215.69</v>
      </c>
      <c r="M83" s="11">
        <f>2500000000/102</f>
        <v>24509803.92</v>
      </c>
      <c r="N83" s="11">
        <f>2200000000/102</f>
        <v>21568627.45</v>
      </c>
      <c r="Z83" s="10" t="s">
        <v>2749</v>
      </c>
    </row>
    <row r="84">
      <c r="A84" s="3" t="s">
        <v>239</v>
      </c>
      <c r="B84" s="4" t="s">
        <v>3050</v>
      </c>
      <c r="C84" s="1" t="s">
        <v>3051</v>
      </c>
      <c r="D84" s="3" t="s">
        <v>3052</v>
      </c>
      <c r="E84" s="1" t="s">
        <v>30</v>
      </c>
      <c r="F84" s="5">
        <v>14140.0</v>
      </c>
      <c r="G84" s="1" t="s">
        <v>31</v>
      </c>
      <c r="H84" s="3" t="s">
        <v>32</v>
      </c>
      <c r="I84" s="1">
        <v>-6.153322</v>
      </c>
      <c r="J84" s="3">
        <v>106.9503629</v>
      </c>
      <c r="K84" s="6" t="s">
        <v>3053</v>
      </c>
      <c r="L84" s="11">
        <f t="shared" si="1"/>
        <v>7370129.87</v>
      </c>
      <c r="M84" s="11">
        <f>750000000/150</f>
        <v>5000000</v>
      </c>
      <c r="N84" s="11">
        <f>750000000/77</f>
        <v>9740259.74</v>
      </c>
      <c r="Z84" s="10" t="s">
        <v>2749</v>
      </c>
    </row>
    <row r="85">
      <c r="A85" s="3" t="s">
        <v>239</v>
      </c>
      <c r="B85" s="4" t="s">
        <v>3054</v>
      </c>
      <c r="C85" s="1" t="s">
        <v>3055</v>
      </c>
      <c r="D85" s="3" t="s">
        <v>3056</v>
      </c>
      <c r="E85" s="1" t="s">
        <v>30</v>
      </c>
      <c r="F85" s="5">
        <v>14130.0</v>
      </c>
      <c r="G85" s="1" t="s">
        <v>31</v>
      </c>
      <c r="H85" s="3" t="s">
        <v>32</v>
      </c>
      <c r="I85" s="1">
        <v>-6.1162854</v>
      </c>
      <c r="J85" s="3">
        <v>106.9199487</v>
      </c>
      <c r="K85" s="6" t="s">
        <v>3057</v>
      </c>
      <c r="L85" s="11" t="str">
        <f t="shared" si="1"/>
        <v/>
      </c>
      <c r="Z85" s="2" t="s">
        <v>34</v>
      </c>
    </row>
    <row r="86">
      <c r="A86" s="3" t="s">
        <v>239</v>
      </c>
      <c r="B86" s="4" t="s">
        <v>3058</v>
      </c>
      <c r="C86" s="1" t="s">
        <v>3059</v>
      </c>
      <c r="D86" s="3" t="s">
        <v>3060</v>
      </c>
      <c r="E86" s="1" t="s">
        <v>30</v>
      </c>
      <c r="F86" s="5">
        <v>14140.0</v>
      </c>
      <c r="G86" s="1" t="s">
        <v>31</v>
      </c>
      <c r="H86" s="3" t="s">
        <v>32</v>
      </c>
      <c r="I86" s="1">
        <v>-6.1556283</v>
      </c>
      <c r="J86" s="3">
        <v>106.9581264</v>
      </c>
      <c r="K86" s="6" t="s">
        <v>3061</v>
      </c>
      <c r="L86" s="11">
        <f t="shared" si="1"/>
        <v>33333333.33</v>
      </c>
      <c r="M86" s="11">
        <f>3200000000/96</f>
        <v>33333333.33</v>
      </c>
      <c r="N86" s="11">
        <f>2200000000/96</f>
        <v>22916666.67</v>
      </c>
      <c r="O86" s="11">
        <f>3400000000/96</f>
        <v>35416666.67</v>
      </c>
      <c r="Z86" s="10" t="s">
        <v>175</v>
      </c>
    </row>
    <row r="87">
      <c r="A87" s="3" t="s">
        <v>239</v>
      </c>
      <c r="B87" s="4" t="s">
        <v>3062</v>
      </c>
      <c r="C87" s="1" t="s">
        <v>3063</v>
      </c>
      <c r="D87" s="3" t="s">
        <v>3064</v>
      </c>
      <c r="E87" s="1" t="s">
        <v>30</v>
      </c>
      <c r="F87" s="5">
        <v>14140.0</v>
      </c>
      <c r="G87" s="1" t="s">
        <v>31</v>
      </c>
      <c r="H87" s="3" t="s">
        <v>32</v>
      </c>
      <c r="I87" s="1">
        <v>-6.1563953</v>
      </c>
      <c r="J87" s="3">
        <v>106.9570637</v>
      </c>
      <c r="K87" s="6" t="s">
        <v>3065</v>
      </c>
      <c r="L87" s="11">
        <f t="shared" si="1"/>
        <v>18750000</v>
      </c>
      <c r="M87" s="11">
        <f>1350000000/72</f>
        <v>18750000</v>
      </c>
      <c r="Z87" s="10" t="s">
        <v>175</v>
      </c>
    </row>
    <row r="88">
      <c r="A88" s="3" t="s">
        <v>239</v>
      </c>
      <c r="B88" s="4" t="s">
        <v>3066</v>
      </c>
      <c r="C88" s="1" t="s">
        <v>3067</v>
      </c>
      <c r="D88" s="3" t="s">
        <v>3068</v>
      </c>
      <c r="E88" s="1" t="s">
        <v>30</v>
      </c>
      <c r="F88" s="5">
        <v>14140.0</v>
      </c>
      <c r="G88" s="1" t="s">
        <v>31</v>
      </c>
      <c r="H88" s="9">
        <v>8.15E10</v>
      </c>
      <c r="I88" s="1">
        <v>-6.151783</v>
      </c>
      <c r="J88" s="3">
        <v>106.9197121</v>
      </c>
      <c r="K88" s="6" t="s">
        <v>3069</v>
      </c>
      <c r="L88" s="11">
        <f t="shared" si="1"/>
        <v>29750000</v>
      </c>
      <c r="M88" s="11">
        <f>5900000000/200</f>
        <v>29500000</v>
      </c>
      <c r="N88" s="11">
        <f>7200000000/240</f>
        <v>30000000</v>
      </c>
      <c r="Z88" s="10" t="s">
        <v>2774</v>
      </c>
    </row>
    <row r="89">
      <c r="A89" s="3" t="s">
        <v>239</v>
      </c>
      <c r="B89" s="4" t="s">
        <v>3070</v>
      </c>
      <c r="C89" s="1" t="s">
        <v>3071</v>
      </c>
      <c r="D89" s="3" t="s">
        <v>3072</v>
      </c>
      <c r="E89" s="1" t="s">
        <v>30</v>
      </c>
      <c r="F89" s="5">
        <v>14240.0</v>
      </c>
      <c r="G89" s="1" t="s">
        <v>31</v>
      </c>
      <c r="H89" s="3" t="s">
        <v>32</v>
      </c>
      <c r="I89" s="1">
        <v>-6.1459337</v>
      </c>
      <c r="J89" s="3">
        <v>106.9016746</v>
      </c>
      <c r="K89" s="6" t="s">
        <v>3073</v>
      </c>
      <c r="L89" s="11">
        <f t="shared" si="1"/>
        <v>32832791.43</v>
      </c>
      <c r="M89" s="11">
        <f>12900000000/322</f>
        <v>40062111.8</v>
      </c>
      <c r="N89" s="11">
        <f>4200000000/172.5</f>
        <v>24347826.09</v>
      </c>
      <c r="O89" s="11">
        <f>4499999744/165</f>
        <v>27272725.72</v>
      </c>
      <c r="P89" s="11">
        <f>12900000000/336</f>
        <v>38392857.14</v>
      </c>
      <c r="Z89" s="10" t="s">
        <v>175</v>
      </c>
    </row>
    <row r="90">
      <c r="A90" s="3" t="s">
        <v>239</v>
      </c>
      <c r="B90" s="4" t="s">
        <v>3074</v>
      </c>
      <c r="C90" s="1" t="s">
        <v>3075</v>
      </c>
      <c r="D90" s="3" t="s">
        <v>3076</v>
      </c>
      <c r="E90" s="1" t="s">
        <v>30</v>
      </c>
      <c r="F90" s="5">
        <v>14250.0</v>
      </c>
      <c r="G90" s="1" t="s">
        <v>31</v>
      </c>
      <c r="H90" s="3" t="s">
        <v>32</v>
      </c>
      <c r="I90" s="1">
        <v>-6.1682492</v>
      </c>
      <c r="J90" s="3">
        <v>106.914408</v>
      </c>
      <c r="K90" s="6" t="s">
        <v>3077</v>
      </c>
      <c r="L90" s="11">
        <f t="shared" si="1"/>
        <v>18487394.96</v>
      </c>
      <c r="M90" s="11">
        <f>3500000000/144</f>
        <v>24305555.56</v>
      </c>
      <c r="N90" s="11">
        <f>2500000000/136</f>
        <v>18382352.94</v>
      </c>
      <c r="O90" s="11">
        <f>1850000000/90</f>
        <v>20555555.56</v>
      </c>
      <c r="P90" s="11">
        <f>3750000000/136</f>
        <v>27573529.41</v>
      </c>
      <c r="Q90" s="11">
        <f>1400000000/102</f>
        <v>13725490.2</v>
      </c>
      <c r="R90" s="11">
        <f>1850000000/90</f>
        <v>20555555.56</v>
      </c>
      <c r="S90" s="11">
        <f>9000000000/304</f>
        <v>29605263.16</v>
      </c>
      <c r="T90" s="11">
        <f>2200000000/119</f>
        <v>18487394.96</v>
      </c>
      <c r="U90" s="11">
        <f>1750000000/102</f>
        <v>17156862.75</v>
      </c>
      <c r="V90" s="11">
        <f>7500000000/413</f>
        <v>18159806.3</v>
      </c>
      <c r="W90" s="11">
        <f>1800000000/120</f>
        <v>15000000</v>
      </c>
      <c r="Z90" s="10" t="s">
        <v>2774</v>
      </c>
    </row>
    <row r="91">
      <c r="A91" s="3" t="s">
        <v>239</v>
      </c>
      <c r="B91" s="4" t="s">
        <v>3078</v>
      </c>
      <c r="C91" s="1" t="s">
        <v>3079</v>
      </c>
      <c r="D91" s="3" t="s">
        <v>3080</v>
      </c>
      <c r="E91" s="1" t="s">
        <v>30</v>
      </c>
      <c r="F91" s="5">
        <v>14220.0</v>
      </c>
      <c r="G91" s="1" t="s">
        <v>31</v>
      </c>
      <c r="H91" s="3" t="s">
        <v>32</v>
      </c>
      <c r="I91" s="1">
        <v>-6.113563</v>
      </c>
      <c r="J91" s="3">
        <v>106.9008615</v>
      </c>
      <c r="K91" s="6" t="s">
        <v>3081</v>
      </c>
      <c r="L91" s="11" t="str">
        <f t="shared" si="1"/>
        <v/>
      </c>
      <c r="Z91" s="2" t="s">
        <v>34</v>
      </c>
    </row>
    <row r="92">
      <c r="A92" s="3" t="s">
        <v>239</v>
      </c>
      <c r="B92" s="4" t="s">
        <v>3082</v>
      </c>
      <c r="C92" s="1" t="s">
        <v>3083</v>
      </c>
      <c r="D92" s="3" t="s">
        <v>3084</v>
      </c>
      <c r="E92" s="1" t="s">
        <v>30</v>
      </c>
      <c r="F92" s="5">
        <v>14410.0</v>
      </c>
      <c r="G92" s="1" t="s">
        <v>31</v>
      </c>
      <c r="H92" s="3" t="s">
        <v>32</v>
      </c>
      <c r="I92" s="1">
        <v>-6.1430657</v>
      </c>
      <c r="J92" s="3">
        <v>106.8498867</v>
      </c>
      <c r="K92" s="6" t="s">
        <v>3085</v>
      </c>
      <c r="L92" s="11">
        <f t="shared" si="1"/>
        <v>31371897.16</v>
      </c>
      <c r="M92" s="11">
        <f>4950000000/144</f>
        <v>34375000</v>
      </c>
      <c r="N92" s="11">
        <f>12000000000/423</f>
        <v>28368794.33</v>
      </c>
      <c r="O92" s="11">
        <f>14900000000/556</f>
        <v>26798561.15</v>
      </c>
      <c r="P92" s="11">
        <f>10000000000/200</f>
        <v>50000000</v>
      </c>
      <c r="Z92" s="10" t="s">
        <v>175</v>
      </c>
    </row>
    <row r="93">
      <c r="A93" s="3" t="s">
        <v>239</v>
      </c>
      <c r="B93" s="4" t="s">
        <v>3086</v>
      </c>
      <c r="C93" s="1" t="s">
        <v>3087</v>
      </c>
      <c r="D93" s="3" t="s">
        <v>3088</v>
      </c>
      <c r="E93" s="1" t="s">
        <v>30</v>
      </c>
      <c r="F93" s="5">
        <v>14420.0</v>
      </c>
      <c r="G93" s="1" t="s">
        <v>31</v>
      </c>
      <c r="H93" s="3" t="s">
        <v>32</v>
      </c>
      <c r="I93" s="1">
        <v>-6.1373522</v>
      </c>
      <c r="J93" s="3">
        <v>106.8373386</v>
      </c>
      <c r="K93" s="6" t="s">
        <v>3089</v>
      </c>
      <c r="L93" s="11" t="str">
        <f t="shared" si="1"/>
        <v/>
      </c>
      <c r="Z93" s="2" t="s">
        <v>34</v>
      </c>
    </row>
    <row r="94">
      <c r="A94" s="3" t="s">
        <v>239</v>
      </c>
      <c r="B94" s="4" t="s">
        <v>3090</v>
      </c>
      <c r="C94" s="1" t="s">
        <v>3091</v>
      </c>
      <c r="D94" s="3" t="s">
        <v>2960</v>
      </c>
      <c r="E94" s="1" t="s">
        <v>30</v>
      </c>
      <c r="F94" s="5">
        <v>14430.0</v>
      </c>
      <c r="G94" s="1" t="s">
        <v>31</v>
      </c>
      <c r="H94" s="3" t="s">
        <v>32</v>
      </c>
      <c r="I94" s="1">
        <v>-6.124114</v>
      </c>
      <c r="J94" s="3">
        <v>106.8266611</v>
      </c>
      <c r="K94" s="6" t="s">
        <v>3092</v>
      </c>
      <c r="L94" s="11">
        <f t="shared" si="1"/>
        <v>22000000</v>
      </c>
      <c r="M94" s="11">
        <f>19000000</f>
        <v>19000000</v>
      </c>
      <c r="N94" s="11">
        <f>25000000</f>
        <v>25000000</v>
      </c>
      <c r="Z94" s="10" t="s">
        <v>175</v>
      </c>
    </row>
    <row r="95">
      <c r="A95" s="3" t="s">
        <v>239</v>
      </c>
      <c r="B95" s="4" t="s">
        <v>3093</v>
      </c>
      <c r="C95" s="1" t="s">
        <v>3094</v>
      </c>
      <c r="D95" s="3" t="s">
        <v>3095</v>
      </c>
      <c r="E95" s="1" t="s">
        <v>30</v>
      </c>
      <c r="F95" s="5">
        <v>14460.0</v>
      </c>
      <c r="G95" s="1" t="s">
        <v>31</v>
      </c>
      <c r="H95" s="3" t="s">
        <v>32</v>
      </c>
      <c r="I95" s="1">
        <v>-6.1364507</v>
      </c>
      <c r="J95" s="3">
        <v>106.772883</v>
      </c>
      <c r="K95" s="6" t="s">
        <v>3096</v>
      </c>
      <c r="L95" s="11">
        <f t="shared" si="1"/>
        <v>39166666.67</v>
      </c>
      <c r="M95" s="11">
        <f>5500000000/109</f>
        <v>50458715.6</v>
      </c>
      <c r="N95" s="11">
        <f>2800000000/70</f>
        <v>40000000</v>
      </c>
      <c r="O95" s="11">
        <f>2180000000/68</f>
        <v>32058823.53</v>
      </c>
      <c r="P95" s="11">
        <f>2300000000/60</f>
        <v>38333333.33</v>
      </c>
      <c r="Q95" s="11">
        <f>1800000000/60</f>
        <v>30000000</v>
      </c>
      <c r="R95" s="11">
        <f>6000000000/67</f>
        <v>89552238.81</v>
      </c>
      <c r="Z95" s="10" t="s">
        <v>175</v>
      </c>
    </row>
    <row r="96">
      <c r="A96" s="3" t="s">
        <v>239</v>
      </c>
      <c r="B96" s="4" t="s">
        <v>3097</v>
      </c>
      <c r="C96" s="1" t="s">
        <v>3098</v>
      </c>
      <c r="D96" s="3" t="s">
        <v>3099</v>
      </c>
      <c r="E96" s="1" t="s">
        <v>30</v>
      </c>
      <c r="F96" s="5">
        <v>14460.0</v>
      </c>
      <c r="G96" s="1" t="s">
        <v>31</v>
      </c>
      <c r="H96" s="3" t="s">
        <v>32</v>
      </c>
      <c r="I96" s="1">
        <v>-6.1321375</v>
      </c>
      <c r="J96" s="3">
        <v>106.7684688</v>
      </c>
      <c r="K96" s="6" t="s">
        <v>3100</v>
      </c>
      <c r="L96" s="11">
        <f t="shared" si="1"/>
        <v>19375000</v>
      </c>
      <c r="M96" s="11">
        <f>3100000000/160</f>
        <v>19375000</v>
      </c>
      <c r="Z96" s="10" t="s">
        <v>2749</v>
      </c>
    </row>
    <row r="97">
      <c r="A97" s="3" t="s">
        <v>239</v>
      </c>
      <c r="B97" s="4" t="s">
        <v>3101</v>
      </c>
      <c r="C97" s="1" t="s">
        <v>3102</v>
      </c>
      <c r="D97" s="3" t="s">
        <v>3103</v>
      </c>
      <c r="E97" s="1" t="s">
        <v>30</v>
      </c>
      <c r="F97" s="5">
        <v>14250.0</v>
      </c>
      <c r="G97" s="1" t="s">
        <v>31</v>
      </c>
      <c r="H97" s="3" t="s">
        <v>32</v>
      </c>
      <c r="I97" s="1">
        <v>-6.1472472</v>
      </c>
      <c r="J97" s="3">
        <v>106.8746698</v>
      </c>
      <c r="K97" s="6" t="s">
        <v>3104</v>
      </c>
      <c r="L97" s="11">
        <f t="shared" si="1"/>
        <v>22619047.62</v>
      </c>
      <c r="M97" s="11">
        <f>3200000000/145</f>
        <v>22068965.52</v>
      </c>
      <c r="N97" s="11">
        <f>1900000000/84</f>
        <v>22619047.62</v>
      </c>
      <c r="O97" s="11">
        <f>3000000000/90</f>
        <v>33333333.33</v>
      </c>
      <c r="Z97" s="10" t="s">
        <v>2774</v>
      </c>
    </row>
    <row r="98">
      <c r="A98" s="3" t="s">
        <v>239</v>
      </c>
      <c r="B98" s="4" t="s">
        <v>3105</v>
      </c>
      <c r="C98" s="1" t="s">
        <v>3106</v>
      </c>
      <c r="D98" s="3" t="s">
        <v>3107</v>
      </c>
      <c r="E98" s="1" t="s">
        <v>30</v>
      </c>
      <c r="F98" s="5">
        <v>14360.0</v>
      </c>
      <c r="G98" s="1" t="s">
        <v>31</v>
      </c>
      <c r="H98" s="9">
        <v>2.12E9</v>
      </c>
      <c r="I98" s="1">
        <v>-6.1582763</v>
      </c>
      <c r="J98" s="3">
        <v>106.870187</v>
      </c>
      <c r="K98" s="6" t="s">
        <v>3108</v>
      </c>
      <c r="L98" s="11" t="str">
        <f t="shared" si="1"/>
        <v/>
      </c>
      <c r="Z98" s="2" t="s">
        <v>34</v>
      </c>
    </row>
    <row r="99">
      <c r="A99" s="3" t="s">
        <v>239</v>
      </c>
      <c r="B99" s="4" t="s">
        <v>3109</v>
      </c>
      <c r="C99" s="1" t="s">
        <v>3110</v>
      </c>
      <c r="D99" s="3" t="s">
        <v>3111</v>
      </c>
      <c r="E99" s="1" t="s">
        <v>30</v>
      </c>
      <c r="F99" s="5">
        <v>14140.0</v>
      </c>
      <c r="G99" s="1" t="s">
        <v>31</v>
      </c>
      <c r="H99" s="3" t="s">
        <v>32</v>
      </c>
      <c r="I99" s="1">
        <v>-6.1473225</v>
      </c>
      <c r="J99" s="3">
        <v>106.9555558</v>
      </c>
      <c r="K99" s="6" t="s">
        <v>3112</v>
      </c>
      <c r="L99" s="11">
        <f t="shared" si="1"/>
        <v>11224489.8</v>
      </c>
      <c r="M99" s="11">
        <f>1100000000/98</f>
        <v>11224489.8</v>
      </c>
      <c r="Z99" s="10" t="s">
        <v>3113</v>
      </c>
    </row>
    <row r="100">
      <c r="A100" s="3" t="s">
        <v>239</v>
      </c>
      <c r="B100" s="4" t="s">
        <v>3114</v>
      </c>
      <c r="C100" s="1" t="s">
        <v>3115</v>
      </c>
      <c r="D100" s="3" t="s">
        <v>3116</v>
      </c>
      <c r="E100" s="1" t="s">
        <v>30</v>
      </c>
      <c r="F100" s="5">
        <v>14140.0</v>
      </c>
      <c r="G100" s="1" t="s">
        <v>31</v>
      </c>
      <c r="H100" s="3" t="s">
        <v>32</v>
      </c>
      <c r="I100" s="1">
        <v>-6.1516558</v>
      </c>
      <c r="J100" s="3">
        <v>106.9571509</v>
      </c>
      <c r="K100" s="6" t="s">
        <v>3117</v>
      </c>
      <c r="L100" s="11">
        <f t="shared" si="1"/>
        <v>24259259.26</v>
      </c>
      <c r="M100" s="11">
        <f>900000000/30</f>
        <v>30000000</v>
      </c>
      <c r="N100" s="11">
        <f>1000000000/54</f>
        <v>18518518.52</v>
      </c>
      <c r="Z100" s="10" t="s">
        <v>175</v>
      </c>
    </row>
    <row r="101">
      <c r="A101" s="3" t="s">
        <v>239</v>
      </c>
      <c r="B101" s="4" t="s">
        <v>3118</v>
      </c>
      <c r="C101" s="1" t="s">
        <v>3119</v>
      </c>
      <c r="D101" s="3" t="s">
        <v>3120</v>
      </c>
      <c r="E101" s="1" t="s">
        <v>30</v>
      </c>
      <c r="F101" s="5">
        <v>14150.0</v>
      </c>
      <c r="G101" s="1" t="s">
        <v>31</v>
      </c>
      <c r="H101" s="3" t="s">
        <v>32</v>
      </c>
      <c r="I101" s="1">
        <v>-6.1247013</v>
      </c>
      <c r="J101" s="3">
        <v>106.9619514</v>
      </c>
      <c r="K101" s="6" t="s">
        <v>3121</v>
      </c>
      <c r="L101" s="11" t="str">
        <f t="shared" si="1"/>
        <v/>
      </c>
      <c r="Z101" s="2" t="s">
        <v>34</v>
      </c>
    </row>
    <row r="102">
      <c r="A102" s="3" t="s">
        <v>239</v>
      </c>
      <c r="B102" s="4" t="s">
        <v>3122</v>
      </c>
      <c r="C102" s="1" t="s">
        <v>3123</v>
      </c>
      <c r="D102" s="3" t="s">
        <v>3124</v>
      </c>
      <c r="E102" s="1" t="s">
        <v>30</v>
      </c>
      <c r="F102" s="5">
        <v>14440.0</v>
      </c>
      <c r="G102" s="1" t="s">
        <v>31</v>
      </c>
      <c r="H102" s="9">
        <v>8.58E10</v>
      </c>
      <c r="I102" s="1">
        <v>-6.1144429</v>
      </c>
      <c r="J102" s="3">
        <v>106.8029249</v>
      </c>
      <c r="K102" s="6" t="s">
        <v>3125</v>
      </c>
      <c r="L102" s="11" t="str">
        <f t="shared" si="1"/>
        <v/>
      </c>
      <c r="Z102" s="2" t="s">
        <v>34</v>
      </c>
    </row>
    <row r="103">
      <c r="A103" s="3" t="s">
        <v>239</v>
      </c>
      <c r="B103" s="4" t="s">
        <v>3126</v>
      </c>
      <c r="C103" s="1" t="s">
        <v>3127</v>
      </c>
      <c r="D103" s="3" t="s">
        <v>3128</v>
      </c>
      <c r="E103" s="1" t="s">
        <v>30</v>
      </c>
      <c r="F103" s="5">
        <v>14360.0</v>
      </c>
      <c r="G103" s="1" t="s">
        <v>31</v>
      </c>
      <c r="H103" s="3" t="s">
        <v>32</v>
      </c>
      <c r="I103" s="1">
        <v>-6.1495376</v>
      </c>
      <c r="J103" s="3">
        <v>106.8741692</v>
      </c>
      <c r="K103" s="6" t="s">
        <v>3129</v>
      </c>
      <c r="L103" s="11" t="str">
        <f t="shared" si="1"/>
        <v/>
      </c>
      <c r="Z103" s="2" t="s">
        <v>34</v>
      </c>
    </row>
    <row r="104">
      <c r="A104" s="3" t="s">
        <v>2485</v>
      </c>
      <c r="B104" s="4" t="s">
        <v>3130</v>
      </c>
      <c r="C104" s="1" t="s">
        <v>3131</v>
      </c>
      <c r="D104" s="3" t="s">
        <v>2936</v>
      </c>
      <c r="E104" s="1" t="s">
        <v>30</v>
      </c>
      <c r="F104" s="5">
        <v>14140.0</v>
      </c>
      <c r="G104" s="1" t="s">
        <v>31</v>
      </c>
      <c r="H104" s="9">
        <v>8.77E10</v>
      </c>
      <c r="I104" s="1">
        <v>-6.1473758</v>
      </c>
      <c r="J104" s="3">
        <v>106.9492749</v>
      </c>
      <c r="K104" s="6" t="s">
        <v>3132</v>
      </c>
      <c r="L104" s="11" t="str">
        <f t="shared" si="1"/>
        <v/>
      </c>
      <c r="Z104" s="2" t="s">
        <v>34</v>
      </c>
    </row>
    <row r="105">
      <c r="A105" s="3" t="s">
        <v>3133</v>
      </c>
      <c r="B105" s="4" t="s">
        <v>3134</v>
      </c>
      <c r="C105" s="1" t="s">
        <v>3135</v>
      </c>
      <c r="D105" s="3" t="s">
        <v>3136</v>
      </c>
      <c r="E105" s="1" t="s">
        <v>30</v>
      </c>
      <c r="F105" s="5">
        <v>14360.0</v>
      </c>
      <c r="G105" s="1" t="s">
        <v>31</v>
      </c>
      <c r="H105" s="3" t="s">
        <v>32</v>
      </c>
      <c r="I105" s="1">
        <v>-6.1517176</v>
      </c>
      <c r="J105" s="3">
        <v>106.8785023</v>
      </c>
      <c r="K105" s="6" t="s">
        <v>3137</v>
      </c>
      <c r="L105" s="11" t="str">
        <f t="shared" si="1"/>
        <v/>
      </c>
      <c r="Z105" s="2" t="s">
        <v>34</v>
      </c>
    </row>
    <row r="106">
      <c r="A106" s="3" t="s">
        <v>125</v>
      </c>
      <c r="B106" s="4" t="s">
        <v>3138</v>
      </c>
      <c r="C106" s="1" t="s">
        <v>3139</v>
      </c>
      <c r="D106" s="3" t="s">
        <v>3140</v>
      </c>
      <c r="E106" s="1" t="s">
        <v>30</v>
      </c>
      <c r="F106" s="5">
        <v>14140.0</v>
      </c>
      <c r="G106" s="1" t="s">
        <v>31</v>
      </c>
      <c r="H106" s="3" t="s">
        <v>32</v>
      </c>
      <c r="I106" s="1">
        <v>-6.1493525</v>
      </c>
      <c r="J106" s="3">
        <v>106.949569</v>
      </c>
      <c r="K106" s="6" t="s">
        <v>3141</v>
      </c>
      <c r="L106" s="11">
        <f t="shared" si="1"/>
        <v>10450487.01</v>
      </c>
      <c r="M106" s="11">
        <f>750000000/77</f>
        <v>9740259.74</v>
      </c>
      <c r="N106" s="11">
        <f>2500000000/224</f>
        <v>11160714.29</v>
      </c>
      <c r="Z106" s="10" t="s">
        <v>2749</v>
      </c>
    </row>
    <row r="107">
      <c r="A107" s="3" t="s">
        <v>125</v>
      </c>
      <c r="B107" s="4" t="s">
        <v>3142</v>
      </c>
      <c r="C107" s="1" t="s">
        <v>3143</v>
      </c>
      <c r="D107" s="3" t="s">
        <v>3144</v>
      </c>
      <c r="E107" s="1" t="s">
        <v>30</v>
      </c>
      <c r="F107" s="5">
        <v>14460.0</v>
      </c>
      <c r="G107" s="1" t="s">
        <v>31</v>
      </c>
      <c r="H107" s="3" t="s">
        <v>32</v>
      </c>
      <c r="I107" s="1">
        <v>-6.1262249</v>
      </c>
      <c r="J107" s="3">
        <v>106.7744521</v>
      </c>
      <c r="K107" s="6" t="s">
        <v>3145</v>
      </c>
      <c r="L107" s="11" t="str">
        <f t="shared" si="1"/>
        <v/>
      </c>
      <c r="Z107" s="2" t="s">
        <v>34</v>
      </c>
    </row>
    <row r="108">
      <c r="A108" s="3" t="s">
        <v>125</v>
      </c>
      <c r="B108" s="4" t="s">
        <v>3146</v>
      </c>
      <c r="C108" s="1" t="s">
        <v>3147</v>
      </c>
      <c r="D108" s="3" t="s">
        <v>3148</v>
      </c>
      <c r="E108" s="1" t="s">
        <v>30</v>
      </c>
      <c r="F108" s="5">
        <v>14260.0</v>
      </c>
      <c r="G108" s="1" t="s">
        <v>31</v>
      </c>
      <c r="H108" s="3" t="s">
        <v>32</v>
      </c>
      <c r="I108" s="1">
        <v>-6.1280408</v>
      </c>
      <c r="J108" s="3">
        <v>106.9123055</v>
      </c>
      <c r="K108" s="6" t="s">
        <v>3149</v>
      </c>
      <c r="L108" s="11">
        <f t="shared" si="1"/>
        <v>22857142.86</v>
      </c>
      <c r="M108" s="11">
        <f>1600000000/70</f>
        <v>22857142.86</v>
      </c>
      <c r="Z108" s="10" t="s">
        <v>2749</v>
      </c>
    </row>
    <row r="109">
      <c r="A109" s="3" t="s">
        <v>35</v>
      </c>
      <c r="B109" s="4" t="s">
        <v>3150</v>
      </c>
      <c r="C109" s="1" t="s">
        <v>3151</v>
      </c>
      <c r="D109" s="3" t="s">
        <v>3152</v>
      </c>
      <c r="E109" s="1" t="s">
        <v>30</v>
      </c>
      <c r="F109" s="5">
        <v>14250.0</v>
      </c>
      <c r="G109" s="1" t="s">
        <v>31</v>
      </c>
      <c r="H109" s="3" t="s">
        <v>32</v>
      </c>
      <c r="I109" s="1">
        <v>-6.1763463</v>
      </c>
      <c r="J109" s="3">
        <v>106.9098367</v>
      </c>
      <c r="K109" s="6" t="s">
        <v>3153</v>
      </c>
      <c r="L109" s="11">
        <f t="shared" si="1"/>
        <v>25714285.71</v>
      </c>
      <c r="M109" s="11">
        <f>1980000000/77</f>
        <v>25714285.71</v>
      </c>
      <c r="Z109" s="10" t="s">
        <v>2774</v>
      </c>
    </row>
    <row r="110">
      <c r="A110" s="3" t="s">
        <v>35</v>
      </c>
      <c r="B110" s="4" t="s">
        <v>3154</v>
      </c>
      <c r="C110" s="1" t="s">
        <v>3155</v>
      </c>
      <c r="D110" s="3" t="s">
        <v>3156</v>
      </c>
      <c r="E110" s="1" t="s">
        <v>30</v>
      </c>
      <c r="F110" s="5">
        <v>14460.0</v>
      </c>
      <c r="G110" s="1" t="s">
        <v>31</v>
      </c>
      <c r="H110" s="3" t="s">
        <v>32</v>
      </c>
      <c r="I110" s="1">
        <v>-6.1168743</v>
      </c>
      <c r="J110" s="3">
        <v>106.7591309</v>
      </c>
      <c r="K110" s="6" t="s">
        <v>3157</v>
      </c>
      <c r="L110" s="11">
        <f t="shared" si="1"/>
        <v>45328007.75</v>
      </c>
      <c r="M110" s="11">
        <f>26000000000/846</f>
        <v>30732860.52</v>
      </c>
      <c r="N110" s="11">
        <f>7500000000/144</f>
        <v>52083333.33</v>
      </c>
      <c r="O110" s="11">
        <f>25000000000/486</f>
        <v>51440329.22</v>
      </c>
      <c r="P110" s="11">
        <f>18000000000/459</f>
        <v>39215686.27</v>
      </c>
      <c r="Z110" s="10" t="s">
        <v>2749</v>
      </c>
    </row>
    <row r="111">
      <c r="A111" s="3" t="s">
        <v>35</v>
      </c>
      <c r="B111" s="4" t="s">
        <v>3158</v>
      </c>
      <c r="C111" s="1" t="s">
        <v>3159</v>
      </c>
      <c r="D111" s="3" t="s">
        <v>3160</v>
      </c>
      <c r="E111" s="1" t="s">
        <v>30</v>
      </c>
      <c r="F111" s="5">
        <v>14460.0</v>
      </c>
      <c r="G111" s="1" t="s">
        <v>31</v>
      </c>
      <c r="H111" s="3" t="s">
        <v>32</v>
      </c>
      <c r="I111" s="1">
        <v>-6.1184241</v>
      </c>
      <c r="J111" s="3">
        <v>106.754249</v>
      </c>
      <c r="K111" s="6" t="s">
        <v>3161</v>
      </c>
      <c r="L111" s="11" t="str">
        <f t="shared" si="1"/>
        <v/>
      </c>
      <c r="Z111" s="2" t="s">
        <v>34</v>
      </c>
    </row>
    <row r="112">
      <c r="A112" s="3" t="s">
        <v>35</v>
      </c>
      <c r="B112" s="4" t="s">
        <v>3162</v>
      </c>
      <c r="C112" s="1" t="s">
        <v>3163</v>
      </c>
      <c r="D112" s="3" t="s">
        <v>3164</v>
      </c>
      <c r="E112" s="1" t="s">
        <v>30</v>
      </c>
      <c r="F112" s="5">
        <v>14470.0</v>
      </c>
      <c r="G112" s="1" t="s">
        <v>31</v>
      </c>
      <c r="H112" s="3" t="s">
        <v>32</v>
      </c>
      <c r="I112" s="1">
        <v>-6.0950603</v>
      </c>
      <c r="J112" s="3">
        <v>106.7123775</v>
      </c>
      <c r="K112" s="6" t="s">
        <v>3165</v>
      </c>
      <c r="L112" s="11">
        <f t="shared" si="1"/>
        <v>11195728.29</v>
      </c>
      <c r="M112" s="11">
        <f>650000000/56</f>
        <v>11607142.86</v>
      </c>
      <c r="N112" s="11">
        <f>1100000000/102</f>
        <v>10784313.73</v>
      </c>
      <c r="Z112" s="10" t="s">
        <v>2749</v>
      </c>
    </row>
    <row r="113">
      <c r="A113" s="3" t="s">
        <v>35</v>
      </c>
      <c r="B113" s="4" t="s">
        <v>3166</v>
      </c>
      <c r="C113" s="1" t="s">
        <v>3167</v>
      </c>
      <c r="D113" s="3" t="s">
        <v>3168</v>
      </c>
      <c r="E113" s="1" t="s">
        <v>30</v>
      </c>
      <c r="F113" s="5">
        <v>14330.0</v>
      </c>
      <c r="G113" s="1" t="s">
        <v>31</v>
      </c>
      <c r="H113" s="3" t="s">
        <v>32</v>
      </c>
      <c r="I113" s="1">
        <v>-6.1211383</v>
      </c>
      <c r="J113" s="3">
        <v>106.8823808</v>
      </c>
      <c r="K113" s="6" t="s">
        <v>3169</v>
      </c>
      <c r="L113" s="11" t="str">
        <f t="shared" si="1"/>
        <v/>
      </c>
      <c r="Z113" s="2" t="s">
        <v>34</v>
      </c>
    </row>
    <row r="114">
      <c r="A114" s="3" t="s">
        <v>35</v>
      </c>
      <c r="B114" s="4" t="s">
        <v>3170</v>
      </c>
      <c r="C114" s="1" t="s">
        <v>3171</v>
      </c>
      <c r="D114" s="3" t="s">
        <v>3172</v>
      </c>
      <c r="E114" s="1" t="s">
        <v>30</v>
      </c>
      <c r="F114" s="5">
        <v>14340.0</v>
      </c>
      <c r="G114" s="1" t="s">
        <v>31</v>
      </c>
      <c r="H114" s="3" t="s">
        <v>32</v>
      </c>
      <c r="I114" s="1">
        <v>-6.1301942</v>
      </c>
      <c r="J114" s="3">
        <v>106.8710547</v>
      </c>
      <c r="K114" s="6" t="s">
        <v>3173</v>
      </c>
      <c r="L114" s="11">
        <f t="shared" si="1"/>
        <v>33571428.57</v>
      </c>
      <c r="M114" s="11">
        <f>4700000000/140</f>
        <v>33571428.57</v>
      </c>
      <c r="Z114" s="10" t="s">
        <v>2774</v>
      </c>
    </row>
    <row r="115">
      <c r="A115" s="3" t="s">
        <v>35</v>
      </c>
      <c r="B115" s="4" t="s">
        <v>3174</v>
      </c>
      <c r="C115" s="1" t="s">
        <v>3175</v>
      </c>
      <c r="D115" s="3" t="s">
        <v>3176</v>
      </c>
      <c r="E115" s="1" t="s">
        <v>30</v>
      </c>
      <c r="F115" s="5">
        <v>14140.0</v>
      </c>
      <c r="G115" s="1" t="s">
        <v>31</v>
      </c>
      <c r="H115" s="9">
        <v>8.14E10</v>
      </c>
      <c r="I115" s="1">
        <v>-6.1552344</v>
      </c>
      <c r="J115" s="3">
        <v>106.9584246</v>
      </c>
      <c r="K115" s="6" t="s">
        <v>3177</v>
      </c>
      <c r="L115" s="11">
        <f t="shared" si="1"/>
        <v>8585858.586</v>
      </c>
      <c r="M115" s="2">
        <f>850000000/99</f>
        <v>8585858.586</v>
      </c>
      <c r="Z115" s="10" t="s">
        <v>175</v>
      </c>
    </row>
    <row r="116">
      <c r="J116" s="11">
        <f>sum(K116:Y116)</f>
        <v>331</v>
      </c>
      <c r="K116" s="11">
        <f>COUNTA(K2:K115)</f>
        <v>114</v>
      </c>
      <c r="M116" s="11">
        <f t="shared" ref="M116:U116" si="2">COUNTA(M2:M115)</f>
        <v>77</v>
      </c>
      <c r="N116" s="11">
        <f t="shared" si="2"/>
        <v>53</v>
      </c>
      <c r="O116" s="11">
        <f t="shared" si="2"/>
        <v>31</v>
      </c>
      <c r="P116" s="11">
        <f t="shared" si="2"/>
        <v>21</v>
      </c>
      <c r="Q116" s="11">
        <f t="shared" si="2"/>
        <v>11</v>
      </c>
      <c r="R116" s="11">
        <f t="shared" si="2"/>
        <v>11</v>
      </c>
      <c r="S116" s="11">
        <f t="shared" si="2"/>
        <v>7</v>
      </c>
      <c r="T116" s="11">
        <f t="shared" si="2"/>
        <v>3</v>
      </c>
      <c r="U116" s="11">
        <f t="shared" si="2"/>
        <v>3</v>
      </c>
    </row>
  </sheetData>
  <hyperlinks>
    <hyperlink r:id="rId1" ref="K2"/>
    <hyperlink r:id="rId2" ref="Z2"/>
    <hyperlink r:id="rId3" ref="K3"/>
    <hyperlink r:id="rId4" ref="Z3"/>
    <hyperlink r:id="rId5" ref="K4"/>
    <hyperlink r:id="rId6" ref="K5"/>
    <hyperlink r:id="rId7" ref="K6"/>
    <hyperlink r:id="rId8" ref="Z6"/>
    <hyperlink r:id="rId9" ref="K7"/>
    <hyperlink r:id="rId10" ref="Z7"/>
    <hyperlink r:id="rId11" ref="K8"/>
    <hyperlink r:id="rId12" ref="Z8"/>
    <hyperlink r:id="rId13" ref="K9"/>
    <hyperlink r:id="rId14" ref="Z9"/>
    <hyperlink r:id="rId15" ref="K10"/>
    <hyperlink r:id="rId16" ref="K11"/>
    <hyperlink r:id="rId17" ref="K12"/>
    <hyperlink r:id="rId18" ref="Z12"/>
    <hyperlink r:id="rId19" ref="K13"/>
    <hyperlink r:id="rId20" ref="Z13"/>
    <hyperlink r:id="rId21" ref="K14"/>
    <hyperlink r:id="rId22" ref="Z14"/>
    <hyperlink r:id="rId23" ref="K15"/>
    <hyperlink r:id="rId24" ref="K16"/>
    <hyperlink r:id="rId25" ref="Z16"/>
    <hyperlink r:id="rId26" ref="K17"/>
    <hyperlink r:id="rId27" ref="Z17"/>
    <hyperlink r:id="rId28" ref="K18"/>
    <hyperlink r:id="rId29" ref="Z18"/>
    <hyperlink r:id="rId30" ref="K19"/>
    <hyperlink r:id="rId31" ref="Z19"/>
    <hyperlink r:id="rId32" ref="K20"/>
    <hyperlink r:id="rId33" ref="Z20"/>
    <hyperlink r:id="rId34" ref="K21"/>
    <hyperlink r:id="rId35" ref="Z21"/>
    <hyperlink r:id="rId36" ref="K22"/>
    <hyperlink r:id="rId37" ref="Z22"/>
    <hyperlink r:id="rId38" ref="K23"/>
    <hyperlink r:id="rId39" ref="K24"/>
    <hyperlink r:id="rId40" ref="Z24"/>
    <hyperlink r:id="rId41" ref="K25"/>
    <hyperlink r:id="rId42" ref="Z25"/>
    <hyperlink r:id="rId43" ref="K26"/>
    <hyperlink r:id="rId44" ref="Z26"/>
    <hyperlink r:id="rId45" ref="K27"/>
    <hyperlink r:id="rId46" ref="K28"/>
    <hyperlink r:id="rId47" ref="Z28"/>
    <hyperlink r:id="rId48" ref="K29"/>
    <hyperlink r:id="rId49" ref="Z29"/>
    <hyperlink r:id="rId50" ref="K30"/>
    <hyperlink r:id="rId51" ref="Z30"/>
    <hyperlink r:id="rId52" ref="K31"/>
    <hyperlink r:id="rId53" ref="Z31"/>
    <hyperlink r:id="rId54" ref="K32"/>
    <hyperlink r:id="rId55" ref="Z32"/>
    <hyperlink r:id="rId56" ref="K33"/>
    <hyperlink r:id="rId57" ref="Z33"/>
    <hyperlink r:id="rId58" ref="K34"/>
    <hyperlink r:id="rId59" ref="Z34"/>
    <hyperlink r:id="rId60" ref="K35"/>
    <hyperlink r:id="rId61" ref="Z35"/>
    <hyperlink r:id="rId62" ref="K36"/>
    <hyperlink r:id="rId63" ref="Z36"/>
    <hyperlink r:id="rId64" ref="K37"/>
    <hyperlink r:id="rId65" ref="K38"/>
    <hyperlink r:id="rId66" ref="Z38"/>
    <hyperlink r:id="rId67" ref="K39"/>
    <hyperlink r:id="rId68" ref="Z39"/>
    <hyperlink r:id="rId69" ref="K40"/>
    <hyperlink r:id="rId70" ref="Z40"/>
    <hyperlink r:id="rId71" ref="K41"/>
    <hyperlink r:id="rId72" ref="Z41"/>
    <hyperlink r:id="rId73" ref="K42"/>
    <hyperlink r:id="rId74" ref="K43"/>
    <hyperlink r:id="rId75" ref="Z43"/>
    <hyperlink r:id="rId76" ref="K44"/>
    <hyperlink r:id="rId77" ref="K45"/>
    <hyperlink r:id="rId78" ref="Z45"/>
    <hyperlink r:id="rId79" ref="K46"/>
    <hyperlink r:id="rId80" ref="K47"/>
    <hyperlink r:id="rId81" ref="K48"/>
    <hyperlink r:id="rId82" ref="K49"/>
    <hyperlink r:id="rId83" ref="Z49"/>
    <hyperlink r:id="rId84" ref="K50"/>
    <hyperlink r:id="rId85" ref="K51"/>
    <hyperlink r:id="rId86" ref="Z51"/>
    <hyperlink r:id="rId87" ref="K52"/>
    <hyperlink r:id="rId88" ref="K53"/>
    <hyperlink r:id="rId89" ref="Z53"/>
    <hyperlink r:id="rId90" ref="K54"/>
    <hyperlink r:id="rId91" ref="Z54"/>
    <hyperlink r:id="rId92" ref="K55"/>
    <hyperlink r:id="rId93" ref="Z55"/>
    <hyperlink r:id="rId94" ref="K56"/>
    <hyperlink r:id="rId95" ref="Z56"/>
    <hyperlink r:id="rId96" ref="K57"/>
    <hyperlink r:id="rId97" ref="Z57"/>
    <hyperlink r:id="rId98" ref="K58"/>
    <hyperlink r:id="rId99" ref="Z58"/>
    <hyperlink r:id="rId100" ref="K59"/>
    <hyperlink r:id="rId101" ref="Z59"/>
    <hyperlink r:id="rId102" ref="K60"/>
    <hyperlink r:id="rId103" ref="Z60"/>
    <hyperlink r:id="rId104" ref="K61"/>
    <hyperlink r:id="rId105" ref="K62"/>
    <hyperlink r:id="rId106" ref="K63"/>
    <hyperlink r:id="rId107" ref="K64"/>
    <hyperlink r:id="rId108" ref="K65"/>
    <hyperlink r:id="rId109" ref="K66"/>
    <hyperlink r:id="rId110" ref="Z66"/>
    <hyperlink r:id="rId111" ref="K67"/>
    <hyperlink r:id="rId112" ref="Z67"/>
    <hyperlink r:id="rId113" ref="K68"/>
    <hyperlink r:id="rId114" ref="Z68"/>
    <hyperlink r:id="rId115" ref="K69"/>
    <hyperlink r:id="rId116" ref="Z69"/>
    <hyperlink r:id="rId117" ref="K70"/>
    <hyperlink r:id="rId118" ref="Z70"/>
    <hyperlink r:id="rId119" ref="K71"/>
    <hyperlink r:id="rId120" ref="K72"/>
    <hyperlink r:id="rId121" ref="Z72"/>
    <hyperlink r:id="rId122" ref="K73"/>
    <hyperlink r:id="rId123" ref="Z73"/>
    <hyperlink r:id="rId124" ref="K74"/>
    <hyperlink r:id="rId125" ref="Z74"/>
    <hyperlink r:id="rId126" ref="K75"/>
    <hyperlink r:id="rId127" ref="K76"/>
    <hyperlink r:id="rId128" ref="K77"/>
    <hyperlink r:id="rId129" ref="K78"/>
    <hyperlink r:id="rId130" ref="Z78"/>
    <hyperlink r:id="rId131" ref="K79"/>
    <hyperlink r:id="rId132" ref="K80"/>
    <hyperlink r:id="rId133" ref="Z80"/>
    <hyperlink r:id="rId134" ref="K81"/>
    <hyperlink r:id="rId135" ref="Z81"/>
    <hyperlink r:id="rId136" ref="K82"/>
    <hyperlink r:id="rId137" ref="Z82"/>
    <hyperlink r:id="rId138" ref="K83"/>
    <hyperlink r:id="rId139" ref="Z83"/>
    <hyperlink r:id="rId140" ref="K84"/>
    <hyperlink r:id="rId141" ref="Z84"/>
    <hyperlink r:id="rId142" ref="K85"/>
    <hyperlink r:id="rId143" ref="K86"/>
    <hyperlink r:id="rId144" ref="Z86"/>
    <hyperlink r:id="rId145" ref="K87"/>
    <hyperlink r:id="rId146" ref="Z87"/>
    <hyperlink r:id="rId147" ref="K88"/>
    <hyperlink r:id="rId148" ref="Z88"/>
    <hyperlink r:id="rId149" ref="K89"/>
    <hyperlink r:id="rId150" ref="Z89"/>
    <hyperlink r:id="rId151" ref="K90"/>
    <hyperlink r:id="rId152" ref="Z90"/>
    <hyperlink r:id="rId153" ref="K91"/>
    <hyperlink r:id="rId154" ref="K92"/>
    <hyperlink r:id="rId155" ref="Z92"/>
    <hyperlink r:id="rId156" ref="K93"/>
    <hyperlink r:id="rId157" ref="K94"/>
    <hyperlink r:id="rId158" ref="Z94"/>
    <hyperlink r:id="rId159" ref="K95"/>
    <hyperlink r:id="rId160" ref="Z95"/>
    <hyperlink r:id="rId161" ref="K96"/>
    <hyperlink r:id="rId162" ref="Z96"/>
    <hyperlink r:id="rId163" ref="K97"/>
    <hyperlink r:id="rId164" ref="Z97"/>
    <hyperlink r:id="rId165" ref="K98"/>
    <hyperlink r:id="rId166" ref="K99"/>
    <hyperlink r:id="rId167" ref="Z99"/>
    <hyperlink r:id="rId168" ref="K100"/>
    <hyperlink r:id="rId169" ref="Z100"/>
    <hyperlink r:id="rId170" ref="K101"/>
    <hyperlink r:id="rId171" ref="K102"/>
    <hyperlink r:id="rId172" ref="K103"/>
    <hyperlink r:id="rId173" ref="K104"/>
    <hyperlink r:id="rId174" ref="K105"/>
    <hyperlink r:id="rId175" ref="K106"/>
    <hyperlink r:id="rId176" ref="Z106"/>
    <hyperlink r:id="rId177" ref="K107"/>
    <hyperlink r:id="rId178" ref="K108"/>
    <hyperlink r:id="rId179" ref="Z108"/>
    <hyperlink r:id="rId180" ref="K109"/>
    <hyperlink r:id="rId181" ref="Z109"/>
    <hyperlink r:id="rId182" ref="K110"/>
    <hyperlink r:id="rId183" ref="Z110"/>
    <hyperlink r:id="rId184" ref="K111"/>
    <hyperlink r:id="rId185" ref="K112"/>
    <hyperlink r:id="rId186" ref="Z112"/>
    <hyperlink r:id="rId187" ref="K113"/>
    <hyperlink r:id="rId188" ref="K114"/>
    <hyperlink r:id="rId189" ref="Z114"/>
    <hyperlink r:id="rId190" ref="K115"/>
    <hyperlink r:id="rId191" ref="Z115"/>
  </hyperlinks>
  <drawing r:id="rId19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5" t="s">
        <v>1010</v>
      </c>
      <c r="N1" s="15" t="s">
        <v>1011</v>
      </c>
      <c r="O1" s="15" t="s">
        <v>1012</v>
      </c>
      <c r="P1" s="15" t="s">
        <v>1013</v>
      </c>
      <c r="Q1" s="15" t="s">
        <v>1014</v>
      </c>
      <c r="R1" s="15" t="s">
        <v>1015</v>
      </c>
      <c r="S1" s="15" t="s">
        <v>1016</v>
      </c>
      <c r="T1" s="15" t="s">
        <v>1017</v>
      </c>
      <c r="U1" s="15" t="s">
        <v>1018</v>
      </c>
      <c r="V1" s="15" t="s">
        <v>1019</v>
      </c>
      <c r="W1" s="15" t="s">
        <v>1020</v>
      </c>
      <c r="X1" s="15" t="s">
        <v>1021</v>
      </c>
      <c r="Y1" s="15" t="s">
        <v>1022</v>
      </c>
      <c r="Z1" s="15" t="s">
        <v>25</v>
      </c>
    </row>
    <row r="2">
      <c r="A2" s="3" t="s">
        <v>845</v>
      </c>
      <c r="B2" s="3" t="s">
        <v>1219</v>
      </c>
      <c r="C2" s="1" t="s">
        <v>3178</v>
      </c>
      <c r="D2" s="3" t="s">
        <v>3179</v>
      </c>
      <c r="E2" s="1" t="s">
        <v>30</v>
      </c>
      <c r="F2" s="5">
        <v>12630.0</v>
      </c>
      <c r="G2" s="1" t="s">
        <v>31</v>
      </c>
      <c r="H2" s="3" t="s">
        <v>32</v>
      </c>
      <c r="I2" s="1">
        <v>-6.3317969</v>
      </c>
      <c r="J2" s="3">
        <v>106.8094057</v>
      </c>
      <c r="K2" s="6" t="s">
        <v>3180</v>
      </c>
      <c r="L2" s="11">
        <f t="shared" ref="L2:L297" si="1">IFERROR(MEDIAN(M2:Y2),"")</f>
        <v>14628820.96</v>
      </c>
      <c r="M2" s="11">
        <f>3400000000/229</f>
        <v>14847161.57</v>
      </c>
      <c r="N2" s="11">
        <f>3300000000/229</f>
        <v>14410480.35</v>
      </c>
      <c r="Z2" s="10" t="s">
        <v>175</v>
      </c>
    </row>
    <row r="3">
      <c r="A3" s="3" t="s">
        <v>48</v>
      </c>
      <c r="B3" s="4" t="s">
        <v>1930</v>
      </c>
      <c r="C3" s="1" t="s">
        <v>3181</v>
      </c>
      <c r="D3" s="3" t="s">
        <v>3182</v>
      </c>
      <c r="E3" s="1" t="s">
        <v>30</v>
      </c>
      <c r="F3" s="5">
        <v>12620.0</v>
      </c>
      <c r="G3" s="1" t="s">
        <v>31</v>
      </c>
      <c r="H3" s="9">
        <v>8.12E8</v>
      </c>
      <c r="I3" s="1">
        <v>-6.3215043</v>
      </c>
      <c r="J3" s="3">
        <v>106.8294189</v>
      </c>
      <c r="K3" s="6" t="s">
        <v>3183</v>
      </c>
      <c r="L3" s="11">
        <f t="shared" si="1"/>
        <v>14571798.32</v>
      </c>
      <c r="M3" s="11">
        <f>3500000000/233</f>
        <v>15021459.23</v>
      </c>
      <c r="N3" s="11">
        <f>3700000000/262</f>
        <v>14122137.4</v>
      </c>
      <c r="Z3" s="10" t="s">
        <v>3184</v>
      </c>
    </row>
    <row r="4">
      <c r="A4" s="3" t="s">
        <v>48</v>
      </c>
      <c r="B4" s="4" t="s">
        <v>2819</v>
      </c>
      <c r="C4" s="1" t="s">
        <v>3185</v>
      </c>
      <c r="D4" s="3" t="s">
        <v>3186</v>
      </c>
      <c r="E4" s="1" t="s">
        <v>30</v>
      </c>
      <c r="F4" s="5">
        <v>12870.0</v>
      </c>
      <c r="G4" s="1" t="s">
        <v>31</v>
      </c>
      <c r="H4" s="3" t="s">
        <v>32</v>
      </c>
      <c r="I4" s="1">
        <v>-6.231249</v>
      </c>
      <c r="J4" s="3">
        <v>106.8438753</v>
      </c>
      <c r="K4" s="6" t="s">
        <v>3187</v>
      </c>
      <c r="L4" s="11">
        <f t="shared" si="1"/>
        <v>34637037.04</v>
      </c>
      <c r="M4" s="11">
        <f>9200000000/270</f>
        <v>34074074.07</v>
      </c>
      <c r="N4" s="11">
        <f>9900000000/270</f>
        <v>36666666.67</v>
      </c>
      <c r="O4" s="11">
        <f>20000000000/625</f>
        <v>32000000</v>
      </c>
      <c r="P4" s="11">
        <f>22000000000/625</f>
        <v>35200000</v>
      </c>
      <c r="Z4" s="10" t="s">
        <v>175</v>
      </c>
    </row>
    <row r="5">
      <c r="A5" s="3" t="s">
        <v>185</v>
      </c>
      <c r="B5" s="4" t="s">
        <v>3188</v>
      </c>
      <c r="C5" s="1" t="s">
        <v>3189</v>
      </c>
      <c r="D5" s="3" t="s">
        <v>3190</v>
      </c>
      <c r="E5" s="1" t="s">
        <v>30</v>
      </c>
      <c r="F5" s="5">
        <v>12240.0</v>
      </c>
      <c r="G5" s="1" t="s">
        <v>31</v>
      </c>
      <c r="H5" s="3" t="s">
        <v>32</v>
      </c>
      <c r="I5" s="1">
        <v>-6.2584919</v>
      </c>
      <c r="J5" s="3">
        <v>106.7739855</v>
      </c>
      <c r="K5" s="6" t="s">
        <v>3191</v>
      </c>
      <c r="L5" s="11" t="str">
        <f t="shared" si="1"/>
        <v/>
      </c>
      <c r="Z5" s="2" t="s">
        <v>34</v>
      </c>
    </row>
    <row r="6">
      <c r="A6" s="3" t="s">
        <v>35</v>
      </c>
      <c r="B6" s="3" t="s">
        <v>3192</v>
      </c>
      <c r="C6" s="1" t="s">
        <v>3193</v>
      </c>
      <c r="D6" s="3" t="s">
        <v>3194</v>
      </c>
      <c r="E6" s="1" t="s">
        <v>30</v>
      </c>
      <c r="F6" s="5">
        <v>12910.0</v>
      </c>
      <c r="G6" s="1" t="s">
        <v>31</v>
      </c>
      <c r="H6" s="9">
        <v>8.78E10</v>
      </c>
      <c r="I6" s="1">
        <v>-6.2093413</v>
      </c>
      <c r="J6" s="3">
        <v>106.8274017</v>
      </c>
      <c r="K6" s="6" t="s">
        <v>3195</v>
      </c>
      <c r="L6" s="11" t="str">
        <f t="shared" si="1"/>
        <v/>
      </c>
      <c r="Z6" s="2" t="s">
        <v>34</v>
      </c>
    </row>
    <row r="7">
      <c r="A7" s="3" t="s">
        <v>35</v>
      </c>
      <c r="B7" s="4" t="s">
        <v>3196</v>
      </c>
      <c r="C7" s="1" t="s">
        <v>3197</v>
      </c>
      <c r="D7" s="3" t="s">
        <v>3198</v>
      </c>
      <c r="E7" s="1" t="s">
        <v>30</v>
      </c>
      <c r="F7" s="5">
        <v>12240.0</v>
      </c>
      <c r="G7" s="1" t="s">
        <v>31</v>
      </c>
      <c r="H7" s="3" t="s">
        <v>32</v>
      </c>
      <c r="I7" s="1">
        <v>-6.2438201</v>
      </c>
      <c r="J7" s="3">
        <v>106.7851182</v>
      </c>
      <c r="K7" s="6" t="s">
        <v>3199</v>
      </c>
      <c r="L7" s="11">
        <f t="shared" si="1"/>
        <v>43823471.79</v>
      </c>
      <c r="M7" s="11">
        <f>10700000000/472</f>
        <v>22669491.53</v>
      </c>
      <c r="N7" s="11">
        <f>10200000000/472</f>
        <v>21610169.49</v>
      </c>
      <c r="O7" s="11">
        <f>40000000000/640</f>
        <v>62500000</v>
      </c>
      <c r="P7" s="11">
        <f>30000000000/638</f>
        <v>47021943.57</v>
      </c>
      <c r="Q7" s="11">
        <f>35000000000/480</f>
        <v>72916666.67</v>
      </c>
      <c r="R7" s="11">
        <f>19500000000/480</f>
        <v>40625000</v>
      </c>
      <c r="Z7" s="10" t="s">
        <v>2774</v>
      </c>
    </row>
    <row r="8">
      <c r="A8" s="3" t="s">
        <v>3200</v>
      </c>
      <c r="B8" s="4" t="s">
        <v>3201</v>
      </c>
      <c r="C8" s="1" t="s">
        <v>3202</v>
      </c>
      <c r="D8" s="3" t="s">
        <v>3203</v>
      </c>
      <c r="E8" s="1" t="s">
        <v>30</v>
      </c>
      <c r="F8" s="5">
        <v>12430.0</v>
      </c>
      <c r="G8" s="1" t="s">
        <v>31</v>
      </c>
      <c r="H8" s="9">
        <v>2.17E8</v>
      </c>
      <c r="I8" s="1">
        <v>-6.2868181</v>
      </c>
      <c r="J8" s="3">
        <v>106.8071785</v>
      </c>
      <c r="K8" s="6" t="s">
        <v>3204</v>
      </c>
      <c r="L8" s="11" t="str">
        <f t="shared" si="1"/>
        <v/>
      </c>
      <c r="Z8" s="16" t="s">
        <v>34</v>
      </c>
    </row>
    <row r="9">
      <c r="A9" s="3" t="s">
        <v>134</v>
      </c>
      <c r="B9" s="4" t="s">
        <v>3205</v>
      </c>
      <c r="C9" s="1" t="s">
        <v>3206</v>
      </c>
      <c r="D9" s="3" t="s">
        <v>3207</v>
      </c>
      <c r="E9" s="1" t="s">
        <v>30</v>
      </c>
      <c r="F9" s="5">
        <v>12430.0</v>
      </c>
      <c r="G9" s="1" t="s">
        <v>31</v>
      </c>
      <c r="H9" s="3" t="s">
        <v>32</v>
      </c>
      <c r="I9" s="1">
        <v>-6.2892484</v>
      </c>
      <c r="J9" s="3">
        <v>106.7983488</v>
      </c>
      <c r="K9" s="6" t="s">
        <v>3208</v>
      </c>
      <c r="L9" s="11">
        <f t="shared" si="1"/>
        <v>49411764.71</v>
      </c>
      <c r="M9" s="11">
        <f>4200000000/85</f>
        <v>49411764.71</v>
      </c>
      <c r="Z9" s="10" t="s">
        <v>175</v>
      </c>
    </row>
    <row r="10">
      <c r="A10" s="3" t="s">
        <v>134</v>
      </c>
      <c r="B10" s="4" t="s">
        <v>3209</v>
      </c>
      <c r="C10" s="1" t="s">
        <v>3210</v>
      </c>
      <c r="D10" s="3" t="s">
        <v>3211</v>
      </c>
      <c r="E10" s="1" t="s">
        <v>30</v>
      </c>
      <c r="F10" s="5">
        <v>12120.0</v>
      </c>
      <c r="G10" s="1" t="s">
        <v>31</v>
      </c>
      <c r="H10" s="9">
        <v>2.13E9</v>
      </c>
      <c r="I10" s="1">
        <v>-6.2373798</v>
      </c>
      <c r="J10" s="3">
        <v>106.7868448</v>
      </c>
      <c r="K10" s="6" t="s">
        <v>3212</v>
      </c>
      <c r="L10" s="11" t="str">
        <f t="shared" si="1"/>
        <v/>
      </c>
      <c r="Z10" s="2" t="s">
        <v>34</v>
      </c>
    </row>
    <row r="11">
      <c r="A11" s="3" t="s">
        <v>134</v>
      </c>
      <c r="B11" s="4" t="s">
        <v>3213</v>
      </c>
      <c r="C11" s="1" t="s">
        <v>3214</v>
      </c>
      <c r="D11" s="3" t="s">
        <v>3215</v>
      </c>
      <c r="E11" s="1" t="s">
        <v>30</v>
      </c>
      <c r="F11" s="5">
        <v>12930.0</v>
      </c>
      <c r="G11" s="1" t="s">
        <v>31</v>
      </c>
      <c r="H11" s="9">
        <v>2.13E9</v>
      </c>
      <c r="I11" s="1">
        <v>-6.2264728</v>
      </c>
      <c r="J11" s="3">
        <v>106.8191571</v>
      </c>
      <c r="K11" s="6" t="s">
        <v>3216</v>
      </c>
      <c r="L11" s="11" t="str">
        <f t="shared" si="1"/>
        <v/>
      </c>
      <c r="Z11" s="2" t="s">
        <v>34</v>
      </c>
    </row>
    <row r="12">
      <c r="A12" s="3" t="s">
        <v>134</v>
      </c>
      <c r="B12" s="4" t="s">
        <v>3217</v>
      </c>
      <c r="C12" s="1" t="s">
        <v>3218</v>
      </c>
      <c r="D12" s="3" t="s">
        <v>3219</v>
      </c>
      <c r="E12" s="1" t="s">
        <v>30</v>
      </c>
      <c r="F12" s="5">
        <v>12960.0</v>
      </c>
      <c r="G12" s="1" t="s">
        <v>31</v>
      </c>
      <c r="H12" s="9">
        <v>8.15E10</v>
      </c>
      <c r="I12" s="1">
        <v>-6.2180127</v>
      </c>
      <c r="J12" s="3">
        <v>106.8365277</v>
      </c>
      <c r="K12" s="6" t="s">
        <v>3220</v>
      </c>
      <c r="L12" s="11" t="str">
        <f t="shared" si="1"/>
        <v/>
      </c>
      <c r="Z12" s="2" t="s">
        <v>34</v>
      </c>
    </row>
    <row r="13">
      <c r="A13" s="3" t="s">
        <v>134</v>
      </c>
      <c r="B13" s="4" t="s">
        <v>3221</v>
      </c>
      <c r="C13" s="1" t="s">
        <v>3222</v>
      </c>
      <c r="D13" s="3" t="s">
        <v>3223</v>
      </c>
      <c r="E13" s="1" t="s">
        <v>30</v>
      </c>
      <c r="F13" s="5">
        <v>12210.0</v>
      </c>
      <c r="G13" s="1" t="s">
        <v>31</v>
      </c>
      <c r="H13" s="9">
        <v>2.15E9</v>
      </c>
      <c r="I13" s="1">
        <v>-6.2245878</v>
      </c>
      <c r="J13" s="3">
        <v>106.7872105</v>
      </c>
      <c r="K13" s="6" t="s">
        <v>3224</v>
      </c>
      <c r="L13" s="11" t="str">
        <f t="shared" si="1"/>
        <v/>
      </c>
      <c r="Z13" s="2" t="s">
        <v>34</v>
      </c>
    </row>
    <row r="14">
      <c r="A14" s="3" t="s">
        <v>134</v>
      </c>
      <c r="B14" s="4" t="s">
        <v>3225</v>
      </c>
      <c r="C14" s="1" t="s">
        <v>3226</v>
      </c>
      <c r="D14" s="3" t="s">
        <v>3227</v>
      </c>
      <c r="E14" s="1" t="s">
        <v>30</v>
      </c>
      <c r="F14" s="5">
        <v>12210.0</v>
      </c>
      <c r="G14" s="1" t="s">
        <v>31</v>
      </c>
      <c r="H14" s="9">
        <v>2.15E8</v>
      </c>
      <c r="I14" s="1">
        <v>-6.222965</v>
      </c>
      <c r="J14" s="3">
        <v>106.7845679</v>
      </c>
      <c r="K14" s="6" t="s">
        <v>3228</v>
      </c>
      <c r="L14" s="11" t="str">
        <f t="shared" si="1"/>
        <v/>
      </c>
      <c r="Z14" s="2" t="s">
        <v>34</v>
      </c>
    </row>
    <row r="15">
      <c r="A15" s="3" t="s">
        <v>3229</v>
      </c>
      <c r="B15" s="4" t="s">
        <v>3230</v>
      </c>
      <c r="C15" s="1" t="s">
        <v>3231</v>
      </c>
      <c r="D15" s="3" t="s">
        <v>3232</v>
      </c>
      <c r="E15" s="1" t="s">
        <v>30</v>
      </c>
      <c r="F15" s="5">
        <v>12210.0</v>
      </c>
      <c r="G15" s="1" t="s">
        <v>31</v>
      </c>
      <c r="H15" s="3" t="s">
        <v>32</v>
      </c>
      <c r="I15" s="1">
        <v>-6.2229787</v>
      </c>
      <c r="J15" s="3">
        <v>106.794292</v>
      </c>
      <c r="K15" s="6" t="s">
        <v>3233</v>
      </c>
      <c r="L15" s="11" t="str">
        <f t="shared" si="1"/>
        <v/>
      </c>
      <c r="Z15" s="2" t="s">
        <v>34</v>
      </c>
    </row>
    <row r="16">
      <c r="A16" s="3" t="s">
        <v>3234</v>
      </c>
      <c r="B16" s="4" t="s">
        <v>3235</v>
      </c>
      <c r="C16" s="1" t="s">
        <v>3236</v>
      </c>
      <c r="D16" s="3" t="s">
        <v>3237</v>
      </c>
      <c r="E16" s="1" t="s">
        <v>30</v>
      </c>
      <c r="F16" s="5">
        <v>12430.0</v>
      </c>
      <c r="G16" s="1" t="s">
        <v>31</v>
      </c>
      <c r="H16" s="9">
        <v>2.18E9</v>
      </c>
      <c r="I16" s="1">
        <v>-6.2859813</v>
      </c>
      <c r="J16" s="3">
        <v>106.8007225</v>
      </c>
      <c r="K16" s="6" t="s">
        <v>3238</v>
      </c>
      <c r="L16" s="11" t="str">
        <f t="shared" si="1"/>
        <v/>
      </c>
      <c r="Z16" s="2" t="s">
        <v>34</v>
      </c>
    </row>
    <row r="17">
      <c r="A17" s="3" t="s">
        <v>3239</v>
      </c>
      <c r="B17" s="4" t="s">
        <v>3240</v>
      </c>
      <c r="C17" s="1" t="s">
        <v>3241</v>
      </c>
      <c r="D17" s="3" t="s">
        <v>3242</v>
      </c>
      <c r="E17" s="1" t="s">
        <v>30</v>
      </c>
      <c r="F17" s="5">
        <v>12260.0</v>
      </c>
      <c r="G17" s="1" t="s">
        <v>31</v>
      </c>
      <c r="H17" s="3" t="s">
        <v>32</v>
      </c>
      <c r="I17" s="1">
        <v>-6.228997</v>
      </c>
      <c r="J17" s="3">
        <v>106.7575131</v>
      </c>
      <c r="K17" s="6" t="s">
        <v>3243</v>
      </c>
      <c r="L17" s="11">
        <f t="shared" si="1"/>
        <v>16013409.86</v>
      </c>
      <c r="M17" s="11">
        <f>3700000000/249</f>
        <v>14859437.75</v>
      </c>
      <c r="N17" s="11">
        <f>8000000000/466</f>
        <v>17167381.97</v>
      </c>
      <c r="Z17" s="10" t="s">
        <v>175</v>
      </c>
    </row>
    <row r="18">
      <c r="A18" s="3" t="s">
        <v>3244</v>
      </c>
      <c r="B18" s="4" t="s">
        <v>3245</v>
      </c>
      <c r="C18" s="1" t="s">
        <v>3246</v>
      </c>
      <c r="D18" s="3" t="s">
        <v>3247</v>
      </c>
      <c r="E18" s="1" t="s">
        <v>30</v>
      </c>
      <c r="F18" s="5">
        <v>12640.0</v>
      </c>
      <c r="G18" s="1" t="s">
        <v>31</v>
      </c>
      <c r="H18" s="3" t="s">
        <v>32</v>
      </c>
      <c r="I18" s="1">
        <v>-6.3454718</v>
      </c>
      <c r="J18" s="3">
        <v>106.8187774</v>
      </c>
      <c r="K18" s="6" t="s">
        <v>3248</v>
      </c>
      <c r="L18" s="11" t="str">
        <f t="shared" si="1"/>
        <v/>
      </c>
      <c r="Z18" s="2" t="s">
        <v>34</v>
      </c>
    </row>
    <row r="19">
      <c r="A19" s="3" t="s">
        <v>26</v>
      </c>
      <c r="B19" s="4" t="s">
        <v>3249</v>
      </c>
      <c r="C19" s="1" t="s">
        <v>3250</v>
      </c>
      <c r="D19" s="3" t="s">
        <v>3251</v>
      </c>
      <c r="E19" s="1" t="s">
        <v>30</v>
      </c>
      <c r="F19" s="5">
        <v>12220.0</v>
      </c>
      <c r="G19" s="1" t="s">
        <v>31</v>
      </c>
      <c r="H19" s="3" t="s">
        <v>32</v>
      </c>
      <c r="I19" s="1">
        <v>-6.2392274</v>
      </c>
      <c r="J19" s="3">
        <v>106.7856558</v>
      </c>
      <c r="K19" s="6" t="s">
        <v>3252</v>
      </c>
      <c r="L19" s="11">
        <f t="shared" si="1"/>
        <v>63636363.64</v>
      </c>
      <c r="M19" s="11">
        <f>4900000000/77</f>
        <v>63636363.64</v>
      </c>
      <c r="Z19" s="10" t="s">
        <v>175</v>
      </c>
    </row>
    <row r="20">
      <c r="A20" s="3" t="s">
        <v>35</v>
      </c>
      <c r="B20" s="3" t="s">
        <v>3253</v>
      </c>
      <c r="C20" s="1" t="s">
        <v>3254</v>
      </c>
      <c r="D20" s="3" t="s">
        <v>3255</v>
      </c>
      <c r="E20" s="1" t="s">
        <v>30</v>
      </c>
      <c r="F20" s="5">
        <v>12410.0</v>
      </c>
      <c r="G20" s="1" t="s">
        <v>31</v>
      </c>
      <c r="H20" s="3" t="s">
        <v>32</v>
      </c>
      <c r="I20" s="1">
        <v>-6.2741702</v>
      </c>
      <c r="J20" s="3">
        <v>106.802252</v>
      </c>
      <c r="K20" s="6" t="s">
        <v>3256</v>
      </c>
      <c r="L20" s="11">
        <f t="shared" si="1"/>
        <v>23437500</v>
      </c>
      <c r="M20" s="11">
        <f>8250000000/352</f>
        <v>23437500</v>
      </c>
      <c r="Z20" s="10" t="s">
        <v>2728</v>
      </c>
    </row>
    <row r="21">
      <c r="A21" s="3" t="s">
        <v>35</v>
      </c>
      <c r="B21" s="3" t="s">
        <v>3257</v>
      </c>
      <c r="C21" s="1" t="s">
        <v>3258</v>
      </c>
      <c r="D21" s="3" t="s">
        <v>3259</v>
      </c>
      <c r="E21" s="1" t="s">
        <v>30</v>
      </c>
      <c r="F21" s="5">
        <v>12620.0</v>
      </c>
      <c r="G21" s="1" t="s">
        <v>31</v>
      </c>
      <c r="H21" s="3" t="s">
        <v>32</v>
      </c>
      <c r="I21" s="1">
        <v>-6.3245588</v>
      </c>
      <c r="J21" s="3">
        <v>106.8235107</v>
      </c>
      <c r="K21" s="6" t="s">
        <v>3260</v>
      </c>
      <c r="L21" s="11" t="str">
        <f t="shared" si="1"/>
        <v/>
      </c>
      <c r="Z21" s="2" t="s">
        <v>34</v>
      </c>
    </row>
    <row r="22">
      <c r="A22" s="3" t="s">
        <v>185</v>
      </c>
      <c r="B22" s="4" t="s">
        <v>3261</v>
      </c>
      <c r="C22" s="1" t="s">
        <v>3262</v>
      </c>
      <c r="D22" s="3" t="s">
        <v>3263</v>
      </c>
      <c r="E22" s="1" t="s">
        <v>30</v>
      </c>
      <c r="F22" s="5">
        <v>12620.0</v>
      </c>
      <c r="G22" s="1" t="s">
        <v>31</v>
      </c>
      <c r="H22" s="9">
        <v>8.13E10</v>
      </c>
      <c r="I22" s="1">
        <v>-6.3313832</v>
      </c>
      <c r="J22" s="3">
        <v>106.8256021</v>
      </c>
      <c r="K22" s="6" t="s">
        <v>3264</v>
      </c>
      <c r="L22" s="11">
        <f t="shared" si="1"/>
        <v>25347222.22</v>
      </c>
      <c r="M22" s="11">
        <f>3000000000/103</f>
        <v>29126213.59</v>
      </c>
      <c r="N22" s="11">
        <f>3800000000/171</f>
        <v>22222222.22</v>
      </c>
      <c r="O22" s="11">
        <f>3650000000/144</f>
        <v>25347222.22</v>
      </c>
      <c r="P22" s="11">
        <f>4500000000/171</f>
        <v>26315789.47</v>
      </c>
      <c r="Q22" s="11">
        <f>3000000000/147</f>
        <v>20408163.27</v>
      </c>
      <c r="Z22" s="10" t="s">
        <v>175</v>
      </c>
    </row>
    <row r="23">
      <c r="A23" s="3" t="s">
        <v>185</v>
      </c>
      <c r="B23" s="4" t="s">
        <v>3265</v>
      </c>
      <c r="C23" s="1" t="s">
        <v>3266</v>
      </c>
      <c r="D23" s="3" t="s">
        <v>3267</v>
      </c>
      <c r="E23" s="1" t="s">
        <v>30</v>
      </c>
      <c r="F23" s="5">
        <v>12210.0</v>
      </c>
      <c r="G23" s="1" t="s">
        <v>31</v>
      </c>
      <c r="H23" s="3" t="s">
        <v>32</v>
      </c>
      <c r="I23" s="1">
        <v>-6.2262059</v>
      </c>
      <c r="J23" s="3">
        <v>106.7818149</v>
      </c>
      <c r="K23" s="6" t="s">
        <v>3268</v>
      </c>
      <c r="L23" s="11">
        <f t="shared" si="1"/>
        <v>70000000</v>
      </c>
      <c r="M23" s="11">
        <f>3000000000/45</f>
        <v>66666666.67</v>
      </c>
      <c r="N23" s="11">
        <f>3500000000/50</f>
        <v>70000000</v>
      </c>
      <c r="O23" s="11">
        <f>4200000000/50</f>
        <v>84000000</v>
      </c>
      <c r="P23" s="11">
        <f>3000000000/45</f>
        <v>66666666.67</v>
      </c>
      <c r="Q23" s="11">
        <f>3700000000/50</f>
        <v>74000000</v>
      </c>
      <c r="Z23" s="10" t="s">
        <v>3269</v>
      </c>
    </row>
    <row r="24">
      <c r="A24" s="3" t="s">
        <v>35</v>
      </c>
      <c r="B24" s="3" t="s">
        <v>3270</v>
      </c>
      <c r="C24" s="1" t="s">
        <v>3271</v>
      </c>
      <c r="D24" s="3" t="s">
        <v>3272</v>
      </c>
      <c r="E24" s="1" t="s">
        <v>30</v>
      </c>
      <c r="F24" s="5">
        <v>12790.0</v>
      </c>
      <c r="G24" s="1" t="s">
        <v>31</v>
      </c>
      <c r="H24" s="3" t="s">
        <v>32</v>
      </c>
      <c r="I24" s="1">
        <v>-6.2486183</v>
      </c>
      <c r="J24" s="3">
        <v>106.8287349</v>
      </c>
      <c r="K24" s="6" t="s">
        <v>3273</v>
      </c>
      <c r="L24" s="11" t="str">
        <f t="shared" si="1"/>
        <v/>
      </c>
      <c r="Z24" s="2" t="s">
        <v>34</v>
      </c>
    </row>
    <row r="25">
      <c r="A25" s="3" t="s">
        <v>185</v>
      </c>
      <c r="B25" s="4" t="s">
        <v>3274</v>
      </c>
      <c r="C25" s="1" t="s">
        <v>3275</v>
      </c>
      <c r="D25" s="3" t="s">
        <v>3276</v>
      </c>
      <c r="E25" s="1" t="s">
        <v>30</v>
      </c>
      <c r="F25" s="5">
        <v>12780.0</v>
      </c>
      <c r="G25" s="1" t="s">
        <v>31</v>
      </c>
      <c r="H25" s="9">
        <v>8.11E9</v>
      </c>
      <c r="I25" s="1">
        <v>-6.2503621</v>
      </c>
      <c r="J25" s="3">
        <v>106.8409277</v>
      </c>
      <c r="K25" s="6" t="s">
        <v>3277</v>
      </c>
      <c r="L25" s="11">
        <f t="shared" si="1"/>
        <v>32500000</v>
      </c>
      <c r="M25" s="11">
        <f>1950000000/60</f>
        <v>32500000</v>
      </c>
      <c r="Z25" s="10" t="s">
        <v>175</v>
      </c>
    </row>
    <row r="26">
      <c r="A26" s="3" t="s">
        <v>185</v>
      </c>
      <c r="B26" s="4" t="s">
        <v>3278</v>
      </c>
      <c r="C26" s="1" t="s">
        <v>3279</v>
      </c>
      <c r="D26" s="3" t="s">
        <v>3280</v>
      </c>
      <c r="E26" s="1" t="s">
        <v>30</v>
      </c>
      <c r="F26" s="5">
        <v>12520.0</v>
      </c>
      <c r="G26" s="1" t="s">
        <v>31</v>
      </c>
      <c r="H26" s="3" t="s">
        <v>32</v>
      </c>
      <c r="I26" s="1">
        <v>-6.3211026</v>
      </c>
      <c r="J26" s="3">
        <v>106.8282806</v>
      </c>
      <c r="K26" s="6" t="s">
        <v>3281</v>
      </c>
      <c r="L26" s="11" t="str">
        <f t="shared" si="1"/>
        <v/>
      </c>
      <c r="Z26" s="2" t="s">
        <v>34</v>
      </c>
    </row>
    <row r="27">
      <c r="A27" s="3" t="s">
        <v>185</v>
      </c>
      <c r="B27" s="4" t="s">
        <v>3282</v>
      </c>
      <c r="C27" s="1" t="s">
        <v>3283</v>
      </c>
      <c r="D27" s="3" t="s">
        <v>3284</v>
      </c>
      <c r="E27" s="1" t="s">
        <v>30</v>
      </c>
      <c r="F27" s="5">
        <v>12540.0</v>
      </c>
      <c r="G27" s="1" t="s">
        <v>31</v>
      </c>
      <c r="H27" s="3" t="s">
        <v>32</v>
      </c>
      <c r="I27" s="1">
        <v>-6.283294</v>
      </c>
      <c r="J27" s="3">
        <v>106.8325564</v>
      </c>
      <c r="K27" s="6" t="s">
        <v>3285</v>
      </c>
      <c r="L27" s="11" t="str">
        <f t="shared" si="1"/>
        <v/>
      </c>
      <c r="Z27" s="2" t="s">
        <v>34</v>
      </c>
    </row>
    <row r="28">
      <c r="A28" s="3" t="s">
        <v>35</v>
      </c>
      <c r="B28" s="3" t="s">
        <v>3286</v>
      </c>
      <c r="C28" s="1" t="s">
        <v>3287</v>
      </c>
      <c r="D28" s="3" t="s">
        <v>3288</v>
      </c>
      <c r="E28" s="1" t="s">
        <v>30</v>
      </c>
      <c r="F28" s="5">
        <v>12550.0</v>
      </c>
      <c r="G28" s="1" t="s">
        <v>31</v>
      </c>
      <c r="H28" s="3" t="s">
        <v>32</v>
      </c>
      <c r="I28" s="1">
        <v>-6.310017</v>
      </c>
      <c r="J28" s="3">
        <v>106.8146091</v>
      </c>
      <c r="K28" s="6" t="s">
        <v>3289</v>
      </c>
      <c r="L28" s="11" t="str">
        <f t="shared" si="1"/>
        <v/>
      </c>
      <c r="Z28" s="2" t="s">
        <v>34</v>
      </c>
    </row>
    <row r="29">
      <c r="A29" s="3" t="s">
        <v>35</v>
      </c>
      <c r="B29" s="3" t="s">
        <v>3290</v>
      </c>
      <c r="C29" s="1" t="s">
        <v>3291</v>
      </c>
      <c r="D29" s="3" t="s">
        <v>3292</v>
      </c>
      <c r="E29" s="1" t="s">
        <v>30</v>
      </c>
      <c r="F29" s="5">
        <v>12560.0</v>
      </c>
      <c r="G29" s="1" t="s">
        <v>31</v>
      </c>
      <c r="H29" s="3" t="s">
        <v>32</v>
      </c>
      <c r="I29" s="1">
        <v>-6.2841553</v>
      </c>
      <c r="J29" s="3">
        <v>106.8103634</v>
      </c>
      <c r="K29" s="6" t="s">
        <v>3293</v>
      </c>
      <c r="L29" s="11" t="str">
        <f t="shared" si="1"/>
        <v/>
      </c>
      <c r="Z29" s="2" t="s">
        <v>34</v>
      </c>
    </row>
    <row r="30">
      <c r="A30" s="3" t="s">
        <v>35</v>
      </c>
      <c r="B30" s="3" t="s">
        <v>3294</v>
      </c>
      <c r="C30" s="1" t="s">
        <v>3295</v>
      </c>
      <c r="D30" s="3" t="s">
        <v>3296</v>
      </c>
      <c r="E30" s="1" t="s">
        <v>30</v>
      </c>
      <c r="F30" s="5">
        <v>12270.0</v>
      </c>
      <c r="G30" s="1" t="s">
        <v>31</v>
      </c>
      <c r="H30" s="3" t="s">
        <v>32</v>
      </c>
      <c r="I30" s="1">
        <v>-6.2461091</v>
      </c>
      <c r="J30" s="3">
        <v>106.7582637</v>
      </c>
      <c r="K30" s="6" t="s">
        <v>3297</v>
      </c>
      <c r="L30" s="11" t="str">
        <f t="shared" si="1"/>
        <v/>
      </c>
      <c r="Z30" s="2" t="s">
        <v>34</v>
      </c>
    </row>
    <row r="31">
      <c r="A31" s="3" t="s">
        <v>185</v>
      </c>
      <c r="B31" s="4" t="s">
        <v>3298</v>
      </c>
      <c r="C31" s="1" t="s">
        <v>3299</v>
      </c>
      <c r="D31" s="3" t="s">
        <v>3300</v>
      </c>
      <c r="E31" s="1" t="s">
        <v>30</v>
      </c>
      <c r="F31" s="5">
        <v>12330.0</v>
      </c>
      <c r="G31" s="1" t="s">
        <v>31</v>
      </c>
      <c r="H31" s="3" t="s">
        <v>32</v>
      </c>
      <c r="I31" s="1">
        <v>-6.2646756</v>
      </c>
      <c r="J31" s="3">
        <v>106.760454</v>
      </c>
      <c r="K31" s="6" t="s">
        <v>3301</v>
      </c>
      <c r="L31" s="11">
        <f t="shared" si="1"/>
        <v>30849462.37</v>
      </c>
      <c r="M31" s="11">
        <f>3990000000/149</f>
        <v>26778523.49</v>
      </c>
      <c r="N31" s="11">
        <f>7600000000/198</f>
        <v>38383838.38</v>
      </c>
      <c r="O31" s="11">
        <f>3250000000/89</f>
        <v>36516853.93</v>
      </c>
      <c r="P31" s="11">
        <f>8200000000/234</f>
        <v>35042735.04</v>
      </c>
      <c r="Q31" s="11">
        <f>3600000000/124</f>
        <v>29032258.06</v>
      </c>
      <c r="R31" s="11">
        <f>5400000000/200</f>
        <v>27000000</v>
      </c>
      <c r="S31" s="11">
        <f>4900000000/150</f>
        <v>32666666.67</v>
      </c>
      <c r="T31" s="11">
        <f>5800000000/200</f>
        <v>29000000</v>
      </c>
      <c r="U31" s="11">
        <f>8500000000/188</f>
        <v>45212765.96</v>
      </c>
      <c r="V31" s="11">
        <f>6300000000/320</f>
        <v>19687500</v>
      </c>
      <c r="Z31" s="10" t="s">
        <v>2774</v>
      </c>
    </row>
    <row r="32">
      <c r="A32" s="3" t="s">
        <v>185</v>
      </c>
      <c r="B32" s="4" t="s">
        <v>3302</v>
      </c>
      <c r="C32" s="1" t="s">
        <v>3303</v>
      </c>
      <c r="D32" s="3" t="s">
        <v>3304</v>
      </c>
      <c r="E32" s="1" t="s">
        <v>30</v>
      </c>
      <c r="F32" s="5">
        <v>12930.0</v>
      </c>
      <c r="G32" s="1" t="s">
        <v>31</v>
      </c>
      <c r="H32" s="9">
        <v>8.11E9</v>
      </c>
      <c r="I32" s="1">
        <v>-6.2242849</v>
      </c>
      <c r="J32" s="3">
        <v>106.8190508</v>
      </c>
      <c r="K32" s="6" t="s">
        <v>3305</v>
      </c>
      <c r="L32" s="11" t="str">
        <f t="shared" si="1"/>
        <v/>
      </c>
      <c r="Z32" s="2" t="s">
        <v>34</v>
      </c>
    </row>
    <row r="33">
      <c r="A33" s="3" t="s">
        <v>185</v>
      </c>
      <c r="B33" s="4" t="s">
        <v>3306</v>
      </c>
      <c r="C33" s="1" t="s">
        <v>3307</v>
      </c>
      <c r="D33" s="3" t="s">
        <v>3308</v>
      </c>
      <c r="E33" s="1" t="s">
        <v>30</v>
      </c>
      <c r="F33" s="5">
        <v>12920.0</v>
      </c>
      <c r="G33" s="1" t="s">
        <v>31</v>
      </c>
      <c r="H33" s="9">
        <v>2.15E9</v>
      </c>
      <c r="I33" s="1">
        <v>-6.2145437</v>
      </c>
      <c r="J33" s="3">
        <v>106.8275648</v>
      </c>
      <c r="K33" s="6" t="s">
        <v>3309</v>
      </c>
      <c r="L33" s="11" t="str">
        <f t="shared" si="1"/>
        <v/>
      </c>
      <c r="Z33" s="2" t="s">
        <v>34</v>
      </c>
    </row>
    <row r="34">
      <c r="A34" s="3" t="s">
        <v>185</v>
      </c>
      <c r="B34" s="4" t="s">
        <v>3310</v>
      </c>
      <c r="C34" s="1" t="s">
        <v>3311</v>
      </c>
      <c r="D34" s="3" t="s">
        <v>3312</v>
      </c>
      <c r="E34" s="1" t="s">
        <v>30</v>
      </c>
      <c r="F34" s="5">
        <v>12940.0</v>
      </c>
      <c r="G34" s="1" t="s">
        <v>31</v>
      </c>
      <c r="H34" s="3" t="s">
        <v>32</v>
      </c>
      <c r="I34" s="1">
        <v>-6.2247</v>
      </c>
      <c r="J34" s="3">
        <v>106.831466</v>
      </c>
      <c r="K34" s="6" t="s">
        <v>3313</v>
      </c>
      <c r="L34" s="11" t="str">
        <f t="shared" si="1"/>
        <v/>
      </c>
      <c r="Z34" s="2" t="s">
        <v>34</v>
      </c>
    </row>
    <row r="35">
      <c r="A35" s="3" t="s">
        <v>185</v>
      </c>
      <c r="B35" s="4" t="s">
        <v>3314</v>
      </c>
      <c r="C35" s="1" t="s">
        <v>3315</v>
      </c>
      <c r="D35" s="3" t="s">
        <v>3316</v>
      </c>
      <c r="E35" s="1" t="s">
        <v>30</v>
      </c>
      <c r="F35" s="5">
        <v>12910.0</v>
      </c>
      <c r="G35" s="1" t="s">
        <v>31</v>
      </c>
      <c r="H35" s="9">
        <v>2.16E8</v>
      </c>
      <c r="I35" s="1">
        <v>-6.2087405</v>
      </c>
      <c r="J35" s="3">
        <v>106.8267719</v>
      </c>
      <c r="K35" s="6" t="s">
        <v>3317</v>
      </c>
      <c r="L35" s="11" t="str">
        <f t="shared" si="1"/>
        <v/>
      </c>
      <c r="Z35" s="2" t="s">
        <v>34</v>
      </c>
    </row>
    <row r="36">
      <c r="A36" s="3" t="s">
        <v>185</v>
      </c>
      <c r="B36" s="4" t="s">
        <v>3318</v>
      </c>
      <c r="C36" s="1" t="s">
        <v>3319</v>
      </c>
      <c r="D36" s="3" t="s">
        <v>3320</v>
      </c>
      <c r="E36" s="1" t="s">
        <v>30</v>
      </c>
      <c r="F36" s="5">
        <v>12940.0</v>
      </c>
      <c r="G36" s="1" t="s">
        <v>31</v>
      </c>
      <c r="H36" s="9">
        <v>2.13E9</v>
      </c>
      <c r="I36" s="1">
        <v>-6.213832</v>
      </c>
      <c r="J36" s="3">
        <v>106.8368115</v>
      </c>
      <c r="K36" s="6" t="s">
        <v>3321</v>
      </c>
      <c r="L36" s="11" t="str">
        <f t="shared" si="1"/>
        <v/>
      </c>
      <c r="Z36" s="2" t="s">
        <v>34</v>
      </c>
    </row>
    <row r="37">
      <c r="A37" s="3" t="s">
        <v>185</v>
      </c>
      <c r="B37" s="4" t="s">
        <v>3322</v>
      </c>
      <c r="C37" s="1" t="s">
        <v>3323</v>
      </c>
      <c r="D37" s="3" t="s">
        <v>3324</v>
      </c>
      <c r="E37" s="1" t="s">
        <v>30</v>
      </c>
      <c r="F37" s="5">
        <v>12860.0</v>
      </c>
      <c r="G37" s="1" t="s">
        <v>31</v>
      </c>
      <c r="H37" s="3" t="s">
        <v>32</v>
      </c>
      <c r="I37" s="1">
        <v>-6.2178277</v>
      </c>
      <c r="J37" s="3">
        <v>106.8460992</v>
      </c>
      <c r="K37" s="6" t="s">
        <v>3325</v>
      </c>
      <c r="L37" s="11" t="str">
        <f t="shared" si="1"/>
        <v/>
      </c>
      <c r="Z37" s="2" t="s">
        <v>34</v>
      </c>
    </row>
    <row r="38">
      <c r="A38" s="3" t="s">
        <v>351</v>
      </c>
      <c r="B38" s="4" t="s">
        <v>3326</v>
      </c>
      <c r="C38" s="1" t="s">
        <v>3327</v>
      </c>
      <c r="D38" s="3" t="s">
        <v>3328</v>
      </c>
      <c r="E38" s="1" t="s">
        <v>30</v>
      </c>
      <c r="F38" s="5">
        <v>12240.0</v>
      </c>
      <c r="G38" s="1" t="s">
        <v>31</v>
      </c>
      <c r="H38" s="3" t="s">
        <v>32</v>
      </c>
      <c r="I38" s="1">
        <v>-6.2541275</v>
      </c>
      <c r="J38" s="3">
        <v>106.7788334</v>
      </c>
      <c r="K38" s="6" t="s">
        <v>3329</v>
      </c>
      <c r="L38" s="11" t="str">
        <f t="shared" si="1"/>
        <v/>
      </c>
      <c r="Z38" s="2" t="s">
        <v>34</v>
      </c>
    </row>
    <row r="39">
      <c r="A39" s="3" t="s">
        <v>351</v>
      </c>
      <c r="B39" s="4" t="s">
        <v>3330</v>
      </c>
      <c r="C39" s="1" t="s">
        <v>3331</v>
      </c>
      <c r="D39" s="3" t="s">
        <v>3332</v>
      </c>
      <c r="E39" s="1" t="s">
        <v>30</v>
      </c>
      <c r="F39" s="5">
        <v>12960.0</v>
      </c>
      <c r="G39" s="1" t="s">
        <v>31</v>
      </c>
      <c r="H39" s="9">
        <v>2.18E8</v>
      </c>
      <c r="I39" s="1">
        <v>-6.2200421</v>
      </c>
      <c r="J39" s="3">
        <v>106.8455697</v>
      </c>
      <c r="K39" s="6" t="s">
        <v>3333</v>
      </c>
      <c r="L39" s="11" t="str">
        <f t="shared" si="1"/>
        <v/>
      </c>
      <c r="Z39" s="2" t="s">
        <v>34</v>
      </c>
    </row>
    <row r="40">
      <c r="A40" s="3" t="s">
        <v>48</v>
      </c>
      <c r="B40" s="4" t="s">
        <v>3334</v>
      </c>
      <c r="C40" s="1" t="s">
        <v>3335</v>
      </c>
      <c r="D40" s="3" t="s">
        <v>3336</v>
      </c>
      <c r="E40" s="1" t="s">
        <v>30</v>
      </c>
      <c r="F40" s="5">
        <v>12410.0</v>
      </c>
      <c r="G40" s="1" t="s">
        <v>31</v>
      </c>
      <c r="H40" s="3" t="s">
        <v>32</v>
      </c>
      <c r="I40" s="1">
        <v>-6.2719443</v>
      </c>
      <c r="J40" s="3">
        <v>106.8067432</v>
      </c>
      <c r="K40" s="6" t="s">
        <v>3337</v>
      </c>
      <c r="L40" s="11" t="str">
        <f t="shared" si="1"/>
        <v/>
      </c>
      <c r="Z40" s="2" t="s">
        <v>34</v>
      </c>
    </row>
    <row r="41">
      <c r="A41" s="3" t="s">
        <v>48</v>
      </c>
      <c r="B41" s="4" t="s">
        <v>3338</v>
      </c>
      <c r="C41" s="1" t="s">
        <v>3339</v>
      </c>
      <c r="D41" s="3" t="s">
        <v>3340</v>
      </c>
      <c r="E41" s="1" t="s">
        <v>30</v>
      </c>
      <c r="F41" s="5">
        <v>12410.0</v>
      </c>
      <c r="G41" s="1" t="s">
        <v>31</v>
      </c>
      <c r="H41" s="3" t="s">
        <v>32</v>
      </c>
      <c r="I41" s="1">
        <v>-6.2765615</v>
      </c>
      <c r="J41" s="3">
        <v>106.8066774</v>
      </c>
      <c r="K41" s="6" t="s">
        <v>3341</v>
      </c>
      <c r="L41" s="11" t="str">
        <f t="shared" si="1"/>
        <v/>
      </c>
      <c r="Z41" s="2" t="s">
        <v>34</v>
      </c>
    </row>
    <row r="42">
      <c r="A42" s="3" t="s">
        <v>48</v>
      </c>
      <c r="B42" s="4" t="s">
        <v>3342</v>
      </c>
      <c r="C42" s="1" t="s">
        <v>3343</v>
      </c>
      <c r="D42" s="3" t="s">
        <v>3344</v>
      </c>
      <c r="E42" s="1" t="s">
        <v>30</v>
      </c>
      <c r="F42" s="5">
        <v>12410.0</v>
      </c>
      <c r="G42" s="1" t="s">
        <v>31</v>
      </c>
      <c r="H42" s="3" t="s">
        <v>32</v>
      </c>
      <c r="I42" s="1">
        <v>-6.2778698</v>
      </c>
      <c r="J42" s="3">
        <v>106.8120645</v>
      </c>
      <c r="K42" s="6" t="s">
        <v>3345</v>
      </c>
      <c r="L42" s="11">
        <f t="shared" si="1"/>
        <v>18461237.94</v>
      </c>
      <c r="M42" s="11">
        <f>29500000000/1320</f>
        <v>22348484.85</v>
      </c>
      <c r="N42" s="11">
        <f>6500000000/446</f>
        <v>14573991.03</v>
      </c>
      <c r="Z42" s="10" t="s">
        <v>3113</v>
      </c>
    </row>
    <row r="43">
      <c r="A43" s="3" t="s">
        <v>48</v>
      </c>
      <c r="B43" s="4" t="s">
        <v>3346</v>
      </c>
      <c r="C43" s="1" t="s">
        <v>3347</v>
      </c>
      <c r="D43" s="3" t="s">
        <v>3348</v>
      </c>
      <c r="E43" s="1" t="s">
        <v>30</v>
      </c>
      <c r="F43" s="5">
        <v>12410.0</v>
      </c>
      <c r="G43" s="1" t="s">
        <v>31</v>
      </c>
      <c r="H43" s="3" t="s">
        <v>32</v>
      </c>
      <c r="I43" s="1">
        <v>-6.2792699</v>
      </c>
      <c r="J43" s="3">
        <v>106.8032543</v>
      </c>
      <c r="K43" s="6" t="s">
        <v>3349</v>
      </c>
      <c r="L43" s="11" t="str">
        <f t="shared" si="1"/>
        <v/>
      </c>
      <c r="Z43" s="2" t="s">
        <v>34</v>
      </c>
    </row>
    <row r="44">
      <c r="A44" s="3" t="s">
        <v>48</v>
      </c>
      <c r="B44" s="3" t="s">
        <v>3350</v>
      </c>
      <c r="C44" s="1" t="s">
        <v>3351</v>
      </c>
      <c r="D44" s="3" t="s">
        <v>3352</v>
      </c>
      <c r="E44" s="1" t="s">
        <v>30</v>
      </c>
      <c r="F44" s="5">
        <v>12560.0</v>
      </c>
      <c r="G44" s="1" t="s">
        <v>31</v>
      </c>
      <c r="H44" s="3" t="s">
        <v>32</v>
      </c>
      <c r="I44" s="1">
        <v>-6.3052272</v>
      </c>
      <c r="J44" s="3">
        <v>106.8115362</v>
      </c>
      <c r="K44" s="6" t="s">
        <v>3353</v>
      </c>
      <c r="L44" s="11" t="str">
        <f t="shared" si="1"/>
        <v/>
      </c>
      <c r="Z44" s="2" t="s">
        <v>34</v>
      </c>
    </row>
    <row r="45">
      <c r="A45" s="3" t="s">
        <v>48</v>
      </c>
      <c r="B45" s="4" t="s">
        <v>3354</v>
      </c>
      <c r="C45" s="1" t="s">
        <v>3355</v>
      </c>
      <c r="D45" s="3" t="s">
        <v>3356</v>
      </c>
      <c r="E45" s="1" t="s">
        <v>30</v>
      </c>
      <c r="F45" s="5">
        <v>12420.0</v>
      </c>
      <c r="G45" s="1" t="s">
        <v>31</v>
      </c>
      <c r="H45" s="3" t="s">
        <v>32</v>
      </c>
      <c r="I45" s="1">
        <v>-6.2678424</v>
      </c>
      <c r="J45" s="3">
        <v>106.7953688</v>
      </c>
      <c r="K45" s="6" t="s">
        <v>3357</v>
      </c>
      <c r="L45" s="11" t="str">
        <f t="shared" si="1"/>
        <v/>
      </c>
      <c r="Z45" s="2" t="s">
        <v>34</v>
      </c>
    </row>
    <row r="46">
      <c r="A46" s="3" t="s">
        <v>48</v>
      </c>
      <c r="B46" s="4" t="s">
        <v>3358</v>
      </c>
      <c r="C46" s="1" t="s">
        <v>3359</v>
      </c>
      <c r="D46" s="3" t="s">
        <v>3360</v>
      </c>
      <c r="E46" s="1" t="s">
        <v>30</v>
      </c>
      <c r="F46" s="5">
        <v>12450.0</v>
      </c>
      <c r="G46" s="1" t="s">
        <v>31</v>
      </c>
      <c r="H46" s="3" t="s">
        <v>32</v>
      </c>
      <c r="I46" s="1">
        <v>-6.3031947</v>
      </c>
      <c r="J46" s="3">
        <v>106.8016952</v>
      </c>
      <c r="K46" s="6" t="s">
        <v>3361</v>
      </c>
      <c r="L46" s="11">
        <f t="shared" si="1"/>
        <v>9773148.148</v>
      </c>
      <c r="M46" s="11">
        <f>8800000000/540</f>
        <v>16296296.3</v>
      </c>
      <c r="N46" s="11">
        <f>3900000000/1200</f>
        <v>3250000</v>
      </c>
      <c r="Z46" s="10" t="s">
        <v>175</v>
      </c>
    </row>
    <row r="47">
      <c r="A47" s="3" t="s">
        <v>48</v>
      </c>
      <c r="B47" s="4" t="s">
        <v>3362</v>
      </c>
      <c r="C47" s="1" t="s">
        <v>3363</v>
      </c>
      <c r="D47" s="3" t="s">
        <v>3364</v>
      </c>
      <c r="E47" s="1" t="s">
        <v>30</v>
      </c>
      <c r="F47" s="5">
        <v>12430.0</v>
      </c>
      <c r="G47" s="1" t="s">
        <v>31</v>
      </c>
      <c r="H47" s="9">
        <v>8.19E8</v>
      </c>
      <c r="I47" s="1">
        <v>-6.3003631</v>
      </c>
      <c r="J47" s="3">
        <v>106.7986439</v>
      </c>
      <c r="K47" s="6" t="s">
        <v>3365</v>
      </c>
      <c r="L47" s="11">
        <f t="shared" si="1"/>
        <v>28946820.77</v>
      </c>
      <c r="M47" s="11">
        <f>4300000000/161</f>
        <v>26708074.53</v>
      </c>
      <c r="N47" s="11">
        <f>12100000000/388</f>
        <v>31185567.01</v>
      </c>
      <c r="Z47" s="10" t="s">
        <v>175</v>
      </c>
    </row>
    <row r="48">
      <c r="A48" s="3" t="s">
        <v>48</v>
      </c>
      <c r="B48" s="4" t="s">
        <v>3366</v>
      </c>
      <c r="C48" s="1" t="s">
        <v>3367</v>
      </c>
      <c r="D48" s="3" t="s">
        <v>3368</v>
      </c>
      <c r="E48" s="1" t="s">
        <v>30</v>
      </c>
      <c r="F48" s="5">
        <v>12430.0</v>
      </c>
      <c r="G48" s="1" t="s">
        <v>31</v>
      </c>
      <c r="H48" s="3" t="s">
        <v>32</v>
      </c>
      <c r="I48" s="1">
        <v>-6.2853477</v>
      </c>
      <c r="J48" s="3">
        <v>106.7993503</v>
      </c>
      <c r="K48" s="6" t="s">
        <v>3369</v>
      </c>
      <c r="L48" s="11">
        <f t="shared" si="1"/>
        <v>55921052.63</v>
      </c>
      <c r="M48" s="11">
        <f>8500000000/152</f>
        <v>55921052.63</v>
      </c>
      <c r="Z48" s="10" t="s">
        <v>2728</v>
      </c>
    </row>
    <row r="49">
      <c r="A49" s="3" t="s">
        <v>48</v>
      </c>
      <c r="B49" s="4" t="s">
        <v>3370</v>
      </c>
      <c r="C49" s="1" t="s">
        <v>3371</v>
      </c>
      <c r="D49" s="3" t="s">
        <v>3372</v>
      </c>
      <c r="E49" s="1" t="s">
        <v>30</v>
      </c>
      <c r="F49" s="5">
        <v>12430.0</v>
      </c>
      <c r="G49" s="1" t="s">
        <v>31</v>
      </c>
      <c r="H49" s="3" t="s">
        <v>32</v>
      </c>
      <c r="I49" s="1">
        <v>-6.2981638</v>
      </c>
      <c r="J49" s="3">
        <v>106.7898739</v>
      </c>
      <c r="K49" s="6" t="s">
        <v>3373</v>
      </c>
      <c r="L49" s="11">
        <f t="shared" si="1"/>
        <v>32160804.02</v>
      </c>
      <c r="M49" s="11">
        <f>6400000000/199</f>
        <v>32160804.02</v>
      </c>
      <c r="Z49" s="10" t="s">
        <v>175</v>
      </c>
    </row>
    <row r="50">
      <c r="A50" s="3" t="s">
        <v>48</v>
      </c>
      <c r="B50" s="4" t="s">
        <v>3374</v>
      </c>
      <c r="C50" s="1" t="s">
        <v>3375</v>
      </c>
      <c r="D50" s="3" t="s">
        <v>3376</v>
      </c>
      <c r="E50" s="1" t="s">
        <v>30</v>
      </c>
      <c r="F50" s="5">
        <v>12430.0</v>
      </c>
      <c r="G50" s="1" t="s">
        <v>31</v>
      </c>
      <c r="H50" s="3" t="s">
        <v>32</v>
      </c>
      <c r="I50" s="1">
        <v>-6.2860962</v>
      </c>
      <c r="J50" s="3">
        <v>106.803474</v>
      </c>
      <c r="K50" s="6" t="s">
        <v>3377</v>
      </c>
      <c r="L50" s="11">
        <f t="shared" si="1"/>
        <v>43011894.65</v>
      </c>
      <c r="M50" s="11">
        <f>12500000000/428</f>
        <v>29205607.48</v>
      </c>
      <c r="N50" s="11">
        <f>3750000000/66</f>
        <v>56818181.82</v>
      </c>
      <c r="Z50" s="10" t="s">
        <v>175</v>
      </c>
    </row>
    <row r="51">
      <c r="A51" s="3" t="s">
        <v>48</v>
      </c>
      <c r="B51" s="4" t="s">
        <v>3378</v>
      </c>
      <c r="C51" s="1" t="s">
        <v>3379</v>
      </c>
      <c r="D51" s="3" t="s">
        <v>3380</v>
      </c>
      <c r="E51" s="1" t="s">
        <v>30</v>
      </c>
      <c r="F51" s="5">
        <v>12430.0</v>
      </c>
      <c r="G51" s="1" t="s">
        <v>31</v>
      </c>
      <c r="H51" s="3" t="s">
        <v>32</v>
      </c>
      <c r="I51" s="1">
        <v>-6.2798907</v>
      </c>
      <c r="J51" s="3">
        <v>106.791987</v>
      </c>
      <c r="K51" s="6" t="s">
        <v>3381</v>
      </c>
      <c r="L51" s="11" t="str">
        <f t="shared" si="1"/>
        <v/>
      </c>
      <c r="Z51" s="2" t="s">
        <v>34</v>
      </c>
    </row>
    <row r="52">
      <c r="A52" s="3" t="s">
        <v>48</v>
      </c>
      <c r="B52" s="4" t="s">
        <v>3382</v>
      </c>
      <c r="C52" s="1" t="s">
        <v>3383</v>
      </c>
      <c r="D52" s="3" t="s">
        <v>3384</v>
      </c>
      <c r="E52" s="1" t="s">
        <v>30</v>
      </c>
      <c r="F52" s="5">
        <v>12440.0</v>
      </c>
      <c r="G52" s="1" t="s">
        <v>31</v>
      </c>
      <c r="H52" s="3" t="s">
        <v>32</v>
      </c>
      <c r="I52" s="1">
        <v>-6.3016532</v>
      </c>
      <c r="J52" s="3">
        <v>106.784685</v>
      </c>
      <c r="K52" s="6" t="s">
        <v>3385</v>
      </c>
      <c r="L52" s="11">
        <f t="shared" si="1"/>
        <v>34973463.07</v>
      </c>
      <c r="M52" s="2">
        <f>8800000000/180</f>
        <v>48888888.89</v>
      </c>
      <c r="N52" s="11">
        <f>10000000000/266</f>
        <v>37593984.96</v>
      </c>
      <c r="O52" s="11">
        <f>5250000000/224</f>
        <v>23437500</v>
      </c>
      <c r="P52" s="11">
        <f>5500000000/170</f>
        <v>32352941.18</v>
      </c>
      <c r="Z52" s="10" t="s">
        <v>2728</v>
      </c>
    </row>
    <row r="53">
      <c r="A53" s="3" t="s">
        <v>48</v>
      </c>
      <c r="B53" s="4" t="s">
        <v>3386</v>
      </c>
      <c r="C53" s="1" t="s">
        <v>3387</v>
      </c>
      <c r="D53" s="3" t="s">
        <v>3388</v>
      </c>
      <c r="E53" s="1" t="s">
        <v>30</v>
      </c>
      <c r="F53" s="5">
        <v>12440.0</v>
      </c>
      <c r="G53" s="1" t="s">
        <v>31</v>
      </c>
      <c r="H53" s="3" t="s">
        <v>32</v>
      </c>
      <c r="I53" s="1">
        <v>-6.2962714</v>
      </c>
      <c r="J53" s="3">
        <v>106.7808313</v>
      </c>
      <c r="K53" s="6" t="s">
        <v>3389</v>
      </c>
      <c r="L53" s="11" t="str">
        <f t="shared" si="1"/>
        <v/>
      </c>
      <c r="Z53" s="2" t="s">
        <v>34</v>
      </c>
    </row>
    <row r="54">
      <c r="A54" s="3" t="s">
        <v>48</v>
      </c>
      <c r="B54" s="4" t="s">
        <v>3390</v>
      </c>
      <c r="C54" s="1" t="s">
        <v>3391</v>
      </c>
      <c r="D54" s="3" t="s">
        <v>3392</v>
      </c>
      <c r="E54" s="1" t="s">
        <v>30</v>
      </c>
      <c r="F54" s="5">
        <v>12440.0</v>
      </c>
      <c r="G54" s="1" t="s">
        <v>31</v>
      </c>
      <c r="H54" s="3" t="s">
        <v>32</v>
      </c>
      <c r="I54" s="1">
        <v>-6.3070454</v>
      </c>
      <c r="J54" s="3">
        <v>106.7839969</v>
      </c>
      <c r="K54" s="6" t="s">
        <v>3393</v>
      </c>
      <c r="L54" s="11">
        <f t="shared" si="1"/>
        <v>19389671.36</v>
      </c>
      <c r="M54" s="11">
        <f>4000000000/213</f>
        <v>18779342.72</v>
      </c>
      <c r="N54" s="11">
        <f>4500000000/225</f>
        <v>20000000</v>
      </c>
      <c r="Z54" s="10" t="s">
        <v>2728</v>
      </c>
    </row>
    <row r="55">
      <c r="A55" s="3" t="s">
        <v>48</v>
      </c>
      <c r="B55" s="4" t="s">
        <v>3394</v>
      </c>
      <c r="C55" s="1" t="s">
        <v>3395</v>
      </c>
      <c r="D55" s="3" t="s">
        <v>3396</v>
      </c>
      <c r="E55" s="1" t="s">
        <v>30</v>
      </c>
      <c r="F55" s="5">
        <v>12440.0</v>
      </c>
      <c r="G55" s="1" t="s">
        <v>31</v>
      </c>
      <c r="H55" s="3" t="s">
        <v>32</v>
      </c>
      <c r="I55" s="1">
        <v>-6.3079043</v>
      </c>
      <c r="J55" s="3">
        <v>106.7869059</v>
      </c>
      <c r="K55" s="6" t="s">
        <v>3397</v>
      </c>
      <c r="L55" s="11">
        <f t="shared" si="1"/>
        <v>23770491.8</v>
      </c>
      <c r="M55" s="11">
        <f>2900000000/122</f>
        <v>23770491.8</v>
      </c>
      <c r="N55" s="11">
        <f>3000000000/113</f>
        <v>26548672.57</v>
      </c>
      <c r="O55" s="11">
        <f>2100000000/98</f>
        <v>21428571.43</v>
      </c>
      <c r="Z55" s="10" t="s">
        <v>175</v>
      </c>
    </row>
    <row r="56">
      <c r="A56" s="3" t="s">
        <v>48</v>
      </c>
      <c r="B56" s="4" t="s">
        <v>3398</v>
      </c>
      <c r="C56" s="1" t="s">
        <v>3399</v>
      </c>
      <c r="D56" s="3" t="s">
        <v>3400</v>
      </c>
      <c r="E56" s="1" t="s">
        <v>30</v>
      </c>
      <c r="F56" s="5">
        <v>12450.0</v>
      </c>
      <c r="G56" s="1" t="s">
        <v>31</v>
      </c>
      <c r="H56" s="3" t="s">
        <v>32</v>
      </c>
      <c r="I56" s="1">
        <v>-6.3067458</v>
      </c>
      <c r="J56" s="3">
        <v>106.8073964</v>
      </c>
      <c r="K56" s="6" t="s">
        <v>3401</v>
      </c>
      <c r="L56" s="11">
        <f t="shared" si="1"/>
        <v>21708159.79</v>
      </c>
      <c r="M56" s="11">
        <f>3200000000/139</f>
        <v>23021582.73</v>
      </c>
      <c r="N56" s="11">
        <f>3100000000/152</f>
        <v>20394736.84</v>
      </c>
      <c r="Z56" s="10" t="s">
        <v>175</v>
      </c>
    </row>
    <row r="57">
      <c r="A57" s="3" t="s">
        <v>48</v>
      </c>
      <c r="B57" s="4" t="s">
        <v>3402</v>
      </c>
      <c r="C57" s="1" t="s">
        <v>3403</v>
      </c>
      <c r="D57" s="3" t="s">
        <v>3404</v>
      </c>
      <c r="E57" s="1" t="s">
        <v>30</v>
      </c>
      <c r="F57" s="5">
        <v>12450.0</v>
      </c>
      <c r="G57" s="1" t="s">
        <v>31</v>
      </c>
      <c r="H57" s="3" t="s">
        <v>32</v>
      </c>
      <c r="I57" s="1">
        <v>-6.3130458</v>
      </c>
      <c r="J57" s="3">
        <v>106.7942258</v>
      </c>
      <c r="K57" s="6" t="s">
        <v>3405</v>
      </c>
      <c r="L57" s="11">
        <f t="shared" si="1"/>
        <v>20872093.02</v>
      </c>
      <c r="M57" s="11">
        <f>3600000000/215</f>
        <v>16744186.05</v>
      </c>
      <c r="N57" s="11">
        <f>3000000000/120</f>
        <v>25000000</v>
      </c>
      <c r="Z57" s="10" t="s">
        <v>175</v>
      </c>
    </row>
    <row r="58">
      <c r="A58" s="3" t="s">
        <v>48</v>
      </c>
      <c r="B58" s="4" t="s">
        <v>3406</v>
      </c>
      <c r="C58" s="1" t="s">
        <v>3407</v>
      </c>
      <c r="D58" s="3" t="s">
        <v>3408</v>
      </c>
      <c r="E58" s="1" t="s">
        <v>30</v>
      </c>
      <c r="F58" s="5">
        <v>12620.0</v>
      </c>
      <c r="G58" s="1" t="s">
        <v>31</v>
      </c>
      <c r="H58" s="3" t="s">
        <v>32</v>
      </c>
      <c r="I58" s="1">
        <v>-6.3313322</v>
      </c>
      <c r="J58" s="3">
        <v>106.8204616</v>
      </c>
      <c r="K58" s="6" t="s">
        <v>3409</v>
      </c>
      <c r="L58" s="11" t="str">
        <f t="shared" si="1"/>
        <v/>
      </c>
      <c r="Z58" s="2" t="s">
        <v>34</v>
      </c>
    </row>
    <row r="59">
      <c r="A59" s="3" t="s">
        <v>48</v>
      </c>
      <c r="B59" s="4" t="s">
        <v>3410</v>
      </c>
      <c r="C59" s="1" t="s">
        <v>3411</v>
      </c>
      <c r="D59" s="3" t="s">
        <v>3412</v>
      </c>
      <c r="E59" s="1" t="s">
        <v>30</v>
      </c>
      <c r="F59" s="5">
        <v>12630.0</v>
      </c>
      <c r="G59" s="1" t="s">
        <v>31</v>
      </c>
      <c r="H59" s="3" t="s">
        <v>32</v>
      </c>
      <c r="I59" s="1">
        <v>-6.3286139</v>
      </c>
      <c r="J59" s="3">
        <v>106.8135689</v>
      </c>
      <c r="K59" s="6" t="s">
        <v>3413</v>
      </c>
      <c r="L59" s="11" t="str">
        <f t="shared" si="1"/>
        <v/>
      </c>
      <c r="Z59" s="2" t="s">
        <v>34</v>
      </c>
    </row>
    <row r="60">
      <c r="A60" s="3" t="s">
        <v>48</v>
      </c>
      <c r="B60" s="4" t="s">
        <v>3414</v>
      </c>
      <c r="C60" s="1" t="s">
        <v>3415</v>
      </c>
      <c r="D60" s="3" t="s">
        <v>3416</v>
      </c>
      <c r="E60" s="1" t="s">
        <v>30</v>
      </c>
      <c r="F60" s="5">
        <v>12530.0</v>
      </c>
      <c r="G60" s="1" t="s">
        <v>31</v>
      </c>
      <c r="H60" s="9">
        <v>8.18E10</v>
      </c>
      <c r="I60" s="1">
        <v>-6.313651</v>
      </c>
      <c r="J60" s="3">
        <v>106.842671</v>
      </c>
      <c r="K60" s="6" t="s">
        <v>3417</v>
      </c>
      <c r="L60" s="11">
        <f t="shared" si="1"/>
        <v>32000000</v>
      </c>
      <c r="M60" s="11">
        <f>8000000000/250</f>
        <v>32000000</v>
      </c>
      <c r="Z60" s="10" t="s">
        <v>2749</v>
      </c>
    </row>
    <row r="61">
      <c r="A61" s="3" t="s">
        <v>48</v>
      </c>
      <c r="B61" s="4" t="s">
        <v>3418</v>
      </c>
      <c r="C61" s="1" t="s">
        <v>3419</v>
      </c>
      <c r="D61" s="3" t="s">
        <v>3420</v>
      </c>
      <c r="E61" s="1" t="s">
        <v>30</v>
      </c>
      <c r="F61" s="5">
        <v>12630.0</v>
      </c>
      <c r="G61" s="1" t="s">
        <v>31</v>
      </c>
      <c r="H61" s="3" t="s">
        <v>32</v>
      </c>
      <c r="I61" s="1">
        <v>-6.3373891</v>
      </c>
      <c r="J61" s="3">
        <v>106.8120906</v>
      </c>
      <c r="K61" s="6" t="s">
        <v>3421</v>
      </c>
      <c r="L61" s="11">
        <f t="shared" si="1"/>
        <v>16759259.26</v>
      </c>
      <c r="M61" s="11">
        <f>3200000000/180</f>
        <v>17777777.78</v>
      </c>
      <c r="N61" s="11">
        <f>1700000000/108</f>
        <v>15740740.74</v>
      </c>
      <c r="Z61" s="10" t="s">
        <v>175</v>
      </c>
    </row>
    <row r="62">
      <c r="A62" s="3" t="s">
        <v>48</v>
      </c>
      <c r="B62" s="4" t="s">
        <v>3422</v>
      </c>
      <c r="C62" s="1" t="s">
        <v>3423</v>
      </c>
      <c r="D62" s="3" t="s">
        <v>3424</v>
      </c>
      <c r="E62" s="1" t="s">
        <v>30</v>
      </c>
      <c r="F62" s="5">
        <v>12530.0</v>
      </c>
      <c r="G62" s="1" t="s">
        <v>31</v>
      </c>
      <c r="H62" s="3" t="s">
        <v>32</v>
      </c>
      <c r="I62" s="1">
        <v>-6.3074529</v>
      </c>
      <c r="J62" s="3">
        <v>106.8525339</v>
      </c>
      <c r="K62" s="6" t="s">
        <v>3425</v>
      </c>
      <c r="L62" s="11">
        <f t="shared" si="1"/>
        <v>18421052.63</v>
      </c>
      <c r="M62" s="11">
        <f>5950000000/323</f>
        <v>18421052.63</v>
      </c>
      <c r="N62" s="11">
        <f>1490000000/66</f>
        <v>22575757.58</v>
      </c>
      <c r="O62" s="11">
        <f>10300000000/1361</f>
        <v>7567964.732</v>
      </c>
      <c r="Z62" s="10" t="s">
        <v>175</v>
      </c>
    </row>
    <row r="63">
      <c r="A63" s="3" t="s">
        <v>48</v>
      </c>
      <c r="B63" s="4" t="s">
        <v>3426</v>
      </c>
      <c r="C63" s="1" t="s">
        <v>3427</v>
      </c>
      <c r="D63" s="3" t="s">
        <v>3428</v>
      </c>
      <c r="E63" s="1" t="s">
        <v>30</v>
      </c>
      <c r="F63" s="5">
        <v>12530.0</v>
      </c>
      <c r="G63" s="1" t="s">
        <v>31</v>
      </c>
      <c r="H63" s="3" t="s">
        <v>32</v>
      </c>
      <c r="I63" s="1">
        <v>-6.3144224</v>
      </c>
      <c r="J63" s="3">
        <v>106.8494</v>
      </c>
      <c r="K63" s="6" t="s">
        <v>3429</v>
      </c>
      <c r="L63" s="11" t="str">
        <f t="shared" si="1"/>
        <v/>
      </c>
      <c r="Z63" s="2" t="s">
        <v>34</v>
      </c>
    </row>
    <row r="64">
      <c r="A64" s="3" t="s">
        <v>48</v>
      </c>
      <c r="B64" s="4" t="s">
        <v>3430</v>
      </c>
      <c r="C64" s="1" t="s">
        <v>3431</v>
      </c>
      <c r="D64" s="3" t="s">
        <v>3432</v>
      </c>
      <c r="E64" s="1" t="s">
        <v>30</v>
      </c>
      <c r="F64" s="5">
        <v>12530.0</v>
      </c>
      <c r="G64" s="1" t="s">
        <v>31</v>
      </c>
      <c r="H64" s="3" t="s">
        <v>32</v>
      </c>
      <c r="I64" s="1">
        <v>-6.3128389</v>
      </c>
      <c r="J64" s="3">
        <v>106.8552607</v>
      </c>
      <c r="K64" s="6" t="s">
        <v>3433</v>
      </c>
      <c r="L64" s="11" t="str">
        <f t="shared" si="1"/>
        <v/>
      </c>
      <c r="Z64" s="2" t="s">
        <v>34</v>
      </c>
    </row>
    <row r="65">
      <c r="A65" s="3" t="s">
        <v>48</v>
      </c>
      <c r="B65" s="4" t="s">
        <v>3434</v>
      </c>
      <c r="C65" s="1" t="s">
        <v>3435</v>
      </c>
      <c r="D65" s="3" t="s">
        <v>3436</v>
      </c>
      <c r="E65" s="1" t="s">
        <v>30</v>
      </c>
      <c r="F65" s="5">
        <v>12620.0</v>
      </c>
      <c r="G65" s="1" t="s">
        <v>31</v>
      </c>
      <c r="H65" s="3" t="s">
        <v>32</v>
      </c>
      <c r="I65" s="1">
        <v>-6.3339977</v>
      </c>
      <c r="J65" s="3">
        <v>106.8128287</v>
      </c>
      <c r="K65" s="6" t="s">
        <v>3437</v>
      </c>
      <c r="L65" s="11">
        <f t="shared" si="1"/>
        <v>21789105.45</v>
      </c>
      <c r="M65" s="11">
        <f>2500000000/115</f>
        <v>21739130.43</v>
      </c>
      <c r="N65" s="11">
        <f>1900000000/86</f>
        <v>22093023.26</v>
      </c>
      <c r="O65" s="11">
        <f>1900000000/87</f>
        <v>21839080.46</v>
      </c>
      <c r="P65" s="11">
        <f>2400000000/117</f>
        <v>20512820.51</v>
      </c>
      <c r="Z65" s="10" t="s">
        <v>2749</v>
      </c>
    </row>
    <row r="66">
      <c r="A66" s="3" t="s">
        <v>48</v>
      </c>
      <c r="B66" s="4" t="s">
        <v>3438</v>
      </c>
      <c r="C66" s="1" t="s">
        <v>3439</v>
      </c>
      <c r="D66" s="3" t="s">
        <v>3440</v>
      </c>
      <c r="E66" s="1" t="s">
        <v>30</v>
      </c>
      <c r="F66" s="5">
        <v>12620.0</v>
      </c>
      <c r="G66" s="1" t="s">
        <v>31</v>
      </c>
      <c r="H66" s="3" t="s">
        <v>32</v>
      </c>
      <c r="I66" s="1">
        <v>-6.3298636</v>
      </c>
      <c r="J66" s="3">
        <v>106.8192441</v>
      </c>
      <c r="K66" s="6" t="s">
        <v>3441</v>
      </c>
      <c r="L66" s="11" t="str">
        <f t="shared" si="1"/>
        <v/>
      </c>
      <c r="Z66" s="2" t="s">
        <v>34</v>
      </c>
    </row>
    <row r="67">
      <c r="A67" s="3" t="s">
        <v>48</v>
      </c>
      <c r="B67" s="4" t="s">
        <v>3442</v>
      </c>
      <c r="C67" s="1" t="s">
        <v>3443</v>
      </c>
      <c r="D67" s="3" t="s">
        <v>3444</v>
      </c>
      <c r="E67" s="1" t="s">
        <v>30</v>
      </c>
      <c r="F67" s="5">
        <v>12620.0</v>
      </c>
      <c r="G67" s="1" t="s">
        <v>31</v>
      </c>
      <c r="H67" s="3" t="s">
        <v>32</v>
      </c>
      <c r="I67" s="1">
        <v>-6.3250211</v>
      </c>
      <c r="J67" s="3">
        <v>106.8094817</v>
      </c>
      <c r="K67" s="6" t="s">
        <v>3445</v>
      </c>
      <c r="L67" s="11" t="str">
        <f t="shared" si="1"/>
        <v/>
      </c>
      <c r="Z67" s="2" t="s">
        <v>34</v>
      </c>
    </row>
    <row r="68">
      <c r="A68" s="3" t="s">
        <v>48</v>
      </c>
      <c r="B68" s="4" t="s">
        <v>3446</v>
      </c>
      <c r="C68" s="1" t="s">
        <v>3447</v>
      </c>
      <c r="D68" s="3" t="s">
        <v>3448</v>
      </c>
      <c r="E68" s="1" t="s">
        <v>30</v>
      </c>
      <c r="F68" s="5">
        <v>12620.0</v>
      </c>
      <c r="G68" s="1" t="s">
        <v>31</v>
      </c>
      <c r="H68" s="3" t="s">
        <v>32</v>
      </c>
      <c r="I68" s="1">
        <v>-6.3322599</v>
      </c>
      <c r="J68" s="3">
        <v>106.8259753</v>
      </c>
      <c r="K68" s="6" t="s">
        <v>3449</v>
      </c>
      <c r="L68" s="11" t="str">
        <f t="shared" si="1"/>
        <v/>
      </c>
      <c r="Z68" s="2" t="s">
        <v>34</v>
      </c>
    </row>
    <row r="69">
      <c r="A69" s="3" t="s">
        <v>48</v>
      </c>
      <c r="B69" s="4" t="s">
        <v>3450</v>
      </c>
      <c r="C69" s="1" t="s">
        <v>3451</v>
      </c>
      <c r="D69" s="3" t="s">
        <v>3452</v>
      </c>
      <c r="E69" s="1" t="s">
        <v>30</v>
      </c>
      <c r="F69" s="5">
        <v>12620.0</v>
      </c>
      <c r="G69" s="1" t="s">
        <v>31</v>
      </c>
      <c r="H69" s="3" t="s">
        <v>32</v>
      </c>
      <c r="I69" s="1">
        <v>-6.3259422</v>
      </c>
      <c r="J69" s="3">
        <v>106.8137125</v>
      </c>
      <c r="K69" s="6" t="s">
        <v>3453</v>
      </c>
      <c r="L69" s="11">
        <f t="shared" si="1"/>
        <v>97604166.67</v>
      </c>
      <c r="M69" s="11">
        <f>1750000000/75</f>
        <v>23333333.33</v>
      </c>
      <c r="N69" s="11">
        <f>16500000000/96</f>
        <v>171875000</v>
      </c>
      <c r="Z69" s="10" t="s">
        <v>175</v>
      </c>
    </row>
    <row r="70">
      <c r="A70" s="3" t="s">
        <v>48</v>
      </c>
      <c r="B70" s="4" t="s">
        <v>3454</v>
      </c>
      <c r="C70" s="1" t="s">
        <v>3455</v>
      </c>
      <c r="D70" s="3" t="s">
        <v>3456</v>
      </c>
      <c r="E70" s="1" t="s">
        <v>30</v>
      </c>
      <c r="F70" s="5">
        <v>12620.0</v>
      </c>
      <c r="G70" s="1" t="s">
        <v>31</v>
      </c>
      <c r="H70" s="9">
        <v>8.78E10</v>
      </c>
      <c r="I70" s="1">
        <v>-6.3271862</v>
      </c>
      <c r="J70" s="3">
        <v>106.8269622</v>
      </c>
      <c r="K70" s="6" t="s">
        <v>3457</v>
      </c>
      <c r="L70" s="11">
        <f t="shared" si="1"/>
        <v>12543116.19</v>
      </c>
      <c r="M70" s="11">
        <f>3400000000/146</f>
        <v>23287671.23</v>
      </c>
      <c r="N70" s="11">
        <f>250000000/139</f>
        <v>1798561.151</v>
      </c>
      <c r="Z70" s="10" t="s">
        <v>175</v>
      </c>
    </row>
    <row r="71">
      <c r="A71" s="3" t="s">
        <v>48</v>
      </c>
      <c r="B71" s="4" t="s">
        <v>3458</v>
      </c>
      <c r="C71" s="1" t="s">
        <v>3459</v>
      </c>
      <c r="D71" s="3" t="s">
        <v>3460</v>
      </c>
      <c r="E71" s="1" t="s">
        <v>30</v>
      </c>
      <c r="F71" s="5">
        <v>12620.0</v>
      </c>
      <c r="G71" s="1" t="s">
        <v>31</v>
      </c>
      <c r="H71" s="9">
        <v>2.17E8</v>
      </c>
      <c r="I71" s="1">
        <v>-6.3323677</v>
      </c>
      <c r="J71" s="3">
        <v>106.8136981</v>
      </c>
      <c r="K71" s="6" t="s">
        <v>3461</v>
      </c>
      <c r="L71" s="11">
        <f t="shared" si="1"/>
        <v>25000000</v>
      </c>
      <c r="M71" s="11">
        <f>2300000000/92</f>
        <v>25000000</v>
      </c>
      <c r="Z71" s="10" t="s">
        <v>2749</v>
      </c>
    </row>
    <row r="72">
      <c r="A72" s="3" t="s">
        <v>48</v>
      </c>
      <c r="B72" s="4" t="s">
        <v>3462</v>
      </c>
      <c r="C72" s="1" t="s">
        <v>3463</v>
      </c>
      <c r="D72" s="3" t="s">
        <v>3464</v>
      </c>
      <c r="E72" s="1" t="s">
        <v>30</v>
      </c>
      <c r="F72" s="5">
        <v>12620.0</v>
      </c>
      <c r="G72" s="1" t="s">
        <v>31</v>
      </c>
      <c r="H72" s="3" t="s">
        <v>32</v>
      </c>
      <c r="I72" s="1">
        <v>-6.3334036</v>
      </c>
      <c r="J72" s="3">
        <v>106.8299892</v>
      </c>
      <c r="K72" s="6" t="s">
        <v>3465</v>
      </c>
      <c r="L72" s="11">
        <f t="shared" si="1"/>
        <v>16903235.65</v>
      </c>
      <c r="M72" s="11">
        <f>1275000000/78</f>
        <v>16346153.85</v>
      </c>
      <c r="N72" s="11">
        <f>1100000000/63</f>
        <v>17460317.46</v>
      </c>
      <c r="Z72" s="10" t="s">
        <v>461</v>
      </c>
    </row>
    <row r="73">
      <c r="A73" s="3" t="s">
        <v>48</v>
      </c>
      <c r="B73" s="4" t="s">
        <v>3466</v>
      </c>
      <c r="C73" s="1" t="s">
        <v>3467</v>
      </c>
      <c r="D73" s="3" t="s">
        <v>3468</v>
      </c>
      <c r="E73" s="1" t="s">
        <v>30</v>
      </c>
      <c r="F73" s="5">
        <v>12630.0</v>
      </c>
      <c r="G73" s="1" t="s">
        <v>31</v>
      </c>
      <c r="H73" s="3" t="s">
        <v>32</v>
      </c>
      <c r="I73" s="1">
        <v>-6.3506316</v>
      </c>
      <c r="J73" s="3">
        <v>106.8063845</v>
      </c>
      <c r="K73" s="6" t="s">
        <v>3469</v>
      </c>
      <c r="L73" s="11">
        <f t="shared" si="1"/>
        <v>22077922.08</v>
      </c>
      <c r="M73" s="11">
        <f>1700000000/77</f>
        <v>22077922.08</v>
      </c>
      <c r="N73" s="11">
        <f>1750000000/75</f>
        <v>23333333.33</v>
      </c>
      <c r="O73" s="11">
        <f>1850000000/84</f>
        <v>22023809.52</v>
      </c>
      <c r="Z73" s="10" t="s">
        <v>175</v>
      </c>
    </row>
    <row r="74">
      <c r="A74" s="3" t="s">
        <v>48</v>
      </c>
      <c r="B74" s="4" t="s">
        <v>3470</v>
      </c>
      <c r="C74" s="1" t="s">
        <v>3471</v>
      </c>
      <c r="D74" s="3" t="s">
        <v>3472</v>
      </c>
      <c r="E74" s="1" t="s">
        <v>30</v>
      </c>
      <c r="F74" s="5">
        <v>12630.0</v>
      </c>
      <c r="G74" s="1" t="s">
        <v>31</v>
      </c>
      <c r="H74" s="3" t="s">
        <v>32</v>
      </c>
      <c r="I74" s="1">
        <v>-6.3431301</v>
      </c>
      <c r="J74" s="3">
        <v>106.8121987</v>
      </c>
      <c r="K74" s="6" t="s">
        <v>3473</v>
      </c>
      <c r="L74" s="11" t="str">
        <f t="shared" si="1"/>
        <v/>
      </c>
      <c r="Z74" s="2" t="s">
        <v>34</v>
      </c>
    </row>
    <row r="75">
      <c r="A75" s="3" t="s">
        <v>48</v>
      </c>
      <c r="B75" s="4" t="s">
        <v>3474</v>
      </c>
      <c r="C75" s="1" t="s">
        <v>3475</v>
      </c>
      <c r="D75" s="3" t="s">
        <v>3476</v>
      </c>
      <c r="E75" s="1" t="s">
        <v>30</v>
      </c>
      <c r="F75" s="5">
        <v>12630.0</v>
      </c>
      <c r="G75" s="1" t="s">
        <v>31</v>
      </c>
      <c r="H75" s="3" t="s">
        <v>32</v>
      </c>
      <c r="I75" s="1">
        <v>-6.3405539</v>
      </c>
      <c r="J75" s="3">
        <v>106.8013378</v>
      </c>
      <c r="K75" s="6" t="s">
        <v>3477</v>
      </c>
      <c r="L75" s="11">
        <f t="shared" si="1"/>
        <v>20081766.92</v>
      </c>
      <c r="M75" s="11">
        <f>4950000000/200</f>
        <v>24750000</v>
      </c>
      <c r="N75" s="11">
        <f>4100000000/266</f>
        <v>15413533.83</v>
      </c>
      <c r="Z75" s="10" t="s">
        <v>175</v>
      </c>
    </row>
    <row r="76">
      <c r="A76" s="3" t="s">
        <v>48</v>
      </c>
      <c r="B76" s="3" t="s">
        <v>3478</v>
      </c>
      <c r="C76" s="1" t="s">
        <v>3479</v>
      </c>
      <c r="D76" s="3" t="s">
        <v>3480</v>
      </c>
      <c r="E76" s="1" t="s">
        <v>30</v>
      </c>
      <c r="F76" s="5">
        <v>12630.0</v>
      </c>
      <c r="G76" s="1" t="s">
        <v>31</v>
      </c>
      <c r="H76" s="3" t="s">
        <v>32</v>
      </c>
      <c r="I76" s="1">
        <v>-6.3471681</v>
      </c>
      <c r="J76" s="3">
        <v>106.8001663</v>
      </c>
      <c r="K76" s="6" t="s">
        <v>3481</v>
      </c>
      <c r="L76" s="11">
        <f t="shared" si="1"/>
        <v>17900000</v>
      </c>
      <c r="M76" s="11">
        <f>716000000/40</f>
        <v>17900000</v>
      </c>
      <c r="Z76" s="10" t="s">
        <v>3184</v>
      </c>
    </row>
    <row r="77">
      <c r="A77" s="3" t="s">
        <v>48</v>
      </c>
      <c r="B77" s="4" t="s">
        <v>3482</v>
      </c>
      <c r="C77" s="1" t="s">
        <v>3483</v>
      </c>
      <c r="D77" s="3" t="s">
        <v>3484</v>
      </c>
      <c r="E77" s="1" t="s">
        <v>30</v>
      </c>
      <c r="F77" s="5">
        <v>12630.0</v>
      </c>
      <c r="G77" s="1" t="s">
        <v>31</v>
      </c>
      <c r="H77" s="3" t="s">
        <v>32</v>
      </c>
      <c r="I77" s="1">
        <v>-6.3394376</v>
      </c>
      <c r="J77" s="3">
        <v>106.8080227</v>
      </c>
      <c r="K77" s="6" t="s">
        <v>3485</v>
      </c>
      <c r="L77" s="11" t="str">
        <f t="shared" si="1"/>
        <v/>
      </c>
      <c r="Z77" s="2" t="s">
        <v>34</v>
      </c>
    </row>
    <row r="78">
      <c r="A78" s="3" t="s">
        <v>48</v>
      </c>
      <c r="B78" s="4" t="s">
        <v>3486</v>
      </c>
      <c r="C78" s="1" t="s">
        <v>3487</v>
      </c>
      <c r="D78" s="3" t="s">
        <v>3488</v>
      </c>
      <c r="E78" s="1" t="s">
        <v>30</v>
      </c>
      <c r="F78" s="5">
        <v>12630.0</v>
      </c>
      <c r="G78" s="1" t="s">
        <v>31</v>
      </c>
      <c r="H78" s="3" t="s">
        <v>32</v>
      </c>
      <c r="I78" s="1">
        <v>-6.3370871</v>
      </c>
      <c r="J78" s="3">
        <v>106.8026514</v>
      </c>
      <c r="K78" s="6" t="s">
        <v>3489</v>
      </c>
      <c r="L78" s="11" t="str">
        <f t="shared" si="1"/>
        <v/>
      </c>
      <c r="Z78" s="2" t="s">
        <v>34</v>
      </c>
    </row>
    <row r="79">
      <c r="A79" s="3" t="s">
        <v>48</v>
      </c>
      <c r="B79" s="4" t="s">
        <v>3490</v>
      </c>
      <c r="C79" s="1" t="s">
        <v>3491</v>
      </c>
      <c r="D79" s="3" t="s">
        <v>3492</v>
      </c>
      <c r="E79" s="1" t="s">
        <v>30</v>
      </c>
      <c r="F79" s="5">
        <v>12640.0</v>
      </c>
      <c r="G79" s="1" t="s">
        <v>31</v>
      </c>
      <c r="H79" s="9">
        <v>8.15E10</v>
      </c>
      <c r="I79" s="1">
        <v>-6.3498885</v>
      </c>
      <c r="J79" s="3">
        <v>106.8197536</v>
      </c>
      <c r="K79" s="6" t="s">
        <v>3493</v>
      </c>
      <c r="L79" s="11" t="str">
        <f t="shared" si="1"/>
        <v/>
      </c>
      <c r="Z79" s="2" t="s">
        <v>34</v>
      </c>
    </row>
    <row r="80">
      <c r="A80" s="3" t="s">
        <v>48</v>
      </c>
      <c r="B80" s="4" t="s">
        <v>3494</v>
      </c>
      <c r="C80" s="1" t="s">
        <v>3495</v>
      </c>
      <c r="D80" s="3" t="s">
        <v>3496</v>
      </c>
      <c r="E80" s="1" t="s">
        <v>30</v>
      </c>
      <c r="F80" s="5">
        <v>12630.0</v>
      </c>
      <c r="G80" s="1" t="s">
        <v>31</v>
      </c>
      <c r="H80" s="3" t="s">
        <v>32</v>
      </c>
      <c r="I80" s="1">
        <v>-6.3367259</v>
      </c>
      <c r="J80" s="3">
        <v>106.8132056</v>
      </c>
      <c r="K80" s="6" t="s">
        <v>3497</v>
      </c>
      <c r="L80" s="11">
        <f t="shared" si="1"/>
        <v>15161290.32</v>
      </c>
      <c r="M80" s="11">
        <f>2500000000/155</f>
        <v>16129032.26</v>
      </c>
      <c r="N80" s="11">
        <f>2200000000/155</f>
        <v>14193548.39</v>
      </c>
      <c r="Z80" s="10" t="s">
        <v>175</v>
      </c>
    </row>
    <row r="81">
      <c r="A81" s="3" t="s">
        <v>48</v>
      </c>
      <c r="B81" s="4" t="s">
        <v>3498</v>
      </c>
      <c r="C81" s="1" t="s">
        <v>3499</v>
      </c>
      <c r="D81" s="3" t="s">
        <v>3500</v>
      </c>
      <c r="E81" s="1" t="s">
        <v>30</v>
      </c>
      <c r="F81" s="5">
        <v>12640.0</v>
      </c>
      <c r="G81" s="1" t="s">
        <v>31</v>
      </c>
      <c r="H81" s="3" t="s">
        <v>32</v>
      </c>
      <c r="I81" s="1">
        <v>-6.3463909</v>
      </c>
      <c r="J81" s="3">
        <v>106.8167986</v>
      </c>
      <c r="K81" s="6" t="s">
        <v>3501</v>
      </c>
      <c r="L81" s="11" t="str">
        <f t="shared" si="1"/>
        <v/>
      </c>
      <c r="Z81" s="2" t="s">
        <v>34</v>
      </c>
    </row>
    <row r="82">
      <c r="A82" s="3" t="s">
        <v>48</v>
      </c>
      <c r="B82" s="4" t="s">
        <v>3502</v>
      </c>
      <c r="C82" s="1" t="s">
        <v>3503</v>
      </c>
      <c r="D82" s="3" t="s">
        <v>3504</v>
      </c>
      <c r="E82" s="1" t="s">
        <v>30</v>
      </c>
      <c r="F82" s="5">
        <v>12640.0</v>
      </c>
      <c r="G82" s="1" t="s">
        <v>31</v>
      </c>
      <c r="H82" s="9">
        <v>8.18E9</v>
      </c>
      <c r="I82" s="1">
        <v>-6.3593366</v>
      </c>
      <c r="J82" s="3">
        <v>106.8095008</v>
      </c>
      <c r="K82" s="6" t="s">
        <v>3505</v>
      </c>
      <c r="L82" s="11">
        <f t="shared" si="1"/>
        <v>12000000</v>
      </c>
      <c r="M82" s="11">
        <f>1200000000/100</f>
        <v>12000000</v>
      </c>
      <c r="Z82" s="10" t="s">
        <v>461</v>
      </c>
    </row>
    <row r="83">
      <c r="A83" s="3" t="s">
        <v>48</v>
      </c>
      <c r="B83" s="4" t="s">
        <v>3506</v>
      </c>
      <c r="C83" s="1" t="s">
        <v>3507</v>
      </c>
      <c r="D83" s="3" t="s">
        <v>3508</v>
      </c>
      <c r="E83" s="1" t="s">
        <v>30</v>
      </c>
      <c r="F83" s="5">
        <v>12220.0</v>
      </c>
      <c r="G83" s="1" t="s">
        <v>31</v>
      </c>
      <c r="H83" s="3" t="s">
        <v>32</v>
      </c>
      <c r="I83" s="1">
        <v>-6.238916</v>
      </c>
      <c r="J83" s="3">
        <v>106.784137</v>
      </c>
      <c r="K83" s="6" t="s">
        <v>3509</v>
      </c>
      <c r="L83" s="11" t="str">
        <f t="shared" si="1"/>
        <v/>
      </c>
      <c r="Z83" s="2" t="s">
        <v>34</v>
      </c>
    </row>
    <row r="84">
      <c r="A84" s="3" t="s">
        <v>48</v>
      </c>
      <c r="B84" s="4" t="s">
        <v>3510</v>
      </c>
      <c r="C84" s="1" t="s">
        <v>3511</v>
      </c>
      <c r="D84" s="3" t="s">
        <v>3512</v>
      </c>
      <c r="E84" s="1" t="s">
        <v>30</v>
      </c>
      <c r="F84" s="5">
        <v>12220.0</v>
      </c>
      <c r="G84" s="1" t="s">
        <v>31</v>
      </c>
      <c r="H84" s="3" t="s">
        <v>32</v>
      </c>
      <c r="I84" s="1">
        <v>-6.2327984</v>
      </c>
      <c r="J84" s="3">
        <v>106.7723101</v>
      </c>
      <c r="K84" s="6" t="s">
        <v>3513</v>
      </c>
      <c r="L84" s="11" t="str">
        <f t="shared" si="1"/>
        <v/>
      </c>
      <c r="Z84" s="2" t="s">
        <v>34</v>
      </c>
    </row>
    <row r="85">
      <c r="A85" s="3" t="s">
        <v>48</v>
      </c>
      <c r="B85" s="4" t="s">
        <v>3514</v>
      </c>
      <c r="C85" s="1" t="s">
        <v>3515</v>
      </c>
      <c r="D85" s="3" t="s">
        <v>3516</v>
      </c>
      <c r="E85" s="1" t="s">
        <v>30</v>
      </c>
      <c r="F85" s="5">
        <v>12110.0</v>
      </c>
      <c r="G85" s="1" t="s">
        <v>31</v>
      </c>
      <c r="H85" s="3" t="s">
        <v>32</v>
      </c>
      <c r="I85" s="1">
        <v>-6.2385228</v>
      </c>
      <c r="J85" s="3">
        <v>106.8051641</v>
      </c>
      <c r="K85" s="6" t="s">
        <v>3517</v>
      </c>
      <c r="L85" s="11" t="str">
        <f t="shared" si="1"/>
        <v/>
      </c>
      <c r="Z85" s="2" t="s">
        <v>34</v>
      </c>
    </row>
    <row r="86">
      <c r="A86" s="3" t="s">
        <v>48</v>
      </c>
      <c r="B86" s="4" t="s">
        <v>3518</v>
      </c>
      <c r="C86" s="1" t="s">
        <v>3519</v>
      </c>
      <c r="D86" s="3" t="s">
        <v>3520</v>
      </c>
      <c r="E86" s="1" t="s">
        <v>30</v>
      </c>
      <c r="F86" s="5">
        <v>12140.0</v>
      </c>
      <c r="G86" s="1" t="s">
        <v>31</v>
      </c>
      <c r="H86" s="3" t="s">
        <v>32</v>
      </c>
      <c r="I86" s="1">
        <v>-6.2604308</v>
      </c>
      <c r="J86" s="3">
        <v>106.7944982</v>
      </c>
      <c r="K86" s="6" t="s">
        <v>3521</v>
      </c>
      <c r="L86" s="11" t="str">
        <f t="shared" si="1"/>
        <v/>
      </c>
      <c r="Z86" s="2" t="s">
        <v>34</v>
      </c>
    </row>
    <row r="87">
      <c r="A87" s="3" t="s">
        <v>48</v>
      </c>
      <c r="B87" s="4" t="s">
        <v>3522</v>
      </c>
      <c r="C87" s="1" t="s">
        <v>3523</v>
      </c>
      <c r="D87" s="3" t="s">
        <v>3524</v>
      </c>
      <c r="E87" s="1" t="s">
        <v>30</v>
      </c>
      <c r="F87" s="5">
        <v>12150.0</v>
      </c>
      <c r="G87" s="1" t="s">
        <v>31</v>
      </c>
      <c r="H87" s="3" t="s">
        <v>32</v>
      </c>
      <c r="I87" s="1">
        <v>-6.2570787</v>
      </c>
      <c r="J87" s="3">
        <v>106.8065567</v>
      </c>
      <c r="K87" s="6" t="s">
        <v>3525</v>
      </c>
      <c r="L87" s="11" t="str">
        <f t="shared" si="1"/>
        <v/>
      </c>
      <c r="Z87" s="2" t="s">
        <v>34</v>
      </c>
    </row>
    <row r="88">
      <c r="A88" s="3" t="s">
        <v>48</v>
      </c>
      <c r="B88" s="4" t="s">
        <v>3526</v>
      </c>
      <c r="C88" s="1" t="s">
        <v>3527</v>
      </c>
      <c r="D88" s="3" t="s">
        <v>3528</v>
      </c>
      <c r="E88" s="1" t="s">
        <v>30</v>
      </c>
      <c r="F88" s="5">
        <v>12220.0</v>
      </c>
      <c r="G88" s="1" t="s">
        <v>31</v>
      </c>
      <c r="H88" s="3" t="s">
        <v>32</v>
      </c>
      <c r="I88" s="1">
        <v>-6.2315155</v>
      </c>
      <c r="J88" s="3">
        <v>106.7699182</v>
      </c>
      <c r="K88" s="6" t="s">
        <v>3529</v>
      </c>
      <c r="L88" s="11" t="str">
        <f t="shared" si="1"/>
        <v/>
      </c>
      <c r="Z88" s="2" t="s">
        <v>34</v>
      </c>
    </row>
    <row r="89">
      <c r="A89" s="3" t="s">
        <v>48</v>
      </c>
      <c r="B89" s="4" t="s">
        <v>3530</v>
      </c>
      <c r="C89" s="1" t="s">
        <v>3531</v>
      </c>
      <c r="D89" s="3" t="s">
        <v>3532</v>
      </c>
      <c r="E89" s="1" t="s">
        <v>30</v>
      </c>
      <c r="F89" s="5">
        <v>12210.0</v>
      </c>
      <c r="G89" s="1" t="s">
        <v>31</v>
      </c>
      <c r="H89" s="3" t="s">
        <v>32</v>
      </c>
      <c r="I89" s="1">
        <v>-6.2218122</v>
      </c>
      <c r="J89" s="3">
        <v>106.7797128</v>
      </c>
      <c r="K89" s="6" t="s">
        <v>3533</v>
      </c>
      <c r="L89" s="11">
        <f t="shared" si="1"/>
        <v>9773148.148</v>
      </c>
      <c r="M89" s="11">
        <f>8800000000/540</f>
        <v>16296296.3</v>
      </c>
      <c r="N89" s="11">
        <f>3900000000/1200</f>
        <v>3250000</v>
      </c>
      <c r="Z89" s="10" t="s">
        <v>2728</v>
      </c>
    </row>
    <row r="90">
      <c r="A90" s="3" t="s">
        <v>48</v>
      </c>
      <c r="B90" s="4" t="s">
        <v>3534</v>
      </c>
      <c r="C90" s="1" t="s">
        <v>3535</v>
      </c>
      <c r="D90" s="3" t="s">
        <v>3536</v>
      </c>
      <c r="E90" s="1" t="s">
        <v>30</v>
      </c>
      <c r="F90" s="5">
        <v>12210.0</v>
      </c>
      <c r="G90" s="1" t="s">
        <v>31</v>
      </c>
      <c r="H90" s="3" t="s">
        <v>32</v>
      </c>
      <c r="I90" s="1">
        <v>-6.2204515</v>
      </c>
      <c r="J90" s="3">
        <v>106.790738</v>
      </c>
      <c r="K90" s="6" t="s">
        <v>3537</v>
      </c>
      <c r="L90" s="11" t="str">
        <f t="shared" si="1"/>
        <v/>
      </c>
      <c r="Z90" s="2" t="s">
        <v>34</v>
      </c>
    </row>
    <row r="91">
      <c r="A91" s="3" t="s">
        <v>48</v>
      </c>
      <c r="B91" s="4" t="s">
        <v>3538</v>
      </c>
      <c r="C91" s="1" t="s">
        <v>3539</v>
      </c>
      <c r="D91" s="3" t="s">
        <v>3540</v>
      </c>
      <c r="E91" s="1" t="s">
        <v>30</v>
      </c>
      <c r="F91" s="5">
        <v>12210.0</v>
      </c>
      <c r="G91" s="1" t="s">
        <v>31</v>
      </c>
      <c r="H91" s="3" t="s">
        <v>32</v>
      </c>
      <c r="I91" s="1">
        <v>-6.2203077</v>
      </c>
      <c r="J91" s="3">
        <v>106.7924905</v>
      </c>
      <c r="K91" s="6" t="s">
        <v>3541</v>
      </c>
      <c r="L91" s="11" t="str">
        <f t="shared" si="1"/>
        <v/>
      </c>
      <c r="Z91" s="2" t="s">
        <v>34</v>
      </c>
    </row>
    <row r="92">
      <c r="A92" s="3" t="s">
        <v>48</v>
      </c>
      <c r="B92" s="4" t="s">
        <v>3542</v>
      </c>
      <c r="C92" s="1" t="s">
        <v>3543</v>
      </c>
      <c r="D92" s="3" t="s">
        <v>3544</v>
      </c>
      <c r="E92" s="1" t="s">
        <v>30</v>
      </c>
      <c r="F92" s="5">
        <v>12220.0</v>
      </c>
      <c r="G92" s="1" t="s">
        <v>31</v>
      </c>
      <c r="H92" s="3" t="s">
        <v>32</v>
      </c>
      <c r="I92" s="1">
        <v>-6.2289348</v>
      </c>
      <c r="J92" s="3">
        <v>106.7714746</v>
      </c>
      <c r="K92" s="6" t="s">
        <v>3545</v>
      </c>
      <c r="L92" s="11">
        <f t="shared" si="1"/>
        <v>27661813.22</v>
      </c>
      <c r="M92" s="11">
        <f>7900000000/298</f>
        <v>26510067.11</v>
      </c>
      <c r="N92" s="11">
        <f>17000000000/590</f>
        <v>28813559.32</v>
      </c>
      <c r="O92" s="11">
        <f>6800000000/356</f>
        <v>19101123.6</v>
      </c>
      <c r="P92" s="11">
        <f>11500000000/300</f>
        <v>38333333.33</v>
      </c>
      <c r="Z92" s="10" t="s">
        <v>2774</v>
      </c>
    </row>
    <row r="93">
      <c r="A93" s="3" t="s">
        <v>48</v>
      </c>
      <c r="B93" s="4" t="s">
        <v>3546</v>
      </c>
      <c r="C93" s="1" t="s">
        <v>3547</v>
      </c>
      <c r="D93" s="3" t="s">
        <v>3548</v>
      </c>
      <c r="E93" s="1" t="s">
        <v>30</v>
      </c>
      <c r="F93" s="5">
        <v>12220.0</v>
      </c>
      <c r="G93" s="1" t="s">
        <v>31</v>
      </c>
      <c r="H93" s="3" t="s">
        <v>32</v>
      </c>
      <c r="I93" s="1">
        <v>-6.2287738</v>
      </c>
      <c r="J93" s="3">
        <v>106.7745979</v>
      </c>
      <c r="K93" s="6" t="s">
        <v>3549</v>
      </c>
      <c r="L93" s="11" t="str">
        <f t="shared" si="1"/>
        <v/>
      </c>
      <c r="Z93" s="2" t="s">
        <v>34</v>
      </c>
    </row>
    <row r="94">
      <c r="A94" s="3" t="s">
        <v>48</v>
      </c>
      <c r="B94" s="4" t="s">
        <v>3550</v>
      </c>
      <c r="C94" s="1" t="s">
        <v>3551</v>
      </c>
      <c r="D94" s="3" t="s">
        <v>3267</v>
      </c>
      <c r="E94" s="1" t="s">
        <v>30</v>
      </c>
      <c r="F94" s="5">
        <v>12220.0</v>
      </c>
      <c r="G94" s="1" t="s">
        <v>31</v>
      </c>
      <c r="H94" s="3" t="s">
        <v>32</v>
      </c>
      <c r="I94" s="1">
        <v>-6.228006</v>
      </c>
      <c r="J94" s="3">
        <v>106.768843</v>
      </c>
      <c r="K94" s="6" t="s">
        <v>3552</v>
      </c>
      <c r="L94" s="11">
        <f t="shared" si="1"/>
        <v>27661813.22</v>
      </c>
      <c r="M94" s="11">
        <f>7900000000/298</f>
        <v>26510067.11</v>
      </c>
      <c r="N94" s="11">
        <f>17000000000/590</f>
        <v>28813559.32</v>
      </c>
      <c r="O94" s="11">
        <f>6800000000/356</f>
        <v>19101123.6</v>
      </c>
      <c r="P94" s="11">
        <f>11500000000/300</f>
        <v>38333333.33</v>
      </c>
      <c r="Z94" s="10" t="s">
        <v>2774</v>
      </c>
    </row>
    <row r="95">
      <c r="A95" s="3" t="s">
        <v>48</v>
      </c>
      <c r="B95" s="4" t="s">
        <v>3553</v>
      </c>
      <c r="C95" s="1" t="s">
        <v>3554</v>
      </c>
      <c r="D95" s="3" t="s">
        <v>3555</v>
      </c>
      <c r="E95" s="1" t="s">
        <v>30</v>
      </c>
      <c r="F95" s="5">
        <v>12220.0</v>
      </c>
      <c r="G95" s="1" t="s">
        <v>31</v>
      </c>
      <c r="H95" s="3" t="s">
        <v>32</v>
      </c>
      <c r="I95" s="1">
        <v>-6.2311086</v>
      </c>
      <c r="J95" s="3">
        <v>106.7865974</v>
      </c>
      <c r="K95" s="6" t="s">
        <v>3556</v>
      </c>
      <c r="L95" s="11" t="str">
        <f t="shared" si="1"/>
        <v/>
      </c>
      <c r="Z95" s="2" t="s">
        <v>34</v>
      </c>
    </row>
    <row r="96">
      <c r="A96" s="3" t="s">
        <v>48</v>
      </c>
      <c r="B96" s="4" t="s">
        <v>3557</v>
      </c>
      <c r="C96" s="1" t="s">
        <v>3558</v>
      </c>
      <c r="D96" s="3" t="s">
        <v>3559</v>
      </c>
      <c r="E96" s="1" t="s">
        <v>30</v>
      </c>
      <c r="F96" s="5">
        <v>12220.0</v>
      </c>
      <c r="G96" s="1" t="s">
        <v>31</v>
      </c>
      <c r="H96" s="3" t="s">
        <v>32</v>
      </c>
      <c r="I96" s="1">
        <v>-6.2320168</v>
      </c>
      <c r="J96" s="3">
        <v>106.776516</v>
      </c>
      <c r="K96" s="6" t="s">
        <v>3560</v>
      </c>
      <c r="L96" s="11">
        <f t="shared" si="1"/>
        <v>23913043.48</v>
      </c>
      <c r="M96" s="11">
        <f>5500000000/230</f>
        <v>23913043.48</v>
      </c>
      <c r="Z96" s="10" t="s">
        <v>2728</v>
      </c>
    </row>
    <row r="97">
      <c r="A97" s="3" t="s">
        <v>48</v>
      </c>
      <c r="B97" s="4" t="s">
        <v>3561</v>
      </c>
      <c r="C97" s="1" t="s">
        <v>3562</v>
      </c>
      <c r="D97" s="3" t="s">
        <v>3563</v>
      </c>
      <c r="E97" s="1" t="s">
        <v>30</v>
      </c>
      <c r="F97" s="5">
        <v>12220.0</v>
      </c>
      <c r="G97" s="1" t="s">
        <v>31</v>
      </c>
      <c r="H97" s="3" t="s">
        <v>32</v>
      </c>
      <c r="I97" s="1">
        <v>-6.2326764</v>
      </c>
      <c r="J97" s="3">
        <v>106.7684637</v>
      </c>
      <c r="K97" s="6" t="s">
        <v>3564</v>
      </c>
      <c r="L97" s="11">
        <f t="shared" si="1"/>
        <v>22456940.41</v>
      </c>
      <c r="M97" s="11">
        <f>4500000000/140</f>
        <v>32142857.14</v>
      </c>
      <c r="N97" s="11">
        <f>3500000000/169</f>
        <v>20710059.17</v>
      </c>
      <c r="O97" s="11">
        <f>3800000000/157</f>
        <v>24203821.66</v>
      </c>
      <c r="P97" s="11">
        <f>2550000000/169</f>
        <v>15088757.4</v>
      </c>
      <c r="Z97" s="10" t="s">
        <v>2749</v>
      </c>
    </row>
    <row r="98">
      <c r="A98" s="3" t="s">
        <v>48</v>
      </c>
      <c r="B98" s="4" t="s">
        <v>3565</v>
      </c>
      <c r="C98" s="1" t="s">
        <v>3566</v>
      </c>
      <c r="D98" s="3" t="s">
        <v>3567</v>
      </c>
      <c r="E98" s="1" t="s">
        <v>30</v>
      </c>
      <c r="F98" s="5">
        <v>12240.0</v>
      </c>
      <c r="G98" s="1" t="s">
        <v>31</v>
      </c>
      <c r="H98" s="9">
        <v>8.58E10</v>
      </c>
      <c r="I98" s="1">
        <v>-6.2579615</v>
      </c>
      <c r="J98" s="3">
        <v>106.7791264</v>
      </c>
      <c r="K98" s="6" t="s">
        <v>3568</v>
      </c>
      <c r="L98" s="11">
        <f t="shared" si="1"/>
        <v>55384615.38</v>
      </c>
      <c r="M98" s="11">
        <f>6900000000/130</f>
        <v>53076923.08</v>
      </c>
      <c r="N98" s="11">
        <f>7500000000/130</f>
        <v>57692307.69</v>
      </c>
      <c r="Z98" s="10" t="s">
        <v>175</v>
      </c>
    </row>
    <row r="99">
      <c r="A99" s="3" t="s">
        <v>48</v>
      </c>
      <c r="B99" s="4" t="s">
        <v>3569</v>
      </c>
      <c r="C99" s="1" t="s">
        <v>3570</v>
      </c>
      <c r="D99" s="3" t="s">
        <v>3571</v>
      </c>
      <c r="E99" s="1" t="s">
        <v>30</v>
      </c>
      <c r="F99" s="5">
        <v>12240.0</v>
      </c>
      <c r="G99" s="1" t="s">
        <v>31</v>
      </c>
      <c r="H99" s="3" t="s">
        <v>32</v>
      </c>
      <c r="I99" s="1">
        <v>-6.2561041</v>
      </c>
      <c r="J99" s="3">
        <v>106.7746832</v>
      </c>
      <c r="K99" s="6" t="s">
        <v>3572</v>
      </c>
      <c r="L99" s="11" t="str">
        <f t="shared" si="1"/>
        <v/>
      </c>
      <c r="Z99" s="2" t="s">
        <v>34</v>
      </c>
    </row>
    <row r="100">
      <c r="A100" s="3" t="s">
        <v>48</v>
      </c>
      <c r="B100" s="4" t="s">
        <v>3573</v>
      </c>
      <c r="C100" s="1" t="s">
        <v>3574</v>
      </c>
      <c r="D100" s="3" t="s">
        <v>3575</v>
      </c>
      <c r="E100" s="1" t="s">
        <v>30</v>
      </c>
      <c r="F100" s="5">
        <v>12310.0</v>
      </c>
      <c r="G100" s="1" t="s">
        <v>31</v>
      </c>
      <c r="H100" s="3" t="s">
        <v>32</v>
      </c>
      <c r="I100" s="1">
        <v>-6.2692124</v>
      </c>
      <c r="J100" s="3">
        <v>106.7880196</v>
      </c>
      <c r="K100" s="6" t="s">
        <v>3576</v>
      </c>
      <c r="L100" s="11">
        <f t="shared" si="1"/>
        <v>91029119.31</v>
      </c>
      <c r="M100" s="11">
        <f>100000000000/1400</f>
        <v>71428571.43</v>
      </c>
      <c r="N100" s="11">
        <f>1200000000000/10847</f>
        <v>110629667.2</v>
      </c>
      <c r="Z100" s="10" t="s">
        <v>175</v>
      </c>
    </row>
    <row r="101">
      <c r="A101" s="3" t="s">
        <v>48</v>
      </c>
      <c r="B101" s="4" t="s">
        <v>3577</v>
      </c>
      <c r="C101" s="1" t="s">
        <v>3578</v>
      </c>
      <c r="D101" s="3" t="s">
        <v>3579</v>
      </c>
      <c r="E101" s="1" t="s">
        <v>30</v>
      </c>
      <c r="F101" s="5">
        <v>12310.0</v>
      </c>
      <c r="G101" s="1" t="s">
        <v>31</v>
      </c>
      <c r="H101" s="3" t="s">
        <v>32</v>
      </c>
      <c r="I101" s="1">
        <v>-6.286404</v>
      </c>
      <c r="J101" s="3">
        <v>106.7688533</v>
      </c>
      <c r="K101" s="6" t="s">
        <v>3580</v>
      </c>
      <c r="L101" s="11" t="str">
        <f t="shared" si="1"/>
        <v/>
      </c>
      <c r="Z101" s="2" t="s">
        <v>34</v>
      </c>
    </row>
    <row r="102">
      <c r="A102" s="3" t="s">
        <v>48</v>
      </c>
      <c r="B102" s="4" t="s">
        <v>3581</v>
      </c>
      <c r="C102" s="1" t="s">
        <v>3582</v>
      </c>
      <c r="D102" s="3" t="s">
        <v>3583</v>
      </c>
      <c r="E102" s="1" t="s">
        <v>30</v>
      </c>
      <c r="F102" s="5">
        <v>12790.0</v>
      </c>
      <c r="G102" s="1" t="s">
        <v>31</v>
      </c>
      <c r="H102" s="3" t="s">
        <v>32</v>
      </c>
      <c r="I102" s="1">
        <v>-6.2412296</v>
      </c>
      <c r="J102" s="3">
        <v>106.8285624</v>
      </c>
      <c r="K102" s="6" t="s">
        <v>3584</v>
      </c>
      <c r="L102" s="11" t="str">
        <f t="shared" si="1"/>
        <v/>
      </c>
      <c r="Z102" s="2" t="s">
        <v>34</v>
      </c>
    </row>
    <row r="103">
      <c r="A103" s="3" t="s">
        <v>48</v>
      </c>
      <c r="B103" s="4" t="s">
        <v>3585</v>
      </c>
      <c r="C103" s="1" t="s">
        <v>3586</v>
      </c>
      <c r="D103" s="3" t="s">
        <v>3587</v>
      </c>
      <c r="E103" s="1" t="s">
        <v>30</v>
      </c>
      <c r="F103" s="5">
        <v>12720.0</v>
      </c>
      <c r="G103" s="1" t="s">
        <v>31</v>
      </c>
      <c r="H103" s="3" t="s">
        <v>32</v>
      </c>
      <c r="I103" s="1">
        <v>-6.2460795</v>
      </c>
      <c r="J103" s="3">
        <v>106.8176955</v>
      </c>
      <c r="K103" s="6" t="s">
        <v>3588</v>
      </c>
      <c r="L103" s="11" t="str">
        <f t="shared" si="1"/>
        <v/>
      </c>
      <c r="Z103" s="2" t="s">
        <v>34</v>
      </c>
    </row>
    <row r="104">
      <c r="A104" s="3" t="s">
        <v>48</v>
      </c>
      <c r="B104" s="4" t="s">
        <v>3589</v>
      </c>
      <c r="C104" s="1" t="s">
        <v>3590</v>
      </c>
      <c r="D104" s="3" t="s">
        <v>3591</v>
      </c>
      <c r="E104" s="1" t="s">
        <v>30</v>
      </c>
      <c r="F104" s="5">
        <v>12720.0</v>
      </c>
      <c r="G104" s="1" t="s">
        <v>31</v>
      </c>
      <c r="H104" s="3" t="s">
        <v>32</v>
      </c>
      <c r="I104" s="1">
        <v>-6.2524962</v>
      </c>
      <c r="J104" s="3">
        <v>106.8115673</v>
      </c>
      <c r="K104" s="6" t="s">
        <v>3592</v>
      </c>
      <c r="L104" s="11" t="str">
        <f t="shared" si="1"/>
        <v/>
      </c>
      <c r="Z104" s="2" t="s">
        <v>34</v>
      </c>
    </row>
    <row r="105">
      <c r="A105" s="3" t="s">
        <v>48</v>
      </c>
      <c r="B105" s="4" t="s">
        <v>3593</v>
      </c>
      <c r="C105" s="1" t="s">
        <v>3594</v>
      </c>
      <c r="D105" s="3" t="s">
        <v>3595</v>
      </c>
      <c r="E105" s="1" t="s">
        <v>30</v>
      </c>
      <c r="F105" s="5">
        <v>12730.0</v>
      </c>
      <c r="G105" s="1" t="s">
        <v>31</v>
      </c>
      <c r="H105" s="3" t="s">
        <v>32</v>
      </c>
      <c r="I105" s="1">
        <v>-6.2680235</v>
      </c>
      <c r="J105" s="3">
        <v>106.8135076</v>
      </c>
      <c r="K105" s="6" t="s">
        <v>3596</v>
      </c>
      <c r="L105" s="11">
        <f t="shared" si="1"/>
        <v>32738095.24</v>
      </c>
      <c r="M105" s="11">
        <f>16500000000/504</f>
        <v>32738095.24</v>
      </c>
      <c r="N105" s="11">
        <f>25000000000/980</f>
        <v>25510204.08</v>
      </c>
      <c r="O105" s="11">
        <f>16000000000/438</f>
        <v>36529680.37</v>
      </c>
      <c r="Z105" s="10" t="s">
        <v>175</v>
      </c>
    </row>
    <row r="106">
      <c r="A106" s="3" t="s">
        <v>48</v>
      </c>
      <c r="B106" s="4" t="s">
        <v>3597</v>
      </c>
      <c r="C106" s="1" t="s">
        <v>3598</v>
      </c>
      <c r="D106" s="3" t="s">
        <v>3599</v>
      </c>
      <c r="E106" s="1" t="s">
        <v>30</v>
      </c>
      <c r="F106" s="5">
        <v>12730.0</v>
      </c>
      <c r="G106" s="1" t="s">
        <v>31</v>
      </c>
      <c r="H106" s="3" t="s">
        <v>32</v>
      </c>
      <c r="I106" s="1">
        <v>-6.2631056</v>
      </c>
      <c r="J106" s="3">
        <v>106.8206829</v>
      </c>
      <c r="K106" s="6" t="s">
        <v>3600</v>
      </c>
      <c r="L106" s="11" t="str">
        <f t="shared" si="1"/>
        <v/>
      </c>
      <c r="Z106" s="2" t="s">
        <v>34</v>
      </c>
    </row>
    <row r="107">
      <c r="A107" s="3" t="s">
        <v>48</v>
      </c>
      <c r="B107" s="4" t="s">
        <v>3601</v>
      </c>
      <c r="C107" s="1" t="s">
        <v>3602</v>
      </c>
      <c r="D107" s="3" t="s">
        <v>3603</v>
      </c>
      <c r="E107" s="1" t="s">
        <v>30</v>
      </c>
      <c r="F107" s="5">
        <v>12790.0</v>
      </c>
      <c r="G107" s="1" t="s">
        <v>31</v>
      </c>
      <c r="H107" s="3" t="s">
        <v>32</v>
      </c>
      <c r="I107" s="1">
        <v>-6.2528908</v>
      </c>
      <c r="J107" s="3">
        <v>106.8244379</v>
      </c>
      <c r="K107" s="6" t="s">
        <v>3604</v>
      </c>
      <c r="L107" s="11">
        <f t="shared" si="1"/>
        <v>26746724.89</v>
      </c>
      <c r="M107" s="11">
        <f>12500000000/458</f>
        <v>27292576.42</v>
      </c>
      <c r="N107" s="11">
        <f>10500000000/378</f>
        <v>27777777.78</v>
      </c>
      <c r="O107" s="11">
        <f>9500000000/415</f>
        <v>22891566.27</v>
      </c>
      <c r="P107" s="11">
        <f>12000000000/458</f>
        <v>26200873.36</v>
      </c>
      <c r="Z107" s="10" t="s">
        <v>175</v>
      </c>
    </row>
    <row r="108">
      <c r="A108" s="3" t="s">
        <v>48</v>
      </c>
      <c r="B108" s="4" t="s">
        <v>3605</v>
      </c>
      <c r="C108" s="1" t="s">
        <v>3606</v>
      </c>
      <c r="D108" s="3" t="s">
        <v>3607</v>
      </c>
      <c r="E108" s="1" t="s">
        <v>30</v>
      </c>
      <c r="F108" s="5">
        <v>12790.0</v>
      </c>
      <c r="G108" s="1" t="s">
        <v>31</v>
      </c>
      <c r="H108" s="3" t="s">
        <v>32</v>
      </c>
      <c r="I108" s="1">
        <v>-6.2498581</v>
      </c>
      <c r="J108" s="3">
        <v>106.8321026</v>
      </c>
      <c r="K108" s="6" t="s">
        <v>3608</v>
      </c>
      <c r="L108" s="11">
        <f t="shared" si="1"/>
        <v>30555555.56</v>
      </c>
      <c r="M108" s="11">
        <f>5500000000/180</f>
        <v>30555555.56</v>
      </c>
      <c r="Z108" s="10" t="s">
        <v>2728</v>
      </c>
    </row>
    <row r="109">
      <c r="A109" s="3" t="s">
        <v>48</v>
      </c>
      <c r="B109" s="4" t="s">
        <v>3609</v>
      </c>
      <c r="C109" s="1" t="s">
        <v>3610</v>
      </c>
      <c r="D109" s="3" t="s">
        <v>3611</v>
      </c>
      <c r="E109" s="1" t="s">
        <v>30</v>
      </c>
      <c r="F109" s="5">
        <v>12790.0</v>
      </c>
      <c r="G109" s="1" t="s">
        <v>31</v>
      </c>
      <c r="H109" s="3" t="s">
        <v>32</v>
      </c>
      <c r="I109" s="1">
        <v>-6.2423857</v>
      </c>
      <c r="J109" s="3">
        <v>106.8329713</v>
      </c>
      <c r="K109" s="6" t="s">
        <v>3612</v>
      </c>
      <c r="L109" s="11">
        <f t="shared" si="1"/>
        <v>28787878.79</v>
      </c>
      <c r="M109" s="11">
        <f>3540000000/132</f>
        <v>26818181.82</v>
      </c>
      <c r="N109" s="11">
        <f>3800000000/132</f>
        <v>28787878.79</v>
      </c>
      <c r="O109" s="11">
        <f>9200000000/277</f>
        <v>33212996.39</v>
      </c>
      <c r="P109" s="11">
        <f>3540000000/132</f>
        <v>26818181.82</v>
      </c>
      <c r="Q109" s="11">
        <f>11000000000/214</f>
        <v>51401869.16</v>
      </c>
      <c r="Z109" s="10" t="s">
        <v>2774</v>
      </c>
    </row>
    <row r="110">
      <c r="A110" s="3" t="s">
        <v>48</v>
      </c>
      <c r="B110" s="4" t="s">
        <v>3613</v>
      </c>
      <c r="C110" s="1" t="s">
        <v>3614</v>
      </c>
      <c r="D110" s="3" t="s">
        <v>3615</v>
      </c>
      <c r="E110" s="1" t="s">
        <v>30</v>
      </c>
      <c r="F110" s="5">
        <v>12510.0</v>
      </c>
      <c r="G110" s="1" t="s">
        <v>31</v>
      </c>
      <c r="H110" s="3" t="s">
        <v>32</v>
      </c>
      <c r="I110" s="1">
        <v>-6.2675473</v>
      </c>
      <c r="J110" s="3">
        <v>106.8348518</v>
      </c>
      <c r="K110" s="6" t="s">
        <v>3616</v>
      </c>
      <c r="L110" s="11">
        <f t="shared" si="1"/>
        <v>13017751.48</v>
      </c>
      <c r="M110" s="11">
        <f>1250000000/645</f>
        <v>1937984.496</v>
      </c>
      <c r="N110" s="11">
        <f>2200000000/169</f>
        <v>13017751.48</v>
      </c>
      <c r="O110" s="11">
        <f>6000000000/361</f>
        <v>16620498.61</v>
      </c>
      <c r="Z110" s="10" t="s">
        <v>2749</v>
      </c>
    </row>
    <row r="111">
      <c r="A111" s="3" t="s">
        <v>48</v>
      </c>
      <c r="B111" s="4" t="s">
        <v>3617</v>
      </c>
      <c r="C111" s="1" t="s">
        <v>3618</v>
      </c>
      <c r="D111" s="3" t="s">
        <v>3619</v>
      </c>
      <c r="E111" s="1" t="s">
        <v>30</v>
      </c>
      <c r="F111" s="5">
        <v>12740.0</v>
      </c>
      <c r="G111" s="1" t="s">
        <v>31</v>
      </c>
      <c r="H111" s="3" t="s">
        <v>32</v>
      </c>
      <c r="I111" s="1">
        <v>-6.2632998</v>
      </c>
      <c r="J111" s="3">
        <v>106.8336451</v>
      </c>
      <c r="K111" s="6" t="s">
        <v>3620</v>
      </c>
      <c r="L111" s="11">
        <f t="shared" si="1"/>
        <v>23951502.21</v>
      </c>
      <c r="M111" s="11">
        <f>12000000000/632</f>
        <v>18987341.77</v>
      </c>
      <c r="N111" s="11">
        <f>12000000000/415</f>
        <v>28915662.65</v>
      </c>
      <c r="Z111" s="10" t="s">
        <v>2728</v>
      </c>
    </row>
    <row r="112">
      <c r="A112" s="3" t="s">
        <v>48</v>
      </c>
      <c r="B112" s="4" t="s">
        <v>3621</v>
      </c>
      <c r="C112" s="1" t="s">
        <v>3622</v>
      </c>
      <c r="D112" s="3" t="s">
        <v>3623</v>
      </c>
      <c r="E112" s="1" t="s">
        <v>30</v>
      </c>
      <c r="F112" s="5">
        <v>12740.0</v>
      </c>
      <c r="G112" s="1" t="s">
        <v>31</v>
      </c>
      <c r="H112" s="3" t="s">
        <v>32</v>
      </c>
      <c r="I112" s="1">
        <v>-6.2613113</v>
      </c>
      <c r="J112" s="3">
        <v>106.839792</v>
      </c>
      <c r="K112" s="6" t="s">
        <v>3624</v>
      </c>
      <c r="L112" s="11" t="str">
        <f t="shared" si="1"/>
        <v/>
      </c>
      <c r="Z112" s="2" t="s">
        <v>34</v>
      </c>
    </row>
    <row r="113">
      <c r="A113" s="3" t="s">
        <v>48</v>
      </c>
      <c r="B113" s="4" t="s">
        <v>3625</v>
      </c>
      <c r="C113" s="1" t="s">
        <v>3626</v>
      </c>
      <c r="D113" s="3" t="s">
        <v>3627</v>
      </c>
      <c r="E113" s="1" t="s">
        <v>30</v>
      </c>
      <c r="F113" s="5">
        <v>12750.0</v>
      </c>
      <c r="G113" s="1" t="s">
        <v>31</v>
      </c>
      <c r="H113" s="3" t="s">
        <v>32</v>
      </c>
      <c r="I113" s="1">
        <v>-6.2659131</v>
      </c>
      <c r="J113" s="3">
        <v>106.8507626</v>
      </c>
      <c r="K113" s="6" t="s">
        <v>3628</v>
      </c>
      <c r="L113" s="11">
        <f t="shared" si="1"/>
        <v>26300000</v>
      </c>
      <c r="M113" s="11">
        <f>9750000000/250</f>
        <v>39000000</v>
      </c>
      <c r="N113" s="11">
        <f>11000000000/340</f>
        <v>32352941.18</v>
      </c>
      <c r="O113" s="11">
        <f>13000000000/479</f>
        <v>27139874.74</v>
      </c>
      <c r="P113" s="11">
        <f>10000000000/423</f>
        <v>23640661.94</v>
      </c>
      <c r="Q113" s="11">
        <f>5200000000/200</f>
        <v>26000000</v>
      </c>
      <c r="R113" s="11">
        <f>9500000000/340</f>
        <v>27941176.47</v>
      </c>
      <c r="S113" s="11">
        <f>7000000000/320</f>
        <v>21875000</v>
      </c>
      <c r="T113" s="11">
        <f>3300000000/144</f>
        <v>22916666.67</v>
      </c>
      <c r="U113" s="11">
        <f>3600000000/180</f>
        <v>20000000</v>
      </c>
      <c r="V113" s="11">
        <f>10000000000/330</f>
        <v>30303030.3</v>
      </c>
      <c r="W113" s="11">
        <f>3990000000/150</f>
        <v>26600000</v>
      </c>
      <c r="X113" s="11">
        <f>5000000000/200</f>
        <v>25000000</v>
      </c>
      <c r="Z113" s="10" t="s">
        <v>2774</v>
      </c>
    </row>
    <row r="114">
      <c r="A114" s="3" t="s">
        <v>48</v>
      </c>
      <c r="B114" s="4" t="s">
        <v>3629</v>
      </c>
      <c r="C114" s="1" t="s">
        <v>3630</v>
      </c>
      <c r="D114" s="3" t="s">
        <v>3631</v>
      </c>
      <c r="E114" s="1" t="s">
        <v>30</v>
      </c>
      <c r="F114" s="5">
        <v>12760.0</v>
      </c>
      <c r="G114" s="1" t="s">
        <v>31</v>
      </c>
      <c r="H114" s="3" t="s">
        <v>32</v>
      </c>
      <c r="I114" s="1">
        <v>-6.2591646</v>
      </c>
      <c r="J114" s="3">
        <v>106.8312213</v>
      </c>
      <c r="K114" s="6" t="s">
        <v>3632</v>
      </c>
      <c r="L114" s="11">
        <f t="shared" si="1"/>
        <v>31707317.07</v>
      </c>
      <c r="M114" s="11">
        <f>7800000000/246</f>
        <v>31707317.07</v>
      </c>
      <c r="N114" s="11">
        <f>8500000000/246</f>
        <v>34552845.53</v>
      </c>
      <c r="O114" s="11">
        <f>3600000000/120</f>
        <v>30000000</v>
      </c>
      <c r="Z114" s="10" t="s">
        <v>175</v>
      </c>
    </row>
    <row r="115">
      <c r="A115" s="3" t="s">
        <v>48</v>
      </c>
      <c r="B115" s="4" t="s">
        <v>3633</v>
      </c>
      <c r="C115" s="1" t="s">
        <v>3634</v>
      </c>
      <c r="D115" s="3" t="s">
        <v>3635</v>
      </c>
      <c r="E115" s="1" t="s">
        <v>30</v>
      </c>
      <c r="F115" s="5">
        <v>12760.0</v>
      </c>
      <c r="G115" s="1" t="s">
        <v>31</v>
      </c>
      <c r="H115" s="3" t="s">
        <v>32</v>
      </c>
      <c r="I115" s="1">
        <v>-6.255853</v>
      </c>
      <c r="J115" s="3">
        <v>106.8305741</v>
      </c>
      <c r="K115" s="6" t="s">
        <v>3636</v>
      </c>
      <c r="L115" s="11">
        <f t="shared" si="1"/>
        <v>22222222.22</v>
      </c>
      <c r="M115" s="11">
        <f>3197000000/241</f>
        <v>13265560.17</v>
      </c>
      <c r="N115" s="11">
        <f>6000000000/268</f>
        <v>22388059.7</v>
      </c>
      <c r="O115" s="11">
        <f>6000000000/270</f>
        <v>22222222.22</v>
      </c>
      <c r="Z115" s="10" t="s">
        <v>2728</v>
      </c>
    </row>
    <row r="116">
      <c r="A116" s="3" t="s">
        <v>48</v>
      </c>
      <c r="B116" s="4" t="s">
        <v>3637</v>
      </c>
      <c r="C116" s="1" t="s">
        <v>3638</v>
      </c>
      <c r="D116" s="3" t="s">
        <v>3639</v>
      </c>
      <c r="E116" s="1" t="s">
        <v>30</v>
      </c>
      <c r="F116" s="5">
        <v>12760.0</v>
      </c>
      <c r="G116" s="1" t="s">
        <v>31</v>
      </c>
      <c r="H116" s="9">
        <v>8.16E10</v>
      </c>
      <c r="I116" s="1">
        <v>-6.254937</v>
      </c>
      <c r="J116" s="3">
        <v>106.8385786</v>
      </c>
      <c r="K116" s="6" t="s">
        <v>3640</v>
      </c>
      <c r="L116" s="11">
        <f t="shared" si="1"/>
        <v>60682016.9</v>
      </c>
      <c r="M116" s="11">
        <f>4300000000/107</f>
        <v>40186915.89</v>
      </c>
      <c r="N116" s="11">
        <f>3000000000/47</f>
        <v>63829787.23</v>
      </c>
      <c r="O116" s="11">
        <f>3400000000/52</f>
        <v>65384615.38</v>
      </c>
      <c r="P116" s="11">
        <f>4200000000/73</f>
        <v>57534246.58</v>
      </c>
      <c r="Z116" s="10" t="s">
        <v>2749</v>
      </c>
    </row>
    <row r="117">
      <c r="A117" s="3" t="s">
        <v>48</v>
      </c>
      <c r="B117" s="4" t="s">
        <v>3641</v>
      </c>
      <c r="C117" s="1" t="s">
        <v>3642</v>
      </c>
      <c r="D117" s="3" t="s">
        <v>3643</v>
      </c>
      <c r="E117" s="1" t="s">
        <v>30</v>
      </c>
      <c r="F117" s="5">
        <v>12760.0</v>
      </c>
      <c r="G117" s="1" t="s">
        <v>31</v>
      </c>
      <c r="H117" s="3" t="s">
        <v>32</v>
      </c>
      <c r="I117" s="1">
        <v>-6.2528271</v>
      </c>
      <c r="J117" s="3">
        <v>106.8328999</v>
      </c>
      <c r="K117" s="6" t="s">
        <v>3644</v>
      </c>
      <c r="L117" s="11" t="str">
        <f t="shared" si="1"/>
        <v/>
      </c>
      <c r="Z117" s="2" t="s">
        <v>34</v>
      </c>
    </row>
    <row r="118">
      <c r="A118" s="3" t="s">
        <v>48</v>
      </c>
      <c r="B118" s="4" t="s">
        <v>3645</v>
      </c>
      <c r="C118" s="1" t="s">
        <v>3646</v>
      </c>
      <c r="D118" s="3" t="s">
        <v>3647</v>
      </c>
      <c r="E118" s="1" t="s">
        <v>30</v>
      </c>
      <c r="F118" s="5">
        <v>12760.0</v>
      </c>
      <c r="G118" s="1" t="s">
        <v>31</v>
      </c>
      <c r="H118" s="3" t="s">
        <v>32</v>
      </c>
      <c r="I118" s="1">
        <v>-6.2555309</v>
      </c>
      <c r="J118" s="3">
        <v>106.8297425</v>
      </c>
      <c r="K118" s="6" t="s">
        <v>3648</v>
      </c>
      <c r="L118" s="11">
        <f t="shared" si="1"/>
        <v>25709716.11</v>
      </c>
      <c r="M118" s="11">
        <f>13200000000/492</f>
        <v>26829268.29</v>
      </c>
      <c r="N118" s="11">
        <f>15000000000/610</f>
        <v>24590163.93</v>
      </c>
      <c r="Z118" s="10" t="s">
        <v>175</v>
      </c>
    </row>
    <row r="119">
      <c r="A119" s="3" t="s">
        <v>48</v>
      </c>
      <c r="B119" s="4" t="s">
        <v>3649</v>
      </c>
      <c r="C119" s="1" t="s">
        <v>3650</v>
      </c>
      <c r="D119" s="3" t="s">
        <v>3651</v>
      </c>
      <c r="E119" s="1" t="s">
        <v>30</v>
      </c>
      <c r="F119" s="5">
        <v>12780.0</v>
      </c>
      <c r="G119" s="1" t="s">
        <v>31</v>
      </c>
      <c r="H119" s="3" t="s">
        <v>32</v>
      </c>
      <c r="I119" s="1">
        <v>-6.2470885</v>
      </c>
      <c r="J119" s="3">
        <v>106.8396473</v>
      </c>
      <c r="K119" s="6" t="s">
        <v>3652</v>
      </c>
      <c r="L119" s="11">
        <f t="shared" si="1"/>
        <v>16666666.67</v>
      </c>
      <c r="M119" s="11">
        <f>11000000000/660</f>
        <v>16666666.67</v>
      </c>
      <c r="Z119" s="10" t="s">
        <v>2774</v>
      </c>
    </row>
    <row r="120">
      <c r="A120" s="3" t="s">
        <v>48</v>
      </c>
      <c r="B120" s="4" t="s">
        <v>3653</v>
      </c>
      <c r="C120" s="1" t="s">
        <v>3654</v>
      </c>
      <c r="D120" s="3" t="s">
        <v>3655</v>
      </c>
      <c r="E120" s="1" t="s">
        <v>30</v>
      </c>
      <c r="F120" s="5">
        <v>12780.0</v>
      </c>
      <c r="G120" s="1" t="s">
        <v>31</v>
      </c>
      <c r="H120" s="3" t="s">
        <v>32</v>
      </c>
      <c r="I120" s="1">
        <v>-6.2503706</v>
      </c>
      <c r="J120" s="3">
        <v>106.8447619</v>
      </c>
      <c r="K120" s="6" t="s">
        <v>3656</v>
      </c>
      <c r="L120" s="11">
        <f t="shared" si="1"/>
        <v>40866935.48</v>
      </c>
      <c r="M120" s="11">
        <f>5500000000/155</f>
        <v>35483870.97</v>
      </c>
      <c r="N120" s="11">
        <f>18500000000/400</f>
        <v>46250000</v>
      </c>
      <c r="O120" s="11">
        <f>19900000000/664</f>
        <v>29969879.52</v>
      </c>
      <c r="P120" s="11">
        <f>12000000000/200</f>
        <v>60000000</v>
      </c>
      <c r="Z120" s="10" t="s">
        <v>2728</v>
      </c>
    </row>
    <row r="121">
      <c r="A121" s="3" t="s">
        <v>48</v>
      </c>
      <c r="B121" s="4" t="s">
        <v>3657</v>
      </c>
      <c r="C121" s="1" t="s">
        <v>3658</v>
      </c>
      <c r="D121" s="3" t="s">
        <v>3659</v>
      </c>
      <c r="E121" s="1" t="s">
        <v>30</v>
      </c>
      <c r="F121" s="5">
        <v>12510.0</v>
      </c>
      <c r="G121" s="1" t="s">
        <v>31</v>
      </c>
      <c r="H121" s="3" t="s">
        <v>32</v>
      </c>
      <c r="I121" s="1">
        <v>-6.2681468</v>
      </c>
      <c r="J121" s="3">
        <v>106.8472755</v>
      </c>
      <c r="K121" s="6" t="s">
        <v>3660</v>
      </c>
      <c r="L121" s="11">
        <f t="shared" si="1"/>
        <v>9729729.73</v>
      </c>
      <c r="M121" s="11">
        <f>4200000000/433</f>
        <v>9699769.053</v>
      </c>
      <c r="N121" s="11">
        <f>5800000000/216</f>
        <v>26851851.85</v>
      </c>
      <c r="O121" s="11">
        <f>1800000000/185</f>
        <v>9729729.73</v>
      </c>
      <c r="Z121" s="10" t="s">
        <v>2749</v>
      </c>
    </row>
    <row r="122">
      <c r="A122" s="3" t="s">
        <v>48</v>
      </c>
      <c r="B122" s="4" t="s">
        <v>3661</v>
      </c>
      <c r="C122" s="1" t="s">
        <v>3662</v>
      </c>
      <c r="D122" s="3" t="s">
        <v>3663</v>
      </c>
      <c r="E122" s="1" t="s">
        <v>30</v>
      </c>
      <c r="F122" s="5">
        <v>12510.0</v>
      </c>
      <c r="G122" s="1" t="s">
        <v>31</v>
      </c>
      <c r="H122" s="3" t="s">
        <v>32</v>
      </c>
      <c r="I122" s="1">
        <v>-6.2748144</v>
      </c>
      <c r="J122" s="3">
        <v>106.848431</v>
      </c>
      <c r="K122" s="6" t="s">
        <v>3664</v>
      </c>
      <c r="L122" s="11">
        <f t="shared" si="1"/>
        <v>12250000</v>
      </c>
      <c r="M122" s="11">
        <f>9800000000/800</f>
        <v>12250000</v>
      </c>
      <c r="Z122" s="10" t="s">
        <v>2728</v>
      </c>
    </row>
    <row r="123">
      <c r="A123" s="3" t="s">
        <v>48</v>
      </c>
      <c r="B123" s="4" t="s">
        <v>3665</v>
      </c>
      <c r="C123" s="1" t="s">
        <v>3666</v>
      </c>
      <c r="D123" s="3" t="s">
        <v>3667</v>
      </c>
      <c r="E123" s="1" t="s">
        <v>30</v>
      </c>
      <c r="F123" s="5">
        <v>12520.0</v>
      </c>
      <c r="G123" s="1" t="s">
        <v>31</v>
      </c>
      <c r="H123" s="3" t="s">
        <v>32</v>
      </c>
      <c r="I123" s="1">
        <v>-6.2926477</v>
      </c>
      <c r="J123" s="3">
        <v>106.8370844</v>
      </c>
      <c r="K123" s="6" t="s">
        <v>3668</v>
      </c>
      <c r="L123" s="11" t="str">
        <f t="shared" si="1"/>
        <v/>
      </c>
      <c r="Z123" s="2" t="s">
        <v>34</v>
      </c>
    </row>
    <row r="124">
      <c r="A124" s="3" t="s">
        <v>48</v>
      </c>
      <c r="B124" s="4" t="s">
        <v>3669</v>
      </c>
      <c r="C124" s="1" t="s">
        <v>3670</v>
      </c>
      <c r="D124" s="3" t="s">
        <v>3671</v>
      </c>
      <c r="E124" s="1" t="s">
        <v>30</v>
      </c>
      <c r="F124" s="5">
        <v>12510.0</v>
      </c>
      <c r="G124" s="1" t="s">
        <v>31</v>
      </c>
      <c r="H124" s="3" t="s">
        <v>32</v>
      </c>
      <c r="I124" s="1">
        <v>-6.2710093</v>
      </c>
      <c r="J124" s="3">
        <v>106.833937</v>
      </c>
      <c r="K124" s="6" t="s">
        <v>3672</v>
      </c>
      <c r="L124" s="11">
        <f t="shared" si="1"/>
        <v>21897810.22</v>
      </c>
      <c r="M124" s="11">
        <f>9000000000/411</f>
        <v>21897810.22</v>
      </c>
      <c r="N124" s="11">
        <f>4500000000/312</f>
        <v>14423076.92</v>
      </c>
      <c r="O124" s="11">
        <f>8900000000/336</f>
        <v>26488095.24</v>
      </c>
      <c r="Z124" s="10" t="s">
        <v>175</v>
      </c>
    </row>
    <row r="125">
      <c r="A125" s="3" t="s">
        <v>48</v>
      </c>
      <c r="B125" s="4" t="s">
        <v>3673</v>
      </c>
      <c r="C125" s="1" t="s">
        <v>3674</v>
      </c>
      <c r="D125" s="3" t="s">
        <v>3675</v>
      </c>
      <c r="E125" s="1" t="s">
        <v>30</v>
      </c>
      <c r="F125" s="5">
        <v>12510.0</v>
      </c>
      <c r="G125" s="1" t="s">
        <v>31</v>
      </c>
      <c r="H125" s="3" t="s">
        <v>32</v>
      </c>
      <c r="I125" s="1">
        <v>-6.270411</v>
      </c>
      <c r="J125" s="3">
        <v>106.8364506</v>
      </c>
      <c r="K125" s="6" t="s">
        <v>3676</v>
      </c>
      <c r="L125" s="11">
        <f t="shared" si="1"/>
        <v>23287671.23</v>
      </c>
      <c r="M125" s="11">
        <f>8800000000/386</f>
        <v>22797927.46</v>
      </c>
      <c r="N125" s="11">
        <f>8500000000/365</f>
        <v>23287671.23</v>
      </c>
      <c r="O125" s="11">
        <f>13000000000/508</f>
        <v>25590551.18</v>
      </c>
      <c r="Z125" s="10" t="s">
        <v>2728</v>
      </c>
    </row>
    <row r="126">
      <c r="A126" s="3" t="s">
        <v>48</v>
      </c>
      <c r="B126" s="4" t="s">
        <v>3677</v>
      </c>
      <c r="C126" s="1" t="s">
        <v>3678</v>
      </c>
      <c r="D126" s="3" t="s">
        <v>3679</v>
      </c>
      <c r="E126" s="1" t="s">
        <v>30</v>
      </c>
      <c r="F126" s="5">
        <v>12510.0</v>
      </c>
      <c r="G126" s="1" t="s">
        <v>31</v>
      </c>
      <c r="H126" s="3" t="s">
        <v>32</v>
      </c>
      <c r="I126" s="1">
        <v>-6.2674802</v>
      </c>
      <c r="J126" s="3">
        <v>106.8393274</v>
      </c>
      <c r="K126" s="6" t="s">
        <v>3680</v>
      </c>
      <c r="L126" s="11" t="str">
        <f t="shared" si="1"/>
        <v/>
      </c>
      <c r="Z126" s="2" t="s">
        <v>34</v>
      </c>
    </row>
    <row r="127">
      <c r="A127" s="3" t="s">
        <v>48</v>
      </c>
      <c r="B127" s="4" t="s">
        <v>3681</v>
      </c>
      <c r="C127" s="1" t="s">
        <v>3682</v>
      </c>
      <c r="D127" s="3" t="s">
        <v>3683</v>
      </c>
      <c r="E127" s="1" t="s">
        <v>30</v>
      </c>
      <c r="F127" s="5">
        <v>12520.0</v>
      </c>
      <c r="G127" s="1" t="s">
        <v>31</v>
      </c>
      <c r="H127" s="3" t="s">
        <v>32</v>
      </c>
      <c r="I127" s="1">
        <v>-6.293834</v>
      </c>
      <c r="J127" s="3">
        <v>106.83847</v>
      </c>
      <c r="K127" s="6" t="s">
        <v>3684</v>
      </c>
      <c r="L127" s="11" t="str">
        <f t="shared" si="1"/>
        <v/>
      </c>
      <c r="Z127" s="2" t="s">
        <v>34</v>
      </c>
    </row>
    <row r="128">
      <c r="A128" s="3" t="s">
        <v>48</v>
      </c>
      <c r="B128" s="4" t="s">
        <v>3685</v>
      </c>
      <c r="C128" s="1" t="s">
        <v>3686</v>
      </c>
      <c r="D128" s="3" t="s">
        <v>3687</v>
      </c>
      <c r="E128" s="1" t="s">
        <v>30</v>
      </c>
      <c r="F128" s="5">
        <v>12510.0</v>
      </c>
      <c r="G128" s="1" t="s">
        <v>31</v>
      </c>
      <c r="H128" s="3" t="s">
        <v>32</v>
      </c>
      <c r="I128" s="1">
        <v>-6.2932714</v>
      </c>
      <c r="J128" s="3">
        <v>106.8502068</v>
      </c>
      <c r="K128" s="6" t="s">
        <v>3688</v>
      </c>
      <c r="L128" s="11">
        <f t="shared" si="1"/>
        <v>20295662.55</v>
      </c>
      <c r="M128" s="11">
        <f>6800000000/357</f>
        <v>19047619.05</v>
      </c>
      <c r="N128" s="11">
        <f>5490000000/235</f>
        <v>23361702.13</v>
      </c>
      <c r="O128" s="11">
        <f>7700000000/359</f>
        <v>21448467.97</v>
      </c>
      <c r="P128" s="11">
        <f>13400000000/700</f>
        <v>19142857.14</v>
      </c>
      <c r="Z128" s="10" t="s">
        <v>2749</v>
      </c>
    </row>
    <row r="129">
      <c r="A129" s="3" t="s">
        <v>48</v>
      </c>
      <c r="B129" s="4" t="s">
        <v>3689</v>
      </c>
      <c r="C129" s="1" t="s">
        <v>3690</v>
      </c>
      <c r="D129" s="3" t="s">
        <v>3691</v>
      </c>
      <c r="E129" s="1" t="s">
        <v>30</v>
      </c>
      <c r="F129" s="5">
        <v>12510.0</v>
      </c>
      <c r="G129" s="1" t="s">
        <v>31</v>
      </c>
      <c r="H129" s="3" t="s">
        <v>32</v>
      </c>
      <c r="I129" s="1">
        <v>-6.274874</v>
      </c>
      <c r="J129" s="3">
        <v>106.834979</v>
      </c>
      <c r="K129" s="6" t="s">
        <v>3692</v>
      </c>
      <c r="L129" s="11">
        <f t="shared" si="1"/>
        <v>42111111.11</v>
      </c>
      <c r="M129" s="11">
        <f>6200000000/100</f>
        <v>62000000</v>
      </c>
      <c r="N129" s="11">
        <f>6000000000/270</f>
        <v>22222222.22</v>
      </c>
      <c r="Z129" s="10" t="s">
        <v>2728</v>
      </c>
    </row>
    <row r="130">
      <c r="A130" s="3" t="s">
        <v>48</v>
      </c>
      <c r="B130" s="4" t="s">
        <v>3693</v>
      </c>
      <c r="C130" s="1" t="s">
        <v>3694</v>
      </c>
      <c r="D130" s="3" t="s">
        <v>3695</v>
      </c>
      <c r="E130" s="1" t="s">
        <v>30</v>
      </c>
      <c r="F130" s="5">
        <v>12510.0</v>
      </c>
      <c r="G130" s="1" t="s">
        <v>31</v>
      </c>
      <c r="H130" s="3" t="s">
        <v>32</v>
      </c>
      <c r="I130" s="1">
        <v>-6.2724366</v>
      </c>
      <c r="J130" s="3">
        <v>106.8458011</v>
      </c>
      <c r="K130" s="6" t="s">
        <v>3696</v>
      </c>
      <c r="L130" s="11">
        <f t="shared" si="1"/>
        <v>35111607.14</v>
      </c>
      <c r="M130" s="11">
        <f>6000000000/175</f>
        <v>34285714.29</v>
      </c>
      <c r="N130" s="11">
        <f>11500000000/320</f>
        <v>35937500</v>
      </c>
      <c r="Z130" s="10" t="s">
        <v>2749</v>
      </c>
    </row>
    <row r="131">
      <c r="A131" s="3" t="s">
        <v>48</v>
      </c>
      <c r="B131" s="4" t="s">
        <v>3697</v>
      </c>
      <c r="C131" s="1" t="s">
        <v>3698</v>
      </c>
      <c r="D131" s="3" t="s">
        <v>3699</v>
      </c>
      <c r="E131" s="1" t="s">
        <v>30</v>
      </c>
      <c r="F131" s="5">
        <v>12520.0</v>
      </c>
      <c r="G131" s="1" t="s">
        <v>31</v>
      </c>
      <c r="H131" s="3" t="s">
        <v>32</v>
      </c>
      <c r="I131" s="1">
        <v>-6.2970019</v>
      </c>
      <c r="J131" s="3">
        <v>106.8383927</v>
      </c>
      <c r="K131" s="6" t="s">
        <v>3700</v>
      </c>
      <c r="L131" s="11">
        <f t="shared" si="1"/>
        <v>17820827.49</v>
      </c>
      <c r="M131" s="11">
        <f>2700000000/184</f>
        <v>14673913.04</v>
      </c>
      <c r="N131" s="11">
        <f>13000000000/620</f>
        <v>20967741.94</v>
      </c>
      <c r="Z131" s="10" t="s">
        <v>2749</v>
      </c>
    </row>
    <row r="132">
      <c r="A132" s="3" t="s">
        <v>48</v>
      </c>
      <c r="B132" s="4" t="s">
        <v>3701</v>
      </c>
      <c r="C132" s="1" t="s">
        <v>3702</v>
      </c>
      <c r="D132" s="3" t="s">
        <v>3703</v>
      </c>
      <c r="E132" s="1" t="s">
        <v>30</v>
      </c>
      <c r="F132" s="5">
        <v>12520.0</v>
      </c>
      <c r="G132" s="1" t="s">
        <v>31</v>
      </c>
      <c r="H132" s="3" t="s">
        <v>32</v>
      </c>
      <c r="I132" s="1">
        <v>-6.3136484</v>
      </c>
      <c r="J132" s="3">
        <v>106.8297751</v>
      </c>
      <c r="K132" s="6" t="s">
        <v>3704</v>
      </c>
      <c r="L132" s="11">
        <f t="shared" si="1"/>
        <v>19178082.19</v>
      </c>
      <c r="M132" s="11">
        <f>2800000000/146</f>
        <v>19178082.19</v>
      </c>
      <c r="Z132" s="10" t="s">
        <v>461</v>
      </c>
    </row>
    <row r="133">
      <c r="A133" s="3" t="s">
        <v>48</v>
      </c>
      <c r="B133" s="4" t="s">
        <v>3705</v>
      </c>
      <c r="C133" s="1" t="s">
        <v>3706</v>
      </c>
      <c r="D133" s="3" t="s">
        <v>3707</v>
      </c>
      <c r="E133" s="1" t="s">
        <v>30</v>
      </c>
      <c r="F133" s="5">
        <v>12520.0</v>
      </c>
      <c r="G133" s="1" t="s">
        <v>31</v>
      </c>
      <c r="H133" s="3" t="s">
        <v>32</v>
      </c>
      <c r="I133" s="1">
        <v>-6.2917192</v>
      </c>
      <c r="J133" s="3">
        <v>106.8400691</v>
      </c>
      <c r="K133" s="6" t="s">
        <v>3708</v>
      </c>
      <c r="L133" s="11">
        <f t="shared" si="1"/>
        <v>15000000</v>
      </c>
      <c r="M133" s="11">
        <f>2400000000/160</f>
        <v>15000000</v>
      </c>
      <c r="Z133" s="10" t="s">
        <v>2749</v>
      </c>
    </row>
    <row r="134">
      <c r="A134" s="3" t="s">
        <v>48</v>
      </c>
      <c r="B134" s="4" t="s">
        <v>3709</v>
      </c>
      <c r="C134" s="1" t="s">
        <v>3710</v>
      </c>
      <c r="D134" s="3" t="s">
        <v>3711</v>
      </c>
      <c r="E134" s="1" t="s">
        <v>30</v>
      </c>
      <c r="F134" s="5">
        <v>12520.0</v>
      </c>
      <c r="G134" s="1" t="s">
        <v>31</v>
      </c>
      <c r="H134" s="3" t="s">
        <v>32</v>
      </c>
      <c r="I134" s="1">
        <v>-6.2952603</v>
      </c>
      <c r="J134" s="3">
        <v>106.8380954</v>
      </c>
      <c r="K134" s="6" t="s">
        <v>3712</v>
      </c>
      <c r="L134" s="11">
        <f t="shared" si="1"/>
        <v>18965517.24</v>
      </c>
      <c r="M134" s="11">
        <f>5500000000/290</f>
        <v>18965517.24</v>
      </c>
      <c r="N134" s="11">
        <f>5990000000/477</f>
        <v>12557651.99</v>
      </c>
      <c r="O134" s="11">
        <f>8000000000/400</f>
        <v>20000000</v>
      </c>
      <c r="Z134" s="10" t="s">
        <v>175</v>
      </c>
    </row>
    <row r="135">
      <c r="A135" s="3" t="s">
        <v>48</v>
      </c>
      <c r="B135" s="4" t="s">
        <v>3713</v>
      </c>
      <c r="C135" s="1" t="s">
        <v>3714</v>
      </c>
      <c r="D135" s="3" t="s">
        <v>3715</v>
      </c>
      <c r="E135" s="1" t="s">
        <v>30</v>
      </c>
      <c r="F135" s="5">
        <v>12520.0</v>
      </c>
      <c r="G135" s="1" t="s">
        <v>31</v>
      </c>
      <c r="H135" s="3" t="s">
        <v>32</v>
      </c>
      <c r="I135" s="1">
        <v>-6.3066813</v>
      </c>
      <c r="J135" s="3">
        <v>106.8298446</v>
      </c>
      <c r="K135" s="6" t="s">
        <v>3716</v>
      </c>
      <c r="L135" s="11">
        <f t="shared" si="1"/>
        <v>22001748.25</v>
      </c>
      <c r="M135" s="11">
        <f>12585000000/572</f>
        <v>22001748.25</v>
      </c>
      <c r="Z135" s="10" t="s">
        <v>3113</v>
      </c>
    </row>
    <row r="136">
      <c r="A136" s="3" t="s">
        <v>48</v>
      </c>
      <c r="B136" s="4" t="s">
        <v>3717</v>
      </c>
      <c r="C136" s="1" t="s">
        <v>3718</v>
      </c>
      <c r="D136" s="3" t="s">
        <v>3719</v>
      </c>
      <c r="E136" s="1" t="s">
        <v>30</v>
      </c>
      <c r="F136" s="5">
        <v>12520.0</v>
      </c>
      <c r="G136" s="1" t="s">
        <v>31</v>
      </c>
      <c r="H136" s="3" t="s">
        <v>32</v>
      </c>
      <c r="I136" s="1">
        <v>-6.315402</v>
      </c>
      <c r="J136" s="3">
        <v>106.8275977</v>
      </c>
      <c r="K136" s="6" t="s">
        <v>3720</v>
      </c>
      <c r="L136" s="11">
        <f t="shared" si="1"/>
        <v>25333333.33</v>
      </c>
      <c r="M136" s="11">
        <f>1900000000/75</f>
        <v>25333333.33</v>
      </c>
      <c r="Z136" s="10" t="s">
        <v>2749</v>
      </c>
    </row>
    <row r="137">
      <c r="A137" s="3" t="s">
        <v>48</v>
      </c>
      <c r="B137" s="4" t="s">
        <v>3721</v>
      </c>
      <c r="C137" s="1" t="s">
        <v>3722</v>
      </c>
      <c r="D137" s="3" t="s">
        <v>3723</v>
      </c>
      <c r="E137" s="1" t="s">
        <v>30</v>
      </c>
      <c r="F137" s="5">
        <v>12520.0</v>
      </c>
      <c r="G137" s="1" t="s">
        <v>31</v>
      </c>
      <c r="H137" s="3" t="s">
        <v>32</v>
      </c>
      <c r="I137" s="1">
        <v>-6.3125488</v>
      </c>
      <c r="J137" s="3">
        <v>106.830378</v>
      </c>
      <c r="K137" s="6" t="s">
        <v>3724</v>
      </c>
      <c r="L137" s="11" t="str">
        <f t="shared" si="1"/>
        <v/>
      </c>
      <c r="Z137" s="2" t="s">
        <v>34</v>
      </c>
    </row>
    <row r="138">
      <c r="A138" s="3" t="s">
        <v>48</v>
      </c>
      <c r="B138" s="4" t="s">
        <v>3725</v>
      </c>
      <c r="C138" s="1" t="s">
        <v>3726</v>
      </c>
      <c r="D138" s="3" t="s">
        <v>3727</v>
      </c>
      <c r="E138" s="1" t="s">
        <v>30</v>
      </c>
      <c r="F138" s="5">
        <v>12520.0</v>
      </c>
      <c r="G138" s="1" t="s">
        <v>31</v>
      </c>
      <c r="H138" s="3" t="s">
        <v>32</v>
      </c>
      <c r="I138" s="1">
        <v>-6.2946611</v>
      </c>
      <c r="J138" s="3">
        <v>106.8369659</v>
      </c>
      <c r="K138" s="6" t="s">
        <v>3728</v>
      </c>
      <c r="L138" s="11">
        <f t="shared" si="1"/>
        <v>17192982.46</v>
      </c>
      <c r="M138" s="11">
        <f>7000000000/460</f>
        <v>15217391.3</v>
      </c>
      <c r="N138" s="11">
        <f>6300000000/208</f>
        <v>30288461.54</v>
      </c>
      <c r="O138" s="11">
        <f>4900000000/285</f>
        <v>17192982.46</v>
      </c>
      <c r="Z138" s="10" t="s">
        <v>2749</v>
      </c>
    </row>
    <row r="139">
      <c r="A139" s="3" t="s">
        <v>48</v>
      </c>
      <c r="B139" s="4" t="s">
        <v>3729</v>
      </c>
      <c r="C139" s="1" t="s">
        <v>3730</v>
      </c>
      <c r="D139" s="3" t="s">
        <v>3731</v>
      </c>
      <c r="E139" s="1" t="s">
        <v>30</v>
      </c>
      <c r="F139" s="5">
        <v>12540.0</v>
      </c>
      <c r="G139" s="1" t="s">
        <v>31</v>
      </c>
      <c r="H139" s="3" t="s">
        <v>32</v>
      </c>
      <c r="I139" s="1">
        <v>-6.2865517</v>
      </c>
      <c r="J139" s="3">
        <v>106.8202169</v>
      </c>
      <c r="K139" s="6" t="s">
        <v>3732</v>
      </c>
      <c r="L139" s="11">
        <f t="shared" si="1"/>
        <v>41428571.43</v>
      </c>
      <c r="M139" s="11">
        <f>5800000000/140</f>
        <v>41428571.43</v>
      </c>
      <c r="Z139" s="10" t="s">
        <v>175</v>
      </c>
    </row>
    <row r="140">
      <c r="A140" s="3" t="s">
        <v>48</v>
      </c>
      <c r="B140" s="4" t="s">
        <v>3733</v>
      </c>
      <c r="C140" s="1" t="s">
        <v>3734</v>
      </c>
      <c r="D140" s="3" t="s">
        <v>3735</v>
      </c>
      <c r="E140" s="1" t="s">
        <v>30</v>
      </c>
      <c r="F140" s="5">
        <v>12520.0</v>
      </c>
      <c r="G140" s="1" t="s">
        <v>31</v>
      </c>
      <c r="H140" s="3" t="s">
        <v>32</v>
      </c>
      <c r="I140" s="1">
        <v>-6.2824129</v>
      </c>
      <c r="J140" s="3">
        <v>106.8393518</v>
      </c>
      <c r="K140" s="6" t="s">
        <v>3736</v>
      </c>
      <c r="L140" s="11">
        <f t="shared" si="1"/>
        <v>17333333.33</v>
      </c>
      <c r="M140" s="11">
        <f>2000000000/124</f>
        <v>16129032.26</v>
      </c>
      <c r="N140" s="11">
        <f>2500000000/120</f>
        <v>20833333.33</v>
      </c>
      <c r="O140" s="11">
        <f>2200000000/120</f>
        <v>18333333.33</v>
      </c>
      <c r="P140" s="11">
        <f>1960000000/120</f>
        <v>16333333.33</v>
      </c>
      <c r="Q140" s="11">
        <f>5700000000/121</f>
        <v>47107438.02</v>
      </c>
      <c r="R140" s="11">
        <f>2300000000/141</f>
        <v>16312056.74</v>
      </c>
      <c r="Z140" s="10" t="s">
        <v>2728</v>
      </c>
    </row>
    <row r="141">
      <c r="A141" s="3" t="s">
        <v>48</v>
      </c>
      <c r="B141" s="4" t="s">
        <v>3737</v>
      </c>
      <c r="C141" s="1" t="s">
        <v>3738</v>
      </c>
      <c r="D141" s="3" t="s">
        <v>3739</v>
      </c>
      <c r="E141" s="1" t="s">
        <v>30</v>
      </c>
      <c r="F141" s="5">
        <v>12540.0</v>
      </c>
      <c r="G141" s="1" t="s">
        <v>31</v>
      </c>
      <c r="H141" s="9">
        <v>2.18E8</v>
      </c>
      <c r="I141" s="1">
        <v>-6.2778675</v>
      </c>
      <c r="J141" s="3">
        <v>106.8235123</v>
      </c>
      <c r="K141" s="6" t="s">
        <v>3740</v>
      </c>
      <c r="L141" s="11" t="str">
        <f t="shared" si="1"/>
        <v/>
      </c>
      <c r="Z141" s="2" t="s">
        <v>34</v>
      </c>
    </row>
    <row r="142">
      <c r="A142" s="3" t="s">
        <v>48</v>
      </c>
      <c r="B142" s="4" t="s">
        <v>3741</v>
      </c>
      <c r="C142" s="1" t="s">
        <v>3742</v>
      </c>
      <c r="D142" s="3" t="s">
        <v>3743</v>
      </c>
      <c r="E142" s="1" t="s">
        <v>30</v>
      </c>
      <c r="F142" s="5">
        <v>12540.0</v>
      </c>
      <c r="G142" s="1" t="s">
        <v>31</v>
      </c>
      <c r="H142" s="3" t="s">
        <v>32</v>
      </c>
      <c r="I142" s="1">
        <v>-6.2850125</v>
      </c>
      <c r="J142" s="3">
        <v>106.8209204</v>
      </c>
      <c r="K142" s="6" t="s">
        <v>3744</v>
      </c>
      <c r="L142" s="11" t="str">
        <f t="shared" si="1"/>
        <v/>
      </c>
      <c r="Z142" s="2" t="s">
        <v>34</v>
      </c>
    </row>
    <row r="143">
      <c r="A143" s="3" t="s">
        <v>48</v>
      </c>
      <c r="B143" s="4" t="s">
        <v>3745</v>
      </c>
      <c r="C143" s="1" t="s">
        <v>3746</v>
      </c>
      <c r="D143" s="3" t="s">
        <v>3747</v>
      </c>
      <c r="E143" s="1" t="s">
        <v>30</v>
      </c>
      <c r="F143" s="5">
        <v>12270.0</v>
      </c>
      <c r="G143" s="1" t="s">
        <v>31</v>
      </c>
      <c r="H143" s="3" t="s">
        <v>32</v>
      </c>
      <c r="I143" s="1">
        <v>-6.2470232</v>
      </c>
      <c r="J143" s="3">
        <v>106.7471337</v>
      </c>
      <c r="K143" s="6" t="s">
        <v>3748</v>
      </c>
      <c r="L143" s="11">
        <f t="shared" si="1"/>
        <v>11461538.46</v>
      </c>
      <c r="M143" s="11">
        <f>2800000000/200</f>
        <v>14000000</v>
      </c>
      <c r="N143" s="11">
        <f>2900000000/325</f>
        <v>8923076.923</v>
      </c>
      <c r="Z143" s="10" t="s">
        <v>2749</v>
      </c>
    </row>
    <row r="144">
      <c r="A144" s="3" t="s">
        <v>48</v>
      </c>
      <c r="B144" s="4" t="s">
        <v>3749</v>
      </c>
      <c r="C144" s="1" t="s">
        <v>3750</v>
      </c>
      <c r="D144" s="3" t="s">
        <v>3751</v>
      </c>
      <c r="E144" s="1" t="s">
        <v>30</v>
      </c>
      <c r="F144" s="5">
        <v>12250.0</v>
      </c>
      <c r="G144" s="1" t="s">
        <v>31</v>
      </c>
      <c r="H144" s="3" t="s">
        <v>32</v>
      </c>
      <c r="I144" s="1">
        <v>-6.2245949</v>
      </c>
      <c r="J144" s="3">
        <v>106.7611139</v>
      </c>
      <c r="K144" s="6" t="s">
        <v>3752</v>
      </c>
      <c r="L144" s="11">
        <f t="shared" si="1"/>
        <v>23754010.7</v>
      </c>
      <c r="M144" s="11">
        <f>4280000000/165</f>
        <v>25939393.94</v>
      </c>
      <c r="N144" s="11">
        <f>4300000000/165</f>
        <v>26060606.06</v>
      </c>
      <c r="O144" s="11">
        <f>3300000000/153</f>
        <v>21568627.45</v>
      </c>
      <c r="P144" s="11">
        <f>5000000000/256</f>
        <v>19531250</v>
      </c>
      <c r="Z144" s="10" t="s">
        <v>175</v>
      </c>
    </row>
    <row r="145">
      <c r="A145" s="3" t="s">
        <v>48</v>
      </c>
      <c r="B145" s="4" t="s">
        <v>3753</v>
      </c>
      <c r="C145" s="1" t="s">
        <v>3754</v>
      </c>
      <c r="D145" s="3" t="s">
        <v>3755</v>
      </c>
      <c r="E145" s="1" t="s">
        <v>30</v>
      </c>
      <c r="F145" s="5">
        <v>12250.0</v>
      </c>
      <c r="G145" s="1" t="s">
        <v>31</v>
      </c>
      <c r="H145" s="9">
        <v>2.13E9</v>
      </c>
      <c r="I145" s="1">
        <v>-6.2292611</v>
      </c>
      <c r="J145" s="3">
        <v>106.7606282</v>
      </c>
      <c r="K145" s="6" t="s">
        <v>3756</v>
      </c>
      <c r="L145" s="11">
        <f t="shared" si="1"/>
        <v>25925925.93</v>
      </c>
      <c r="M145" s="11">
        <f>3500000000/126</f>
        <v>27777777.78</v>
      </c>
      <c r="N145" s="11">
        <f>2800000000/126</f>
        <v>22222222.22</v>
      </c>
      <c r="O145" s="11">
        <f>7500000000/319</f>
        <v>23510971.79</v>
      </c>
      <c r="P145" s="11">
        <f>2800000000/108</f>
        <v>25925925.93</v>
      </c>
      <c r="Q145" s="11">
        <f>5800000000/180</f>
        <v>32222222.22</v>
      </c>
      <c r="Z145" s="10" t="s">
        <v>2749</v>
      </c>
    </row>
    <row r="146">
      <c r="A146" s="3" t="s">
        <v>48</v>
      </c>
      <c r="B146" s="4" t="s">
        <v>3757</v>
      </c>
      <c r="C146" s="1" t="s">
        <v>3758</v>
      </c>
      <c r="D146" s="3" t="s">
        <v>3759</v>
      </c>
      <c r="E146" s="1" t="s">
        <v>30</v>
      </c>
      <c r="F146" s="5">
        <v>12250.0</v>
      </c>
      <c r="G146" s="1" t="s">
        <v>31</v>
      </c>
      <c r="H146" s="3" t="s">
        <v>32</v>
      </c>
      <c r="I146" s="1">
        <v>-6.2232959</v>
      </c>
      <c r="J146" s="3">
        <v>106.7642315</v>
      </c>
      <c r="K146" s="6" t="s">
        <v>3760</v>
      </c>
      <c r="L146" s="11" t="str">
        <f t="shared" si="1"/>
        <v/>
      </c>
      <c r="Z146" s="2" t="s">
        <v>34</v>
      </c>
    </row>
    <row r="147">
      <c r="A147" s="3" t="s">
        <v>48</v>
      </c>
      <c r="B147" s="4" t="s">
        <v>3761</v>
      </c>
      <c r="C147" s="1" t="s">
        <v>3762</v>
      </c>
      <c r="D147" s="3" t="s">
        <v>3763</v>
      </c>
      <c r="E147" s="1" t="s">
        <v>30</v>
      </c>
      <c r="F147" s="5">
        <v>12250.0</v>
      </c>
      <c r="G147" s="1" t="s">
        <v>31</v>
      </c>
      <c r="H147" s="3" t="s">
        <v>32</v>
      </c>
      <c r="I147" s="1">
        <v>-6.2290789</v>
      </c>
      <c r="J147" s="3">
        <v>106.7625705</v>
      </c>
      <c r="K147" s="6" t="s">
        <v>3764</v>
      </c>
      <c r="L147" s="11" t="str">
        <f t="shared" si="1"/>
        <v/>
      </c>
      <c r="Z147" s="2" t="s">
        <v>34</v>
      </c>
    </row>
    <row r="148">
      <c r="A148" s="3" t="s">
        <v>48</v>
      </c>
      <c r="B148" s="4" t="s">
        <v>3765</v>
      </c>
      <c r="C148" s="1" t="s">
        <v>3766</v>
      </c>
      <c r="D148" s="3" t="s">
        <v>3767</v>
      </c>
      <c r="E148" s="1" t="s">
        <v>30</v>
      </c>
      <c r="F148" s="5">
        <v>12250.0</v>
      </c>
      <c r="G148" s="1" t="s">
        <v>31</v>
      </c>
      <c r="H148" s="3" t="s">
        <v>32</v>
      </c>
      <c r="I148" s="1">
        <v>-6.2293846</v>
      </c>
      <c r="J148" s="3">
        <v>106.7617323</v>
      </c>
      <c r="K148" s="6" t="s">
        <v>3768</v>
      </c>
      <c r="L148" s="11">
        <f t="shared" si="1"/>
        <v>25925925.93</v>
      </c>
      <c r="M148" s="11">
        <f>3500000000/126</f>
        <v>27777777.78</v>
      </c>
      <c r="N148" s="11">
        <f>2800000000/126</f>
        <v>22222222.22</v>
      </c>
      <c r="O148" s="11">
        <f>7500000000/319</f>
        <v>23510971.79</v>
      </c>
      <c r="P148" s="11">
        <f>2800000000/108</f>
        <v>25925925.93</v>
      </c>
      <c r="Q148" s="11">
        <f>5800000000/180</f>
        <v>32222222.22</v>
      </c>
      <c r="Z148" s="10" t="s">
        <v>2749</v>
      </c>
    </row>
    <row r="149">
      <c r="A149" s="3" t="s">
        <v>48</v>
      </c>
      <c r="B149" s="4" t="s">
        <v>3749</v>
      </c>
      <c r="C149" s="1" t="s">
        <v>3769</v>
      </c>
      <c r="D149" s="3" t="s">
        <v>3770</v>
      </c>
      <c r="E149" s="1" t="s">
        <v>30</v>
      </c>
      <c r="F149" s="5">
        <v>12250.0</v>
      </c>
      <c r="G149" s="1" t="s">
        <v>31</v>
      </c>
      <c r="H149" s="3" t="s">
        <v>32</v>
      </c>
      <c r="I149" s="1">
        <v>-6.225591</v>
      </c>
      <c r="J149" s="3">
        <v>106.7608297</v>
      </c>
      <c r="K149" s="6" t="s">
        <v>3771</v>
      </c>
      <c r="L149" s="11">
        <f t="shared" si="1"/>
        <v>23754010.7</v>
      </c>
      <c r="M149" s="11">
        <f>4280000000/165</f>
        <v>25939393.94</v>
      </c>
      <c r="N149" s="11">
        <f>4300000000/165</f>
        <v>26060606.06</v>
      </c>
      <c r="O149" s="11">
        <f>3300000000/153</f>
        <v>21568627.45</v>
      </c>
      <c r="P149" s="11">
        <f>5000000000/256</f>
        <v>19531250</v>
      </c>
      <c r="Z149" s="10" t="s">
        <v>175</v>
      </c>
    </row>
    <row r="150">
      <c r="A150" s="3" t="s">
        <v>48</v>
      </c>
      <c r="B150" s="4" t="s">
        <v>3772</v>
      </c>
      <c r="C150" s="1" t="s">
        <v>3773</v>
      </c>
      <c r="D150" s="3" t="s">
        <v>3774</v>
      </c>
      <c r="E150" s="1" t="s">
        <v>30</v>
      </c>
      <c r="F150" s="5">
        <v>12260.0</v>
      </c>
      <c r="G150" s="1" t="s">
        <v>31</v>
      </c>
      <c r="H150" s="3" t="s">
        <v>32</v>
      </c>
      <c r="I150" s="1">
        <v>-6.2278376</v>
      </c>
      <c r="J150" s="3">
        <v>106.7460037</v>
      </c>
      <c r="K150" s="6" t="s">
        <v>3775</v>
      </c>
      <c r="L150" s="11">
        <f t="shared" si="1"/>
        <v>17552543.41</v>
      </c>
      <c r="M150" s="11">
        <f>1100000000/98</f>
        <v>11224489.8</v>
      </c>
      <c r="N150" s="11">
        <f>3200000000/134</f>
        <v>23880597.01</v>
      </c>
      <c r="Z150" s="10" t="s">
        <v>2749</v>
      </c>
    </row>
    <row r="151">
      <c r="A151" s="3" t="s">
        <v>48</v>
      </c>
      <c r="B151" s="4" t="s">
        <v>3776</v>
      </c>
      <c r="C151" s="1" t="s">
        <v>3777</v>
      </c>
      <c r="D151" s="3" t="s">
        <v>3778</v>
      </c>
      <c r="E151" s="1" t="s">
        <v>30</v>
      </c>
      <c r="F151" s="5">
        <v>12260.0</v>
      </c>
      <c r="G151" s="1" t="s">
        <v>31</v>
      </c>
      <c r="H151" s="3" t="s">
        <v>32</v>
      </c>
      <c r="I151" s="1">
        <v>-6.2186675</v>
      </c>
      <c r="J151" s="3">
        <v>106.7543033</v>
      </c>
      <c r="K151" s="6" t="s">
        <v>3779</v>
      </c>
      <c r="L151" s="11">
        <f t="shared" si="1"/>
        <v>15000000</v>
      </c>
      <c r="M151" s="11">
        <f>4500000000/300</f>
        <v>15000000</v>
      </c>
      <c r="Z151" s="10" t="s">
        <v>2749</v>
      </c>
    </row>
    <row r="152">
      <c r="A152" s="3" t="s">
        <v>48</v>
      </c>
      <c r="B152" s="4" t="s">
        <v>3780</v>
      </c>
      <c r="C152" s="1" t="s">
        <v>3781</v>
      </c>
      <c r="D152" s="3" t="s">
        <v>3782</v>
      </c>
      <c r="E152" s="1" t="s">
        <v>30</v>
      </c>
      <c r="F152" s="5">
        <v>12260.0</v>
      </c>
      <c r="G152" s="1" t="s">
        <v>31</v>
      </c>
      <c r="H152" s="3" t="s">
        <v>32</v>
      </c>
      <c r="I152" s="1">
        <v>-6.2297779</v>
      </c>
      <c r="J152" s="3">
        <v>106.758187</v>
      </c>
      <c r="K152" s="6" t="s">
        <v>3783</v>
      </c>
      <c r="L152" s="11">
        <f t="shared" si="1"/>
        <v>16013409.86</v>
      </c>
      <c r="M152" s="11">
        <f>3700000000/249</f>
        <v>14859437.75</v>
      </c>
      <c r="N152" s="11">
        <f>8000000000/466</f>
        <v>17167381.97</v>
      </c>
      <c r="Z152" s="10" t="s">
        <v>175</v>
      </c>
    </row>
    <row r="153">
      <c r="A153" s="3" t="s">
        <v>48</v>
      </c>
      <c r="B153" s="4" t="s">
        <v>3784</v>
      </c>
      <c r="C153" s="1" t="s">
        <v>3785</v>
      </c>
      <c r="D153" s="3" t="s">
        <v>3786</v>
      </c>
      <c r="E153" s="1" t="s">
        <v>30</v>
      </c>
      <c r="F153" s="5">
        <v>12270.0</v>
      </c>
      <c r="G153" s="1" t="s">
        <v>31</v>
      </c>
      <c r="H153" s="3" t="s">
        <v>32</v>
      </c>
      <c r="I153" s="1">
        <v>-6.2444748</v>
      </c>
      <c r="J153" s="3">
        <v>106.756694</v>
      </c>
      <c r="K153" s="6" t="s">
        <v>3787</v>
      </c>
      <c r="L153" s="11">
        <f t="shared" si="1"/>
        <v>26632838.93</v>
      </c>
      <c r="M153" s="11">
        <f>3400000000/122</f>
        <v>27868852.46</v>
      </c>
      <c r="N153" s="11">
        <f>3800000000/168</f>
        <v>22619047.62</v>
      </c>
      <c r="O153" s="11">
        <f>1750000000/61</f>
        <v>28688524.59</v>
      </c>
      <c r="P153" s="11">
        <f>1500000000/45</f>
        <v>33333333.33</v>
      </c>
      <c r="Q153" s="11">
        <f>3200000000/168</f>
        <v>19047619.05</v>
      </c>
      <c r="R153" s="11">
        <f>3200000000/126</f>
        <v>25396825.4</v>
      </c>
      <c r="Z153" s="10" t="s">
        <v>2774</v>
      </c>
    </row>
    <row r="154">
      <c r="A154" s="3" t="s">
        <v>48</v>
      </c>
      <c r="B154" s="4" t="s">
        <v>3788</v>
      </c>
      <c r="C154" s="1" t="s">
        <v>3789</v>
      </c>
      <c r="D154" s="3" t="s">
        <v>3790</v>
      </c>
      <c r="E154" s="1" t="s">
        <v>30</v>
      </c>
      <c r="F154" s="5">
        <v>12310.0</v>
      </c>
      <c r="G154" s="1" t="s">
        <v>31</v>
      </c>
      <c r="H154" s="3" t="s">
        <v>32</v>
      </c>
      <c r="I154" s="1">
        <v>-6.2650925</v>
      </c>
      <c r="J154" s="3">
        <v>106.7563384</v>
      </c>
      <c r="K154" s="6" t="s">
        <v>3791</v>
      </c>
      <c r="L154" s="11">
        <f t="shared" si="1"/>
        <v>14548611.11</v>
      </c>
      <c r="M154" s="11">
        <f>2800000000/180</f>
        <v>15555555.56</v>
      </c>
      <c r="N154" s="11">
        <f>1300000000/96</f>
        <v>13541666.67</v>
      </c>
      <c r="Z154" s="10" t="s">
        <v>2728</v>
      </c>
    </row>
    <row r="155">
      <c r="A155" s="3" t="s">
        <v>48</v>
      </c>
      <c r="B155" s="4" t="s">
        <v>3792</v>
      </c>
      <c r="C155" s="1" t="s">
        <v>3793</v>
      </c>
      <c r="D155" s="3" t="s">
        <v>3794</v>
      </c>
      <c r="E155" s="1" t="s">
        <v>30</v>
      </c>
      <c r="F155" s="5">
        <v>12320.0</v>
      </c>
      <c r="G155" s="1" t="s">
        <v>31</v>
      </c>
      <c r="H155" s="3" t="s">
        <v>32</v>
      </c>
      <c r="I155" s="1">
        <v>-6.2509938</v>
      </c>
      <c r="J155" s="3">
        <v>106.7527836</v>
      </c>
      <c r="K155" s="6" t="s">
        <v>3795</v>
      </c>
      <c r="L155" s="11">
        <f t="shared" si="1"/>
        <v>17857142.86</v>
      </c>
      <c r="M155" s="11">
        <f>1250000000/70</f>
        <v>17857142.86</v>
      </c>
      <c r="N155" s="11">
        <f>100000000000/8000</f>
        <v>12500000</v>
      </c>
      <c r="O155" s="11">
        <f>4900000000/270</f>
        <v>18148148.15</v>
      </c>
      <c r="Z155" s="10" t="s">
        <v>175</v>
      </c>
    </row>
    <row r="156">
      <c r="A156" s="3" t="s">
        <v>48</v>
      </c>
      <c r="B156" s="4" t="s">
        <v>3796</v>
      </c>
      <c r="C156" s="1" t="s">
        <v>3797</v>
      </c>
      <c r="D156" s="3" t="s">
        <v>3798</v>
      </c>
      <c r="E156" s="1" t="s">
        <v>30</v>
      </c>
      <c r="F156" s="5">
        <v>12320.0</v>
      </c>
      <c r="G156" s="1" t="s">
        <v>31</v>
      </c>
      <c r="H156" s="3" t="s">
        <v>32</v>
      </c>
      <c r="I156" s="1">
        <v>-6.2502086</v>
      </c>
      <c r="J156" s="3">
        <v>106.7563798</v>
      </c>
      <c r="K156" s="6" t="s">
        <v>3799</v>
      </c>
      <c r="L156" s="11" t="str">
        <f t="shared" si="1"/>
        <v/>
      </c>
      <c r="Z156" s="2" t="s">
        <v>34</v>
      </c>
    </row>
    <row r="157">
      <c r="A157" s="3" t="s">
        <v>48</v>
      </c>
      <c r="B157" s="4" t="s">
        <v>3800</v>
      </c>
      <c r="C157" s="1" t="s">
        <v>3801</v>
      </c>
      <c r="D157" s="3" t="s">
        <v>3802</v>
      </c>
      <c r="E157" s="1" t="s">
        <v>30</v>
      </c>
      <c r="F157" s="5">
        <v>12320.0</v>
      </c>
      <c r="G157" s="1" t="s">
        <v>31</v>
      </c>
      <c r="H157" s="3" t="s">
        <v>32</v>
      </c>
      <c r="I157" s="1">
        <v>-6.2629476</v>
      </c>
      <c r="J157" s="3">
        <v>106.7591784</v>
      </c>
      <c r="K157" s="6" t="s">
        <v>3803</v>
      </c>
      <c r="L157" s="11">
        <f t="shared" si="1"/>
        <v>15250000</v>
      </c>
      <c r="M157" s="11">
        <f>3500000000/150</f>
        <v>23333333.33</v>
      </c>
      <c r="N157" s="11">
        <f>3300000000/220</f>
        <v>15000000</v>
      </c>
      <c r="O157" s="11">
        <f>4000000000/375</f>
        <v>10666666.67</v>
      </c>
      <c r="P157" s="11">
        <f>3100000000/200</f>
        <v>15500000</v>
      </c>
      <c r="Z157" s="10" t="s">
        <v>2749</v>
      </c>
    </row>
    <row r="158">
      <c r="A158" s="3" t="s">
        <v>48</v>
      </c>
      <c r="B158" s="4" t="s">
        <v>3804</v>
      </c>
      <c r="C158" s="1" t="s">
        <v>3805</v>
      </c>
      <c r="D158" s="3" t="s">
        <v>3806</v>
      </c>
      <c r="E158" s="1" t="s">
        <v>30</v>
      </c>
      <c r="F158" s="5">
        <v>12330.0</v>
      </c>
      <c r="G158" s="1" t="s">
        <v>31</v>
      </c>
      <c r="H158" s="3" t="s">
        <v>32</v>
      </c>
      <c r="I158" s="1">
        <v>-6.2737371</v>
      </c>
      <c r="J158" s="3">
        <v>106.7643556</v>
      </c>
      <c r="K158" s="6" t="s">
        <v>3807</v>
      </c>
      <c r="L158" s="11" t="str">
        <f t="shared" si="1"/>
        <v/>
      </c>
      <c r="Z158" s="2" t="s">
        <v>34</v>
      </c>
    </row>
    <row r="159">
      <c r="A159" s="3" t="s">
        <v>48</v>
      </c>
      <c r="B159" s="4" t="s">
        <v>3298</v>
      </c>
      <c r="C159" s="1" t="s">
        <v>3808</v>
      </c>
      <c r="D159" s="3" t="s">
        <v>3809</v>
      </c>
      <c r="E159" s="1" t="s">
        <v>30</v>
      </c>
      <c r="F159" s="5">
        <v>12330.0</v>
      </c>
      <c r="G159" s="1" t="s">
        <v>31</v>
      </c>
      <c r="H159" s="3" t="s">
        <v>32</v>
      </c>
      <c r="I159" s="1">
        <v>-6.2667711</v>
      </c>
      <c r="J159" s="3">
        <v>106.7610428</v>
      </c>
      <c r="K159" s="6" t="s">
        <v>3810</v>
      </c>
      <c r="L159" s="11">
        <f t="shared" si="1"/>
        <v>30849462.37</v>
      </c>
      <c r="M159" s="11">
        <f>3990000000/149</f>
        <v>26778523.49</v>
      </c>
      <c r="N159" s="11">
        <f>7600000000/198</f>
        <v>38383838.38</v>
      </c>
      <c r="O159" s="11">
        <f>3250000000/89</f>
        <v>36516853.93</v>
      </c>
      <c r="P159" s="11">
        <f>8200000000/234</f>
        <v>35042735.04</v>
      </c>
      <c r="Q159" s="11">
        <f>3600000000/124</f>
        <v>29032258.06</v>
      </c>
      <c r="R159" s="11">
        <f>5400000000/200</f>
        <v>27000000</v>
      </c>
      <c r="S159" s="11">
        <f>4900000000/150</f>
        <v>32666666.67</v>
      </c>
      <c r="T159" s="11">
        <f>5800000000/200</f>
        <v>29000000</v>
      </c>
      <c r="U159" s="11">
        <f>8500000000/188</f>
        <v>45212765.96</v>
      </c>
      <c r="V159" s="11">
        <f>6300000000/320</f>
        <v>19687500</v>
      </c>
      <c r="Z159" s="10" t="s">
        <v>2774</v>
      </c>
    </row>
    <row r="160">
      <c r="A160" s="3" t="s">
        <v>48</v>
      </c>
      <c r="B160" s="4" t="s">
        <v>3811</v>
      </c>
      <c r="C160" s="1" t="s">
        <v>3812</v>
      </c>
      <c r="D160" s="3" t="s">
        <v>3813</v>
      </c>
      <c r="E160" s="1" t="s">
        <v>30</v>
      </c>
      <c r="F160" s="5">
        <v>12330.0</v>
      </c>
      <c r="G160" s="1" t="s">
        <v>31</v>
      </c>
      <c r="H160" s="3" t="s">
        <v>32</v>
      </c>
      <c r="I160" s="1">
        <v>-6.2643508</v>
      </c>
      <c r="J160" s="3">
        <v>106.7632214</v>
      </c>
      <c r="K160" s="6" t="s">
        <v>3814</v>
      </c>
      <c r="L160" s="11">
        <f t="shared" si="1"/>
        <v>13290020.21</v>
      </c>
      <c r="M160" s="11">
        <f>3400000000/262</f>
        <v>12977099.24</v>
      </c>
      <c r="N160" s="11">
        <f>1850000000/136</f>
        <v>13602941.18</v>
      </c>
      <c r="Z160" s="10" t="s">
        <v>175</v>
      </c>
    </row>
    <row r="161">
      <c r="A161" s="3" t="s">
        <v>48</v>
      </c>
      <c r="B161" s="4" t="s">
        <v>3815</v>
      </c>
      <c r="C161" s="1" t="s">
        <v>3816</v>
      </c>
      <c r="D161" s="3" t="s">
        <v>3817</v>
      </c>
      <c r="E161" s="1" t="s">
        <v>30</v>
      </c>
      <c r="F161" s="5">
        <v>12330.0</v>
      </c>
      <c r="G161" s="1" t="s">
        <v>31</v>
      </c>
      <c r="H161" s="3" t="s">
        <v>32</v>
      </c>
      <c r="I161" s="1">
        <v>-6.275579</v>
      </c>
      <c r="J161" s="3">
        <v>106.7666597</v>
      </c>
      <c r="K161" s="6" t="s">
        <v>3818</v>
      </c>
      <c r="L161" s="11">
        <f t="shared" si="1"/>
        <v>18534431.32</v>
      </c>
      <c r="M161" s="2">
        <f>3300000000/147</f>
        <v>22448979.59</v>
      </c>
      <c r="N161" s="11">
        <f>650000000/44.46</f>
        <v>14619883.04</v>
      </c>
      <c r="Z161" s="10" t="s">
        <v>2728</v>
      </c>
    </row>
    <row r="162">
      <c r="A162" s="3" t="s">
        <v>48</v>
      </c>
      <c r="B162" s="4" t="s">
        <v>3819</v>
      </c>
      <c r="C162" s="1" t="s">
        <v>3820</v>
      </c>
      <c r="D162" s="3" t="s">
        <v>3821</v>
      </c>
      <c r="E162" s="1" t="s">
        <v>30</v>
      </c>
      <c r="F162" s="5">
        <v>12330.0</v>
      </c>
      <c r="G162" s="1" t="s">
        <v>31</v>
      </c>
      <c r="H162" s="3" t="s">
        <v>32</v>
      </c>
      <c r="I162" s="1">
        <v>-6.2622478</v>
      </c>
      <c r="J162" s="3">
        <v>106.7725591</v>
      </c>
      <c r="K162" s="6" t="s">
        <v>3822</v>
      </c>
      <c r="L162" s="11">
        <f t="shared" si="1"/>
        <v>11574074.07</v>
      </c>
      <c r="M162" s="11">
        <f>3500000000/210</f>
        <v>16666666.67</v>
      </c>
      <c r="N162" s="11">
        <f>3000000000/272</f>
        <v>11029411.76</v>
      </c>
      <c r="O162" s="11">
        <f>6000000000/264</f>
        <v>22727272.73</v>
      </c>
      <c r="P162" s="11">
        <f>4500000000/471</f>
        <v>9554140.127</v>
      </c>
      <c r="Q162" s="11">
        <f>3500000000/300</f>
        <v>11666666.67</v>
      </c>
      <c r="R162" s="11">
        <f>2500000000/216</f>
        <v>11574074.07</v>
      </c>
      <c r="S162" s="11">
        <f>2750000000/272</f>
        <v>10110294.12</v>
      </c>
      <c r="Z162" s="10" t="s">
        <v>2728</v>
      </c>
    </row>
    <row r="163">
      <c r="A163" s="3" t="s">
        <v>48</v>
      </c>
      <c r="B163" s="4" t="s">
        <v>3823</v>
      </c>
      <c r="C163" s="1" t="s">
        <v>3824</v>
      </c>
      <c r="D163" s="3" t="s">
        <v>3825</v>
      </c>
      <c r="E163" s="1" t="s">
        <v>30</v>
      </c>
      <c r="F163" s="5">
        <v>12330.0</v>
      </c>
      <c r="G163" s="1" t="s">
        <v>31</v>
      </c>
      <c r="H163" s="3" t="s">
        <v>32</v>
      </c>
      <c r="I163" s="1">
        <v>-6.2724317</v>
      </c>
      <c r="J163" s="3">
        <v>106.768497</v>
      </c>
      <c r="K163" s="6" t="s">
        <v>3826</v>
      </c>
      <c r="L163" s="11">
        <f t="shared" si="1"/>
        <v>29982517.48</v>
      </c>
      <c r="M163" s="11">
        <f>5950000000/182</f>
        <v>32692307.69</v>
      </c>
      <c r="N163" s="11">
        <f>4950000000/131</f>
        <v>37786259.54</v>
      </c>
      <c r="O163" s="11">
        <f>5000000000/130</f>
        <v>38461538.46</v>
      </c>
      <c r="P163" s="11">
        <f>2500000000/120</f>
        <v>20833333.33</v>
      </c>
      <c r="Q163" s="11">
        <f>2400000000/107</f>
        <v>22429906.54</v>
      </c>
      <c r="R163" s="11">
        <f>2400000000/88</f>
        <v>27272727.27</v>
      </c>
      <c r="S163" s="11">
        <f>6000000000/144</f>
        <v>41666666.67</v>
      </c>
      <c r="T163" s="11">
        <f>6000000000/257</f>
        <v>23346303.5</v>
      </c>
      <c r="Z163" s="10" t="s">
        <v>2749</v>
      </c>
    </row>
    <row r="164">
      <c r="A164" s="3" t="s">
        <v>48</v>
      </c>
      <c r="B164" s="4" t="s">
        <v>3827</v>
      </c>
      <c r="C164" s="1" t="s">
        <v>3828</v>
      </c>
      <c r="D164" s="3" t="s">
        <v>3829</v>
      </c>
      <c r="E164" s="1" t="s">
        <v>30</v>
      </c>
      <c r="F164" s="5">
        <v>12330.0</v>
      </c>
      <c r="G164" s="1" t="s">
        <v>31</v>
      </c>
      <c r="H164" s="3" t="s">
        <v>32</v>
      </c>
      <c r="I164" s="1">
        <v>-6.2678208</v>
      </c>
      <c r="J164" s="3">
        <v>106.761215</v>
      </c>
      <c r="K164" s="6" t="s">
        <v>3830</v>
      </c>
      <c r="L164" s="11">
        <f t="shared" si="1"/>
        <v>25000000</v>
      </c>
      <c r="M164" s="11">
        <f>6000000000/240</f>
        <v>25000000</v>
      </c>
      <c r="N164" s="11">
        <f>4850000000/240</f>
        <v>20208333.33</v>
      </c>
      <c r="O164" s="11">
        <f>5500000000/200</f>
        <v>27500000</v>
      </c>
      <c r="Z164" s="10" t="s">
        <v>175</v>
      </c>
    </row>
    <row r="165">
      <c r="A165" s="3" t="s">
        <v>48</v>
      </c>
      <c r="B165" s="4" t="s">
        <v>3831</v>
      </c>
      <c r="C165" s="1" t="s">
        <v>3832</v>
      </c>
      <c r="D165" s="3" t="s">
        <v>3833</v>
      </c>
      <c r="E165" s="1" t="s">
        <v>30</v>
      </c>
      <c r="F165" s="5">
        <v>12950.0</v>
      </c>
      <c r="G165" s="1" t="s">
        <v>31</v>
      </c>
      <c r="H165" s="3" t="s">
        <v>32</v>
      </c>
      <c r="I165" s="1">
        <v>-6.2365947</v>
      </c>
      <c r="J165" s="3">
        <v>106.8348578</v>
      </c>
      <c r="K165" s="6" t="s">
        <v>3834</v>
      </c>
      <c r="L165" s="11" t="str">
        <f t="shared" si="1"/>
        <v/>
      </c>
      <c r="Z165" s="2" t="s">
        <v>34</v>
      </c>
    </row>
    <row r="166">
      <c r="A166" s="3" t="s">
        <v>48</v>
      </c>
      <c r="B166" s="4" t="s">
        <v>3835</v>
      </c>
      <c r="C166" s="1" t="s">
        <v>3836</v>
      </c>
      <c r="D166" s="3" t="s">
        <v>3837</v>
      </c>
      <c r="E166" s="1" t="s">
        <v>30</v>
      </c>
      <c r="F166" s="5">
        <v>12870.0</v>
      </c>
      <c r="G166" s="1" t="s">
        <v>31</v>
      </c>
      <c r="H166" s="3" t="s">
        <v>32</v>
      </c>
      <c r="I166" s="1">
        <v>-6.2382186</v>
      </c>
      <c r="J166" s="3">
        <v>106.842243</v>
      </c>
      <c r="K166" s="6" t="s">
        <v>3838</v>
      </c>
      <c r="L166" s="11">
        <f t="shared" si="1"/>
        <v>62500000</v>
      </c>
      <c r="M166" s="11">
        <f>30000000000/480</f>
        <v>62500000</v>
      </c>
      <c r="Z166" s="10" t="s">
        <v>175</v>
      </c>
    </row>
    <row r="167">
      <c r="A167" s="3" t="s">
        <v>48</v>
      </c>
      <c r="B167" s="4" t="s">
        <v>3839</v>
      </c>
      <c r="C167" s="1" t="s">
        <v>3840</v>
      </c>
      <c r="D167" s="3" t="s">
        <v>3841</v>
      </c>
      <c r="E167" s="1" t="s">
        <v>30</v>
      </c>
      <c r="F167" s="5">
        <v>12440.0</v>
      </c>
      <c r="G167" s="1" t="s">
        <v>31</v>
      </c>
      <c r="H167" s="3" t="s">
        <v>32</v>
      </c>
      <c r="I167" s="1">
        <v>-6.2934011</v>
      </c>
      <c r="J167" s="3">
        <v>106.7823337</v>
      </c>
      <c r="K167" s="6" t="s">
        <v>3842</v>
      </c>
      <c r="L167" s="11">
        <f t="shared" si="1"/>
        <v>28846153.85</v>
      </c>
      <c r="M167" s="11">
        <f>17000000000/500</f>
        <v>34000000</v>
      </c>
      <c r="N167" s="11">
        <f>9000000000/312</f>
        <v>28846153.85</v>
      </c>
      <c r="O167" s="11">
        <f>8700000000/335</f>
        <v>25970149.25</v>
      </c>
      <c r="Z167" s="10" t="s">
        <v>2728</v>
      </c>
    </row>
    <row r="168">
      <c r="A168" s="3" t="s">
        <v>48</v>
      </c>
      <c r="B168" s="4" t="s">
        <v>3843</v>
      </c>
      <c r="C168" s="1" t="s">
        <v>3844</v>
      </c>
      <c r="D168" s="3" t="s">
        <v>3845</v>
      </c>
      <c r="E168" s="1" t="s">
        <v>30</v>
      </c>
      <c r="F168" s="5">
        <v>12440.0</v>
      </c>
      <c r="G168" s="1" t="s">
        <v>31</v>
      </c>
      <c r="H168" s="3" t="s">
        <v>32</v>
      </c>
      <c r="I168" s="1">
        <v>-6.3132516</v>
      </c>
      <c r="J168" s="3">
        <v>106.7805765</v>
      </c>
      <c r="K168" s="6" t="s">
        <v>3846</v>
      </c>
      <c r="L168" s="11">
        <f t="shared" si="1"/>
        <v>30357142.86</v>
      </c>
      <c r="M168" s="11">
        <f>2500000000/84</f>
        <v>29761904.76</v>
      </c>
      <c r="N168" s="11">
        <f>1800000000/60</f>
        <v>30000000</v>
      </c>
      <c r="O168" s="11">
        <f>2550000000/84</f>
        <v>30357142.86</v>
      </c>
      <c r="P168" s="11">
        <f>3800000000/123</f>
        <v>30894308.94</v>
      </c>
      <c r="Q168" s="11">
        <f>4500000000/123</f>
        <v>36585365.85</v>
      </c>
      <c r="Z168" s="10" t="s">
        <v>2749</v>
      </c>
    </row>
    <row r="169">
      <c r="A169" s="3" t="s">
        <v>48</v>
      </c>
      <c r="B169" s="4" t="s">
        <v>3847</v>
      </c>
      <c r="C169" s="1" t="s">
        <v>3848</v>
      </c>
      <c r="D169" s="3" t="s">
        <v>3849</v>
      </c>
      <c r="E169" s="1" t="s">
        <v>30</v>
      </c>
      <c r="F169" s="5">
        <v>12440.0</v>
      </c>
      <c r="G169" s="1" t="s">
        <v>31</v>
      </c>
      <c r="H169" s="3" t="s">
        <v>32</v>
      </c>
      <c r="I169" s="1">
        <v>-6.2918866</v>
      </c>
      <c r="J169" s="3">
        <v>106.7683743</v>
      </c>
      <c r="K169" s="6" t="s">
        <v>3850</v>
      </c>
      <c r="L169" s="11">
        <f t="shared" si="1"/>
        <v>13688311.69</v>
      </c>
      <c r="M169" s="11">
        <f>2900000000/120</f>
        <v>24166666.67</v>
      </c>
      <c r="N169" s="11">
        <f>2500000000/126</f>
        <v>19841269.84</v>
      </c>
      <c r="O169" s="11">
        <f>4650000000/350</f>
        <v>13285714.29</v>
      </c>
      <c r="P169" s="11">
        <f>3900000000/314</f>
        <v>12420382.17</v>
      </c>
      <c r="Q169" s="11">
        <f>4600000000/350</f>
        <v>13142857.14</v>
      </c>
      <c r="R169" s="11">
        <f>2800000000/260</f>
        <v>10769230.77</v>
      </c>
      <c r="S169" s="11">
        <f>4800000000/317</f>
        <v>15141955.84</v>
      </c>
      <c r="T169" s="11">
        <f>3100000000/220</f>
        <v>14090909.09</v>
      </c>
      <c r="Z169" s="10" t="s">
        <v>175</v>
      </c>
    </row>
    <row r="170">
      <c r="A170" s="3" t="s">
        <v>48</v>
      </c>
      <c r="B170" s="4" t="s">
        <v>3851</v>
      </c>
      <c r="C170" s="1" t="s">
        <v>3852</v>
      </c>
      <c r="D170" s="3" t="s">
        <v>3853</v>
      </c>
      <c r="E170" s="1" t="s">
        <v>30</v>
      </c>
      <c r="F170" s="5">
        <v>12440.0</v>
      </c>
      <c r="G170" s="1" t="s">
        <v>31</v>
      </c>
      <c r="H170" s="3" t="s">
        <v>32</v>
      </c>
      <c r="I170" s="1">
        <v>-6.3087463</v>
      </c>
      <c r="J170" s="3">
        <v>106.7783979</v>
      </c>
      <c r="K170" s="6" t="s">
        <v>3854</v>
      </c>
      <c r="L170" s="11">
        <f t="shared" si="1"/>
        <v>26206821.8</v>
      </c>
      <c r="M170" s="11">
        <f>5200000000/187</f>
        <v>27807486.63</v>
      </c>
      <c r="N170" s="11">
        <f>3800000000/148</f>
        <v>25675675.68</v>
      </c>
      <c r="O170" s="11">
        <f>5000000000/187</f>
        <v>26737967.91</v>
      </c>
      <c r="P170" s="11">
        <f>2700000000/260</f>
        <v>10384615.38</v>
      </c>
      <c r="Z170" s="10" t="s">
        <v>175</v>
      </c>
    </row>
    <row r="171">
      <c r="A171" s="3" t="s">
        <v>48</v>
      </c>
      <c r="B171" s="4" t="s">
        <v>3390</v>
      </c>
      <c r="C171" s="1" t="s">
        <v>3855</v>
      </c>
      <c r="D171" s="3" t="s">
        <v>3856</v>
      </c>
      <c r="E171" s="1" t="s">
        <v>30</v>
      </c>
      <c r="F171" s="5">
        <v>12440.0</v>
      </c>
      <c r="G171" s="1" t="s">
        <v>31</v>
      </c>
      <c r="H171" s="3" t="s">
        <v>32</v>
      </c>
      <c r="I171" s="1">
        <v>-6.3073801</v>
      </c>
      <c r="J171" s="3">
        <v>106.7826586</v>
      </c>
      <c r="K171" s="6" t="s">
        <v>3857</v>
      </c>
      <c r="L171" s="11">
        <f t="shared" si="1"/>
        <v>19389671.36</v>
      </c>
      <c r="M171" s="11">
        <f>4000000000/213</f>
        <v>18779342.72</v>
      </c>
      <c r="N171" s="11">
        <f>4500000000/225</f>
        <v>20000000</v>
      </c>
      <c r="Z171" s="10" t="s">
        <v>2728</v>
      </c>
    </row>
    <row r="172">
      <c r="A172" s="3" t="s">
        <v>48</v>
      </c>
      <c r="B172" s="4" t="s">
        <v>3858</v>
      </c>
      <c r="C172" s="1" t="s">
        <v>3859</v>
      </c>
      <c r="D172" s="3" t="s">
        <v>3860</v>
      </c>
      <c r="E172" s="1" t="s">
        <v>30</v>
      </c>
      <c r="F172" s="5">
        <v>12450.0</v>
      </c>
      <c r="G172" s="1" t="s">
        <v>31</v>
      </c>
      <c r="H172" s="3" t="s">
        <v>32</v>
      </c>
      <c r="I172" s="1">
        <v>-6.3065935</v>
      </c>
      <c r="J172" s="3">
        <v>106.7922469</v>
      </c>
      <c r="K172" s="6" t="s">
        <v>3861</v>
      </c>
      <c r="L172" s="11">
        <f t="shared" si="1"/>
        <v>31250000</v>
      </c>
      <c r="M172" s="11">
        <f>5450000000/180</f>
        <v>30277777.78</v>
      </c>
      <c r="N172" s="11">
        <f>5800000000/180</f>
        <v>32222222.22</v>
      </c>
      <c r="Z172" s="10" t="s">
        <v>175</v>
      </c>
    </row>
    <row r="173">
      <c r="A173" s="3" t="s">
        <v>48</v>
      </c>
      <c r="B173" s="4" t="s">
        <v>3862</v>
      </c>
      <c r="C173" s="1" t="s">
        <v>3863</v>
      </c>
      <c r="D173" s="3" t="s">
        <v>3864</v>
      </c>
      <c r="E173" s="1" t="s">
        <v>30</v>
      </c>
      <c r="F173" s="5">
        <v>12430.0</v>
      </c>
      <c r="G173" s="1" t="s">
        <v>31</v>
      </c>
      <c r="H173" s="3" t="s">
        <v>32</v>
      </c>
      <c r="I173" s="1">
        <v>-6.3000762</v>
      </c>
      <c r="J173" s="3">
        <v>106.7924426</v>
      </c>
      <c r="K173" s="6" t="s">
        <v>3865</v>
      </c>
      <c r="L173" s="11">
        <f t="shared" si="1"/>
        <v>20659677.65</v>
      </c>
      <c r="M173" s="11">
        <f>5000000000/246</f>
        <v>20325203.25</v>
      </c>
      <c r="N173" s="11">
        <f>7180000000/342</f>
        <v>20994152.05</v>
      </c>
      <c r="Z173" s="10" t="s">
        <v>175</v>
      </c>
    </row>
    <row r="174">
      <c r="A174" s="3" t="s">
        <v>48</v>
      </c>
      <c r="B174" s="4" t="s">
        <v>3866</v>
      </c>
      <c r="C174" s="1" t="s">
        <v>3867</v>
      </c>
      <c r="D174" s="3" t="s">
        <v>3868</v>
      </c>
      <c r="E174" s="1" t="s">
        <v>30</v>
      </c>
      <c r="F174" s="5">
        <v>12450.0</v>
      </c>
      <c r="G174" s="1" t="s">
        <v>31</v>
      </c>
      <c r="H174" s="9">
        <v>8.79E10</v>
      </c>
      <c r="I174" s="1">
        <v>-6.3017081</v>
      </c>
      <c r="J174" s="3">
        <v>106.8008121</v>
      </c>
      <c r="K174" s="6" t="s">
        <v>3869</v>
      </c>
      <c r="L174" s="11">
        <f t="shared" si="1"/>
        <v>47426470.59</v>
      </c>
      <c r="M174" s="11">
        <f>4750000000/101</f>
        <v>47029702.97</v>
      </c>
      <c r="N174" s="11">
        <f>4800000000/102</f>
        <v>47058823.53</v>
      </c>
      <c r="O174" s="11">
        <f>5700000000/115</f>
        <v>49565217.39</v>
      </c>
      <c r="P174" s="11">
        <f>6500000000/136</f>
        <v>47794117.65</v>
      </c>
      <c r="Z174" s="10" t="s">
        <v>2749</v>
      </c>
    </row>
    <row r="175">
      <c r="A175" s="3" t="s">
        <v>48</v>
      </c>
      <c r="B175" s="4" t="s">
        <v>3870</v>
      </c>
      <c r="C175" s="1" t="s">
        <v>3871</v>
      </c>
      <c r="D175" s="3" t="s">
        <v>3872</v>
      </c>
      <c r="E175" s="1" t="s">
        <v>30</v>
      </c>
      <c r="F175" s="5">
        <v>12530.0</v>
      </c>
      <c r="G175" s="1" t="s">
        <v>31</v>
      </c>
      <c r="H175" s="3" t="s">
        <v>32</v>
      </c>
      <c r="I175" s="1">
        <v>-6.302744</v>
      </c>
      <c r="J175" s="3">
        <v>106.847363</v>
      </c>
      <c r="K175" s="6" t="s">
        <v>3873</v>
      </c>
      <c r="L175" s="11">
        <f t="shared" si="1"/>
        <v>32500000</v>
      </c>
      <c r="M175" s="11">
        <f>4000000000/115</f>
        <v>34782608.7</v>
      </c>
      <c r="N175" s="11">
        <f>3900000000/120</f>
        <v>32500000</v>
      </c>
      <c r="O175" s="11">
        <f>3100000000/135</f>
        <v>22962962.96</v>
      </c>
      <c r="Z175" s="10" t="s">
        <v>2728</v>
      </c>
    </row>
    <row r="176">
      <c r="A176" s="3" t="s">
        <v>48</v>
      </c>
      <c r="B176" s="4" t="s">
        <v>3874</v>
      </c>
      <c r="C176" s="1" t="s">
        <v>3875</v>
      </c>
      <c r="D176" s="3" t="s">
        <v>3876</v>
      </c>
      <c r="E176" s="1" t="s">
        <v>30</v>
      </c>
      <c r="F176" s="5">
        <v>12530.0</v>
      </c>
      <c r="G176" s="1" t="s">
        <v>31</v>
      </c>
      <c r="H176" s="3" t="s">
        <v>32</v>
      </c>
      <c r="I176" s="1">
        <v>-6.3157109</v>
      </c>
      <c r="J176" s="3">
        <v>106.850629</v>
      </c>
      <c r="K176" s="6" t="s">
        <v>3877</v>
      </c>
      <c r="L176" s="11">
        <f t="shared" si="1"/>
        <v>18461237.94</v>
      </c>
      <c r="M176" s="11">
        <f>29500000000/1320</f>
        <v>22348484.85</v>
      </c>
      <c r="N176" s="11">
        <f>6500000000/446</f>
        <v>14573991.03</v>
      </c>
      <c r="Z176" s="10" t="s">
        <v>3113</v>
      </c>
    </row>
    <row r="177">
      <c r="A177" s="3" t="s">
        <v>48</v>
      </c>
      <c r="B177" s="4" t="s">
        <v>3878</v>
      </c>
      <c r="C177" s="1" t="s">
        <v>3879</v>
      </c>
      <c r="D177" s="3" t="s">
        <v>3880</v>
      </c>
      <c r="E177" s="1" t="s">
        <v>30</v>
      </c>
      <c r="F177" s="5">
        <v>12530.0</v>
      </c>
      <c r="G177" s="1" t="s">
        <v>31</v>
      </c>
      <c r="H177" s="3" t="s">
        <v>32</v>
      </c>
      <c r="I177" s="1">
        <v>-6.3121473</v>
      </c>
      <c r="J177" s="3">
        <v>106.8500635</v>
      </c>
      <c r="K177" s="6" t="s">
        <v>3881</v>
      </c>
      <c r="L177" s="11" t="str">
        <f t="shared" si="1"/>
        <v/>
      </c>
      <c r="Z177" s="2" t="s">
        <v>34</v>
      </c>
    </row>
    <row r="178">
      <c r="A178" s="3" t="s">
        <v>48</v>
      </c>
      <c r="B178" s="4" t="s">
        <v>3882</v>
      </c>
      <c r="C178" s="1" t="s">
        <v>3883</v>
      </c>
      <c r="D178" s="3" t="s">
        <v>3884</v>
      </c>
      <c r="E178" s="1" t="s">
        <v>30</v>
      </c>
      <c r="F178" s="5">
        <v>12530.0</v>
      </c>
      <c r="G178" s="1" t="s">
        <v>31</v>
      </c>
      <c r="H178" s="3" t="s">
        <v>32</v>
      </c>
      <c r="I178" s="1">
        <v>-6.2991464</v>
      </c>
      <c r="J178" s="3">
        <v>106.8485316</v>
      </c>
      <c r="K178" s="6" t="s">
        <v>3885</v>
      </c>
      <c r="L178" s="11" t="str">
        <f t="shared" si="1"/>
        <v/>
      </c>
      <c r="Z178" s="2" t="s">
        <v>34</v>
      </c>
    </row>
    <row r="179">
      <c r="A179" s="3" t="s">
        <v>48</v>
      </c>
      <c r="B179" s="4" t="s">
        <v>3886</v>
      </c>
      <c r="C179" s="1" t="s">
        <v>3887</v>
      </c>
      <c r="D179" s="3" t="s">
        <v>3888</v>
      </c>
      <c r="E179" s="1" t="s">
        <v>30</v>
      </c>
      <c r="F179" s="5">
        <v>12620.0</v>
      </c>
      <c r="G179" s="1" t="s">
        <v>31</v>
      </c>
      <c r="H179" s="9">
        <v>2.18E8</v>
      </c>
      <c r="I179" s="1">
        <v>-6.3129116</v>
      </c>
      <c r="J179" s="3">
        <v>106.8126438</v>
      </c>
      <c r="K179" s="6" t="s">
        <v>3889</v>
      </c>
      <c r="L179" s="11">
        <f t="shared" si="1"/>
        <v>28571428.57</v>
      </c>
      <c r="M179" s="11">
        <f>5200000000/182</f>
        <v>28571428.57</v>
      </c>
      <c r="Z179" s="10" t="s">
        <v>2728</v>
      </c>
    </row>
    <row r="180">
      <c r="A180" s="3" t="s">
        <v>48</v>
      </c>
      <c r="B180" s="4" t="s">
        <v>3890</v>
      </c>
      <c r="C180" s="1" t="s">
        <v>3891</v>
      </c>
      <c r="D180" s="3" t="s">
        <v>3892</v>
      </c>
      <c r="E180" s="1" t="s">
        <v>30</v>
      </c>
      <c r="F180" s="5">
        <v>12620.0</v>
      </c>
      <c r="G180" s="1" t="s">
        <v>31</v>
      </c>
      <c r="H180" s="3" t="s">
        <v>32</v>
      </c>
      <c r="I180" s="1">
        <v>-6.3272083</v>
      </c>
      <c r="J180" s="3">
        <v>106.8202643</v>
      </c>
      <c r="K180" s="6" t="s">
        <v>3893</v>
      </c>
      <c r="L180" s="11">
        <f t="shared" si="1"/>
        <v>28828828.83</v>
      </c>
      <c r="M180" s="11">
        <f>3200000000/111</f>
        <v>28828828.83</v>
      </c>
      <c r="Z180" s="10" t="s">
        <v>3113</v>
      </c>
    </row>
    <row r="181">
      <c r="A181" s="3" t="s">
        <v>48</v>
      </c>
      <c r="B181" s="4" t="s">
        <v>3894</v>
      </c>
      <c r="C181" s="1" t="s">
        <v>3895</v>
      </c>
      <c r="D181" s="3" t="s">
        <v>3896</v>
      </c>
      <c r="E181" s="1" t="s">
        <v>30</v>
      </c>
      <c r="F181" s="5">
        <v>12620.0</v>
      </c>
      <c r="G181" s="1" t="s">
        <v>31</v>
      </c>
      <c r="H181" s="9">
        <v>8.12E9</v>
      </c>
      <c r="I181" s="1">
        <v>-6.3259747</v>
      </c>
      <c r="J181" s="3">
        <v>106.8255865</v>
      </c>
      <c r="K181" s="6" t="s">
        <v>3897</v>
      </c>
      <c r="L181" s="11">
        <f t="shared" si="1"/>
        <v>170329670.3</v>
      </c>
      <c r="M181" s="2">
        <f>15500000000/91</f>
        <v>170329670.3</v>
      </c>
      <c r="Z181" s="10" t="s">
        <v>3184</v>
      </c>
    </row>
    <row r="182">
      <c r="A182" s="3" t="s">
        <v>48</v>
      </c>
      <c r="B182" s="4" t="s">
        <v>3898</v>
      </c>
      <c r="C182" s="1" t="s">
        <v>3899</v>
      </c>
      <c r="D182" s="3" t="s">
        <v>3900</v>
      </c>
      <c r="E182" s="1" t="s">
        <v>30</v>
      </c>
      <c r="F182" s="5">
        <v>12620.0</v>
      </c>
      <c r="G182" s="1" t="s">
        <v>31</v>
      </c>
      <c r="H182" s="3" t="s">
        <v>32</v>
      </c>
      <c r="I182" s="1">
        <v>-6.3211714</v>
      </c>
      <c r="J182" s="3">
        <v>106.8222634</v>
      </c>
      <c r="K182" s="6" t="s">
        <v>3901</v>
      </c>
      <c r="L182" s="11">
        <f t="shared" si="1"/>
        <v>85275974.03</v>
      </c>
      <c r="M182" s="11">
        <f>13500000000/88</f>
        <v>153409090.9</v>
      </c>
      <c r="N182" s="11">
        <f>1200000000/70</f>
        <v>17142857.14</v>
      </c>
      <c r="Z182" s="10" t="s">
        <v>2749</v>
      </c>
    </row>
    <row r="183">
      <c r="A183" s="3" t="s">
        <v>48</v>
      </c>
      <c r="B183" s="4" t="s">
        <v>3902</v>
      </c>
      <c r="C183" s="1" t="s">
        <v>3903</v>
      </c>
      <c r="D183" s="3" t="s">
        <v>3904</v>
      </c>
      <c r="E183" s="1" t="s">
        <v>30</v>
      </c>
      <c r="F183" s="5">
        <v>12620.0</v>
      </c>
      <c r="G183" s="1" t="s">
        <v>31</v>
      </c>
      <c r="H183" s="3" t="s">
        <v>32</v>
      </c>
      <c r="I183" s="1">
        <v>-6.3288854</v>
      </c>
      <c r="J183" s="3">
        <v>106.824341</v>
      </c>
      <c r="K183" s="6" t="s">
        <v>3905</v>
      </c>
      <c r="L183" s="11" t="str">
        <f t="shared" si="1"/>
        <v/>
      </c>
      <c r="Z183" s="2" t="s">
        <v>34</v>
      </c>
    </row>
    <row r="184">
      <c r="A184" s="3" t="s">
        <v>48</v>
      </c>
      <c r="B184" s="4" t="s">
        <v>3906</v>
      </c>
      <c r="C184" s="1" t="s">
        <v>3907</v>
      </c>
      <c r="D184" s="3" t="s">
        <v>3908</v>
      </c>
      <c r="E184" s="1" t="s">
        <v>30</v>
      </c>
      <c r="F184" s="5">
        <v>12630.0</v>
      </c>
      <c r="G184" s="1" t="s">
        <v>31</v>
      </c>
      <c r="H184" s="9">
        <v>8.13E10</v>
      </c>
      <c r="I184" s="1">
        <v>-6.3484623</v>
      </c>
      <c r="J184" s="3">
        <v>106.803965</v>
      </c>
      <c r="K184" s="6" t="s">
        <v>3909</v>
      </c>
      <c r="L184" s="11">
        <f t="shared" si="1"/>
        <v>23333333.33</v>
      </c>
      <c r="M184" s="11">
        <f>1750000000/75</f>
        <v>23333333.33</v>
      </c>
      <c r="Z184" s="10" t="s">
        <v>175</v>
      </c>
    </row>
    <row r="185">
      <c r="A185" s="3" t="s">
        <v>48</v>
      </c>
      <c r="B185" s="4" t="s">
        <v>3910</v>
      </c>
      <c r="C185" s="1" t="s">
        <v>3911</v>
      </c>
      <c r="D185" s="3" t="s">
        <v>3912</v>
      </c>
      <c r="E185" s="1" t="s">
        <v>30</v>
      </c>
      <c r="F185" s="5">
        <v>12630.0</v>
      </c>
      <c r="G185" s="1" t="s">
        <v>31</v>
      </c>
      <c r="H185" s="3" t="s">
        <v>32</v>
      </c>
      <c r="I185" s="1">
        <v>-6.3242052</v>
      </c>
      <c r="J185" s="3">
        <v>106.8302294</v>
      </c>
      <c r="K185" s="6" t="s">
        <v>3913</v>
      </c>
      <c r="L185" s="11" t="str">
        <f t="shared" si="1"/>
        <v/>
      </c>
      <c r="Z185" s="2" t="s">
        <v>34</v>
      </c>
    </row>
    <row r="186">
      <c r="A186" s="3" t="s">
        <v>48</v>
      </c>
      <c r="B186" s="4" t="s">
        <v>3914</v>
      </c>
      <c r="C186" s="1" t="s">
        <v>3915</v>
      </c>
      <c r="D186" s="3" t="s">
        <v>3916</v>
      </c>
      <c r="E186" s="1" t="s">
        <v>30</v>
      </c>
      <c r="F186" s="5">
        <v>12630.0</v>
      </c>
      <c r="G186" s="1" t="s">
        <v>31</v>
      </c>
      <c r="H186" s="3" t="s">
        <v>32</v>
      </c>
      <c r="I186" s="1">
        <v>-6.3583489</v>
      </c>
      <c r="J186" s="3">
        <v>106.8091749</v>
      </c>
      <c r="K186" s="6" t="s">
        <v>3917</v>
      </c>
      <c r="L186" s="11">
        <f t="shared" si="1"/>
        <v>23026315.79</v>
      </c>
      <c r="M186" s="11">
        <f>875000000/38</f>
        <v>23026315.79</v>
      </c>
      <c r="Z186" s="10" t="s">
        <v>3918</v>
      </c>
    </row>
    <row r="187">
      <c r="A187" s="3" t="s">
        <v>48</v>
      </c>
      <c r="B187" s="4" t="s">
        <v>3919</v>
      </c>
      <c r="C187" s="1" t="s">
        <v>3920</v>
      </c>
      <c r="D187" s="3" t="s">
        <v>3921</v>
      </c>
      <c r="E187" s="1" t="s">
        <v>30</v>
      </c>
      <c r="F187" s="5">
        <v>12630.0</v>
      </c>
      <c r="G187" s="1" t="s">
        <v>31</v>
      </c>
      <c r="H187" s="3" t="s">
        <v>32</v>
      </c>
      <c r="I187" s="1">
        <v>-6.340954</v>
      </c>
      <c r="J187" s="3">
        <v>106.8174748</v>
      </c>
      <c r="K187" s="6" t="s">
        <v>3922</v>
      </c>
      <c r="L187" s="11">
        <f t="shared" si="1"/>
        <v>35307017.54</v>
      </c>
      <c r="M187" s="11">
        <f>4200000000/114</f>
        <v>36842105.26</v>
      </c>
      <c r="N187" s="11">
        <f>3850000000/114</f>
        <v>33771929.82</v>
      </c>
      <c r="Z187" s="10" t="s">
        <v>2749</v>
      </c>
    </row>
    <row r="188">
      <c r="A188" s="3" t="s">
        <v>48</v>
      </c>
      <c r="B188" s="4" t="s">
        <v>3923</v>
      </c>
      <c r="C188" s="1" t="s">
        <v>3924</v>
      </c>
      <c r="D188" s="3" t="s">
        <v>3925</v>
      </c>
      <c r="E188" s="1" t="s">
        <v>30</v>
      </c>
      <c r="F188" s="5">
        <v>12640.0</v>
      </c>
      <c r="G188" s="1" t="s">
        <v>31</v>
      </c>
      <c r="H188" s="3" t="s">
        <v>32</v>
      </c>
      <c r="I188" s="1">
        <v>-6.3492869</v>
      </c>
      <c r="J188" s="3">
        <v>106.8134516</v>
      </c>
      <c r="K188" s="6" t="s">
        <v>3926</v>
      </c>
      <c r="L188" s="11" t="str">
        <f t="shared" si="1"/>
        <v/>
      </c>
      <c r="Z188" s="2" t="s">
        <v>34</v>
      </c>
    </row>
    <row r="189">
      <c r="A189" s="3" t="s">
        <v>48</v>
      </c>
      <c r="B189" s="4" t="s">
        <v>3927</v>
      </c>
      <c r="C189" s="1" t="s">
        <v>3928</v>
      </c>
      <c r="D189" s="3" t="s">
        <v>3929</v>
      </c>
      <c r="E189" s="1" t="s">
        <v>30</v>
      </c>
      <c r="F189" s="5">
        <v>12640.0</v>
      </c>
      <c r="G189" s="1" t="s">
        <v>31</v>
      </c>
      <c r="H189" s="3" t="s">
        <v>32</v>
      </c>
      <c r="I189" s="1">
        <v>-6.335325</v>
      </c>
      <c r="J189" s="3">
        <v>106.8238533</v>
      </c>
      <c r="K189" s="6" t="s">
        <v>3930</v>
      </c>
      <c r="L189" s="11" t="str">
        <f t="shared" si="1"/>
        <v/>
      </c>
      <c r="Z189" s="2" t="s">
        <v>34</v>
      </c>
    </row>
    <row r="190">
      <c r="A190" s="3" t="s">
        <v>48</v>
      </c>
      <c r="B190" s="4" t="s">
        <v>3931</v>
      </c>
      <c r="C190" s="1" t="s">
        <v>3932</v>
      </c>
      <c r="D190" s="3" t="s">
        <v>3933</v>
      </c>
      <c r="E190" s="1" t="s">
        <v>30</v>
      </c>
      <c r="F190" s="5">
        <v>12110.0</v>
      </c>
      <c r="G190" s="1" t="s">
        <v>31</v>
      </c>
      <c r="H190" s="3" t="s">
        <v>32</v>
      </c>
      <c r="I190" s="1">
        <v>-6.232547</v>
      </c>
      <c r="J190" s="3">
        <v>106.8142111</v>
      </c>
      <c r="K190" s="6" t="s">
        <v>3934</v>
      </c>
      <c r="L190" s="11" t="str">
        <f t="shared" si="1"/>
        <v/>
      </c>
      <c r="Z190" s="2" t="s">
        <v>34</v>
      </c>
    </row>
    <row r="191">
      <c r="A191" s="3" t="s">
        <v>48</v>
      </c>
      <c r="B191" s="4" t="s">
        <v>3935</v>
      </c>
      <c r="C191" s="1" t="s">
        <v>3936</v>
      </c>
      <c r="D191" s="3" t="s">
        <v>3937</v>
      </c>
      <c r="E191" s="1" t="s">
        <v>30</v>
      </c>
      <c r="F191" s="5">
        <v>12120.0</v>
      </c>
      <c r="G191" s="1" t="s">
        <v>31</v>
      </c>
      <c r="H191" s="3" t="s">
        <v>32</v>
      </c>
      <c r="I191" s="1">
        <v>-6.2314047</v>
      </c>
      <c r="J191" s="3">
        <v>106.7923144</v>
      </c>
      <c r="K191" s="6" t="s">
        <v>3938</v>
      </c>
      <c r="L191" s="11">
        <f t="shared" si="1"/>
        <v>35211267.61</v>
      </c>
      <c r="M191" s="2">
        <f>94500000000/2102</f>
        <v>44957183.63</v>
      </c>
      <c r="N191" s="11">
        <f>10000000000/436</f>
        <v>22935779.82</v>
      </c>
      <c r="O191" s="11">
        <f>15000000000/426</f>
        <v>35211267.61</v>
      </c>
      <c r="Z191" s="10" t="s">
        <v>2749</v>
      </c>
    </row>
    <row r="192">
      <c r="A192" s="3" t="s">
        <v>48</v>
      </c>
      <c r="B192" s="4" t="s">
        <v>3939</v>
      </c>
      <c r="C192" s="1" t="s">
        <v>3940</v>
      </c>
      <c r="D192" s="3" t="s">
        <v>3941</v>
      </c>
      <c r="E192" s="1" t="s">
        <v>30</v>
      </c>
      <c r="F192" s="5">
        <v>12130.0</v>
      </c>
      <c r="G192" s="1" t="s">
        <v>31</v>
      </c>
      <c r="H192" s="3" t="s">
        <v>32</v>
      </c>
      <c r="I192" s="1">
        <v>-6.2403347</v>
      </c>
      <c r="J192" s="3">
        <v>106.7865307</v>
      </c>
      <c r="K192" s="6" t="s">
        <v>3942</v>
      </c>
      <c r="L192" s="11" t="str">
        <f t="shared" si="1"/>
        <v/>
      </c>
      <c r="Z192" s="2" t="s">
        <v>34</v>
      </c>
    </row>
    <row r="193">
      <c r="A193" s="3" t="s">
        <v>48</v>
      </c>
      <c r="B193" s="4" t="s">
        <v>3943</v>
      </c>
      <c r="C193" s="1" t="s">
        <v>3944</v>
      </c>
      <c r="D193" s="3" t="s">
        <v>3945</v>
      </c>
      <c r="E193" s="1" t="s">
        <v>30</v>
      </c>
      <c r="F193" s="3" t="s">
        <v>32</v>
      </c>
      <c r="G193" s="1" t="s">
        <v>31</v>
      </c>
      <c r="H193" s="3" t="s">
        <v>32</v>
      </c>
      <c r="I193" s="1">
        <v>-6.2477927</v>
      </c>
      <c r="J193" s="3">
        <v>106.7905257</v>
      </c>
      <c r="K193" s="6" t="s">
        <v>3946</v>
      </c>
      <c r="L193" s="11" t="str">
        <f t="shared" si="1"/>
        <v/>
      </c>
      <c r="Z193" s="2" t="s">
        <v>34</v>
      </c>
    </row>
    <row r="194">
      <c r="A194" s="3" t="s">
        <v>48</v>
      </c>
      <c r="B194" s="4" t="s">
        <v>3947</v>
      </c>
      <c r="C194" s="1" t="s">
        <v>3948</v>
      </c>
      <c r="D194" s="3" t="s">
        <v>3949</v>
      </c>
      <c r="E194" s="1" t="s">
        <v>30</v>
      </c>
      <c r="F194" s="5">
        <v>12150.0</v>
      </c>
      <c r="G194" s="1" t="s">
        <v>31</v>
      </c>
      <c r="H194" s="3" t="s">
        <v>32</v>
      </c>
      <c r="I194" s="1">
        <v>-6.2638395</v>
      </c>
      <c r="J194" s="3">
        <v>106.8040967</v>
      </c>
      <c r="K194" s="6" t="s">
        <v>3950</v>
      </c>
      <c r="L194" s="11" t="str">
        <f t="shared" si="1"/>
        <v/>
      </c>
      <c r="Z194" s="2" t="s">
        <v>34</v>
      </c>
    </row>
    <row r="195">
      <c r="A195" s="3" t="s">
        <v>48</v>
      </c>
      <c r="B195" s="4" t="s">
        <v>3951</v>
      </c>
      <c r="C195" s="1" t="s">
        <v>3952</v>
      </c>
      <c r="D195" s="3" t="s">
        <v>3945</v>
      </c>
      <c r="E195" s="1" t="s">
        <v>30</v>
      </c>
      <c r="F195" s="3" t="s">
        <v>32</v>
      </c>
      <c r="G195" s="1" t="s">
        <v>31</v>
      </c>
      <c r="H195" s="9">
        <v>8.13E10</v>
      </c>
      <c r="I195" s="1">
        <v>-6.2211716</v>
      </c>
      <c r="J195" s="3">
        <v>106.7948717</v>
      </c>
      <c r="K195" s="6" t="s">
        <v>3953</v>
      </c>
      <c r="L195" s="11">
        <f t="shared" si="1"/>
        <v>137931039.2</v>
      </c>
      <c r="M195" s="11">
        <f>60000002048/435</f>
        <v>137931039.2</v>
      </c>
      <c r="Z195" s="10" t="s">
        <v>3954</v>
      </c>
    </row>
    <row r="196">
      <c r="A196" s="3" t="s">
        <v>48</v>
      </c>
      <c r="B196" s="4" t="s">
        <v>3955</v>
      </c>
      <c r="C196" s="1" t="s">
        <v>3956</v>
      </c>
      <c r="D196" s="3" t="s">
        <v>3957</v>
      </c>
      <c r="E196" s="1" t="s">
        <v>30</v>
      </c>
      <c r="F196" s="5">
        <v>12220.0</v>
      </c>
      <c r="G196" s="1" t="s">
        <v>31</v>
      </c>
      <c r="H196" s="3" t="s">
        <v>32</v>
      </c>
      <c r="I196" s="1">
        <v>-6.2324811</v>
      </c>
      <c r="J196" s="3">
        <v>106.7673345</v>
      </c>
      <c r="K196" s="6" t="s">
        <v>3958</v>
      </c>
      <c r="L196" s="11">
        <f t="shared" si="1"/>
        <v>22456940.41</v>
      </c>
      <c r="M196" s="11">
        <f>4500000000/140</f>
        <v>32142857.14</v>
      </c>
      <c r="N196" s="11">
        <f>3500000000/169</f>
        <v>20710059.17</v>
      </c>
      <c r="O196" s="11">
        <f>3800000000/157</f>
        <v>24203821.66</v>
      </c>
      <c r="P196" s="11">
        <f>2550000000/169</f>
        <v>15088757.4</v>
      </c>
      <c r="Z196" s="10" t="s">
        <v>2749</v>
      </c>
    </row>
    <row r="197">
      <c r="A197" s="3" t="s">
        <v>48</v>
      </c>
      <c r="B197" s="4" t="s">
        <v>3959</v>
      </c>
      <c r="C197" s="1" t="s">
        <v>3960</v>
      </c>
      <c r="D197" s="3" t="s">
        <v>3961</v>
      </c>
      <c r="E197" s="1" t="s">
        <v>30</v>
      </c>
      <c r="F197" s="5">
        <v>12230.0</v>
      </c>
      <c r="G197" s="1" t="s">
        <v>31</v>
      </c>
      <c r="H197" s="3" t="s">
        <v>32</v>
      </c>
      <c r="I197" s="1">
        <v>-6.2345573</v>
      </c>
      <c r="J197" s="3">
        <v>106.7723099</v>
      </c>
      <c r="K197" s="6" t="s">
        <v>3962</v>
      </c>
      <c r="L197" s="11">
        <f t="shared" si="1"/>
        <v>26226415.09</v>
      </c>
      <c r="M197" s="11">
        <f>13900000000/530</f>
        <v>26226415.09</v>
      </c>
      <c r="Z197" s="10" t="s">
        <v>175</v>
      </c>
    </row>
    <row r="198">
      <c r="A198" s="3" t="s">
        <v>48</v>
      </c>
      <c r="B198" s="4" t="s">
        <v>3963</v>
      </c>
      <c r="C198" s="1" t="s">
        <v>3964</v>
      </c>
      <c r="D198" s="3" t="s">
        <v>3965</v>
      </c>
      <c r="E198" s="1" t="s">
        <v>30</v>
      </c>
      <c r="F198" s="5">
        <v>12310.0</v>
      </c>
      <c r="G198" s="1" t="s">
        <v>31</v>
      </c>
      <c r="H198" s="3" t="s">
        <v>32</v>
      </c>
      <c r="I198" s="1">
        <v>-6.2694612</v>
      </c>
      <c r="J198" s="3">
        <v>106.7715051</v>
      </c>
      <c r="K198" s="6" t="s">
        <v>3966</v>
      </c>
      <c r="L198" s="11">
        <f t="shared" si="1"/>
        <v>22429906.54</v>
      </c>
      <c r="M198" s="11">
        <f>2500000000/120</f>
        <v>20833333.33</v>
      </c>
      <c r="N198" s="11">
        <f>2400000000/107</f>
        <v>22429906.54</v>
      </c>
      <c r="O198" s="11">
        <f>2400000000/88</f>
        <v>27272727.27</v>
      </c>
      <c r="Z198" s="10" t="s">
        <v>2749</v>
      </c>
    </row>
    <row r="199">
      <c r="A199" s="3" t="s">
        <v>48</v>
      </c>
      <c r="B199" s="4" t="s">
        <v>3967</v>
      </c>
      <c r="C199" s="1" t="s">
        <v>3968</v>
      </c>
      <c r="D199" s="3" t="s">
        <v>3945</v>
      </c>
      <c r="E199" s="1" t="s">
        <v>30</v>
      </c>
      <c r="F199" s="3" t="s">
        <v>32</v>
      </c>
      <c r="G199" s="1" t="s">
        <v>31</v>
      </c>
      <c r="H199" s="3" t="s">
        <v>32</v>
      </c>
      <c r="I199" s="1">
        <v>-6.2445532</v>
      </c>
      <c r="J199" s="3">
        <v>106.8213501</v>
      </c>
      <c r="K199" s="6" t="s">
        <v>3969</v>
      </c>
      <c r="L199" s="11" t="str">
        <f t="shared" si="1"/>
        <v/>
      </c>
      <c r="Z199" s="2" t="s">
        <v>34</v>
      </c>
    </row>
    <row r="200">
      <c r="A200" s="3" t="s">
        <v>48</v>
      </c>
      <c r="B200" s="4" t="s">
        <v>3970</v>
      </c>
      <c r="C200" s="1" t="s">
        <v>3971</v>
      </c>
      <c r="D200" s="3" t="s">
        <v>3972</v>
      </c>
      <c r="E200" s="1" t="s">
        <v>30</v>
      </c>
      <c r="F200" s="5">
        <v>12720.0</v>
      </c>
      <c r="G200" s="1" t="s">
        <v>31</v>
      </c>
      <c r="H200" s="3" t="s">
        <v>32</v>
      </c>
      <c r="I200" s="1">
        <v>-6.2514219</v>
      </c>
      <c r="J200" s="3">
        <v>106.8165332</v>
      </c>
      <c r="K200" s="6" t="s">
        <v>3973</v>
      </c>
      <c r="L200" s="11" t="str">
        <f t="shared" si="1"/>
        <v/>
      </c>
      <c r="Z200" s="2" t="s">
        <v>34</v>
      </c>
    </row>
    <row r="201">
      <c r="A201" s="3" t="s">
        <v>48</v>
      </c>
      <c r="B201" s="4" t="s">
        <v>3974</v>
      </c>
      <c r="C201" s="1" t="s">
        <v>3975</v>
      </c>
      <c r="D201" s="3" t="s">
        <v>3976</v>
      </c>
      <c r="E201" s="1" t="s">
        <v>30</v>
      </c>
      <c r="F201" s="5">
        <v>12740.0</v>
      </c>
      <c r="G201" s="1" t="s">
        <v>31</v>
      </c>
      <c r="H201" s="3" t="s">
        <v>32</v>
      </c>
      <c r="I201" s="1">
        <v>-6.2633515</v>
      </c>
      <c r="J201" s="3">
        <v>106.8420273</v>
      </c>
      <c r="K201" s="6" t="s">
        <v>3977</v>
      </c>
      <c r="L201" s="11">
        <f t="shared" si="1"/>
        <v>65413533.83</v>
      </c>
      <c r="M201" s="2">
        <f>8700000000/133</f>
        <v>65413533.83</v>
      </c>
      <c r="Z201" s="10" t="s">
        <v>2749</v>
      </c>
    </row>
    <row r="202">
      <c r="A202" s="3" t="s">
        <v>48</v>
      </c>
      <c r="B202" s="4" t="s">
        <v>3978</v>
      </c>
      <c r="C202" s="1" t="s">
        <v>3979</v>
      </c>
      <c r="D202" s="3" t="s">
        <v>3980</v>
      </c>
      <c r="E202" s="1" t="s">
        <v>30</v>
      </c>
      <c r="F202" s="5">
        <v>12510.0</v>
      </c>
      <c r="G202" s="1" t="s">
        <v>31</v>
      </c>
      <c r="H202" s="3" t="s">
        <v>32</v>
      </c>
      <c r="I202" s="1">
        <v>-6.2670242</v>
      </c>
      <c r="J202" s="3">
        <v>106.83848</v>
      </c>
      <c r="K202" s="6" t="s">
        <v>3981</v>
      </c>
      <c r="L202" s="11" t="str">
        <f t="shared" si="1"/>
        <v/>
      </c>
      <c r="Z202" s="2" t="s">
        <v>34</v>
      </c>
    </row>
    <row r="203">
      <c r="A203" s="3" t="s">
        <v>48</v>
      </c>
      <c r="B203" s="4" t="s">
        <v>3982</v>
      </c>
      <c r="C203" s="1" t="s">
        <v>3983</v>
      </c>
      <c r="D203" s="3" t="s">
        <v>3984</v>
      </c>
      <c r="E203" s="1" t="s">
        <v>30</v>
      </c>
      <c r="F203" s="5">
        <v>12510.0</v>
      </c>
      <c r="G203" s="1" t="s">
        <v>31</v>
      </c>
      <c r="H203" s="3" t="s">
        <v>32</v>
      </c>
      <c r="I203" s="1">
        <v>-6.2717055</v>
      </c>
      <c r="J203" s="3">
        <v>106.8459846</v>
      </c>
      <c r="K203" s="6" t="s">
        <v>3985</v>
      </c>
      <c r="L203" s="11" t="str">
        <f t="shared" si="1"/>
        <v/>
      </c>
      <c r="Z203" s="2" t="s">
        <v>34</v>
      </c>
    </row>
    <row r="204">
      <c r="A204" s="3" t="s">
        <v>48</v>
      </c>
      <c r="B204" s="4" t="s">
        <v>3986</v>
      </c>
      <c r="C204" s="1" t="s">
        <v>3987</v>
      </c>
      <c r="D204" s="3" t="s">
        <v>3988</v>
      </c>
      <c r="E204" s="1" t="s">
        <v>30</v>
      </c>
      <c r="F204" s="5">
        <v>12510.0</v>
      </c>
      <c r="G204" s="1" t="s">
        <v>31</v>
      </c>
      <c r="H204" s="3" t="s">
        <v>32</v>
      </c>
      <c r="I204" s="1">
        <v>-6.2733897</v>
      </c>
      <c r="J204" s="3">
        <v>106.8434733</v>
      </c>
      <c r="K204" s="6" t="s">
        <v>3989</v>
      </c>
      <c r="L204" s="11">
        <f t="shared" si="1"/>
        <v>30000000</v>
      </c>
      <c r="M204" s="11">
        <f>4500000000/150</f>
        <v>30000000</v>
      </c>
      <c r="N204" s="11">
        <f>4100000000/200</f>
        <v>20500000</v>
      </c>
      <c r="O204" s="11">
        <f>3500000000/109</f>
        <v>32110091.74</v>
      </c>
      <c r="Z204" s="10" t="s">
        <v>2728</v>
      </c>
    </row>
    <row r="205">
      <c r="A205" s="3" t="s">
        <v>48</v>
      </c>
      <c r="B205" s="4" t="s">
        <v>3990</v>
      </c>
      <c r="C205" s="1" t="s">
        <v>3991</v>
      </c>
      <c r="D205" s="3" t="s">
        <v>3992</v>
      </c>
      <c r="E205" s="1" t="s">
        <v>30</v>
      </c>
      <c r="F205" s="5">
        <v>12520.0</v>
      </c>
      <c r="G205" s="1" t="s">
        <v>31</v>
      </c>
      <c r="H205" s="3" t="s">
        <v>32</v>
      </c>
      <c r="I205" s="1">
        <v>-6.3198059</v>
      </c>
      <c r="J205" s="3">
        <v>106.8327024</v>
      </c>
      <c r="K205" s="6" t="s">
        <v>3993</v>
      </c>
      <c r="L205" s="11">
        <f t="shared" si="1"/>
        <v>25000000</v>
      </c>
      <c r="M205" s="11">
        <f>2750000000/113</f>
        <v>24336283.19</v>
      </c>
      <c r="N205" s="11">
        <f>2900000000/113</f>
        <v>25663716.81</v>
      </c>
      <c r="Z205" s="10" t="s">
        <v>2774</v>
      </c>
    </row>
    <row r="206">
      <c r="A206" s="3" t="s">
        <v>48</v>
      </c>
      <c r="B206" s="4" t="s">
        <v>3994</v>
      </c>
      <c r="C206" s="1" t="s">
        <v>3995</v>
      </c>
      <c r="D206" s="3" t="s">
        <v>3996</v>
      </c>
      <c r="E206" s="1" t="s">
        <v>30</v>
      </c>
      <c r="F206" s="5">
        <v>12520.0</v>
      </c>
      <c r="G206" s="1" t="s">
        <v>31</v>
      </c>
      <c r="H206" s="3" t="s">
        <v>32</v>
      </c>
      <c r="I206" s="1">
        <v>-6.2987255</v>
      </c>
      <c r="J206" s="3">
        <v>106.8370383</v>
      </c>
      <c r="K206" s="6" t="s">
        <v>3997</v>
      </c>
      <c r="L206" s="11">
        <f t="shared" si="1"/>
        <v>13711322.68</v>
      </c>
      <c r="M206" s="11">
        <f>2200000000/173</f>
        <v>12716763.01</v>
      </c>
      <c r="N206" s="11">
        <f>2000000000/136</f>
        <v>14705882.35</v>
      </c>
      <c r="Z206" s="10" t="s">
        <v>175</v>
      </c>
    </row>
    <row r="207">
      <c r="A207" s="3" t="s">
        <v>48</v>
      </c>
      <c r="B207" s="4" t="s">
        <v>3998</v>
      </c>
      <c r="C207" s="1" t="s">
        <v>3999</v>
      </c>
      <c r="D207" s="3" t="s">
        <v>4000</v>
      </c>
      <c r="E207" s="1" t="s">
        <v>30</v>
      </c>
      <c r="F207" s="5">
        <v>12550.0</v>
      </c>
      <c r="G207" s="1" t="s">
        <v>31</v>
      </c>
      <c r="H207" s="3" t="s">
        <v>32</v>
      </c>
      <c r="I207" s="1">
        <v>-6.3037539</v>
      </c>
      <c r="J207" s="3">
        <v>106.8193234</v>
      </c>
      <c r="K207" s="6" t="s">
        <v>4001</v>
      </c>
      <c r="L207" s="11">
        <f t="shared" si="1"/>
        <v>20000000</v>
      </c>
      <c r="M207" s="11">
        <f>2800000000/139</f>
        <v>20143884.89</v>
      </c>
      <c r="N207" s="11">
        <f>1600000000/90</f>
        <v>17777777.78</v>
      </c>
      <c r="O207" s="11">
        <f>1800000000/90</f>
        <v>20000000</v>
      </c>
      <c r="Z207" s="10" t="s">
        <v>175</v>
      </c>
    </row>
    <row r="208">
      <c r="A208" s="3" t="s">
        <v>48</v>
      </c>
      <c r="B208" s="4" t="s">
        <v>4002</v>
      </c>
      <c r="C208" s="1" t="s">
        <v>4003</v>
      </c>
      <c r="D208" s="3" t="s">
        <v>4004</v>
      </c>
      <c r="E208" s="1" t="s">
        <v>30</v>
      </c>
      <c r="F208" s="5">
        <v>12550.0</v>
      </c>
      <c r="G208" s="1" t="s">
        <v>31</v>
      </c>
      <c r="H208" s="3" t="s">
        <v>32</v>
      </c>
      <c r="I208" s="1">
        <v>-6.3034129</v>
      </c>
      <c r="J208" s="3">
        <v>106.8220137</v>
      </c>
      <c r="K208" s="6" t="s">
        <v>4005</v>
      </c>
      <c r="L208" s="11">
        <f t="shared" si="1"/>
        <v>24780701.75</v>
      </c>
      <c r="M208" s="11">
        <f>2750000000/114</f>
        <v>24122807.02</v>
      </c>
      <c r="N208" s="11">
        <f>2900000000/114</f>
        <v>25438596.49</v>
      </c>
      <c r="Z208" s="10" t="s">
        <v>175</v>
      </c>
    </row>
    <row r="209">
      <c r="A209" s="3" t="s">
        <v>48</v>
      </c>
      <c r="B209" s="4" t="s">
        <v>4006</v>
      </c>
      <c r="C209" s="1" t="s">
        <v>4007</v>
      </c>
      <c r="D209" s="3" t="s">
        <v>4008</v>
      </c>
      <c r="E209" s="1" t="s">
        <v>30</v>
      </c>
      <c r="F209" s="5">
        <v>12250.0</v>
      </c>
      <c r="G209" s="1" t="s">
        <v>31</v>
      </c>
      <c r="H209" s="3" t="s">
        <v>32</v>
      </c>
      <c r="I209" s="1">
        <v>-6.232856</v>
      </c>
      <c r="J209" s="3">
        <v>106.760484</v>
      </c>
      <c r="K209" s="6" t="s">
        <v>4009</v>
      </c>
      <c r="L209" s="11">
        <f t="shared" si="1"/>
        <v>11149906.89</v>
      </c>
      <c r="M209" s="11">
        <f>1650000000/198</f>
        <v>8333333.333</v>
      </c>
      <c r="N209" s="11">
        <f>2500000000/179</f>
        <v>13966480.45</v>
      </c>
      <c r="Z209" s="10" t="s">
        <v>2749</v>
      </c>
    </row>
    <row r="210">
      <c r="A210" s="3" t="s">
        <v>48</v>
      </c>
      <c r="B210" s="4" t="s">
        <v>4010</v>
      </c>
      <c r="C210" s="1" t="s">
        <v>4011</v>
      </c>
      <c r="D210" s="3" t="s">
        <v>4012</v>
      </c>
      <c r="E210" s="1" t="s">
        <v>30</v>
      </c>
      <c r="F210" s="5">
        <v>12250.0</v>
      </c>
      <c r="G210" s="1" t="s">
        <v>31</v>
      </c>
      <c r="H210" s="3" t="s">
        <v>32</v>
      </c>
      <c r="I210" s="1">
        <v>-6.2301816</v>
      </c>
      <c r="J210" s="3">
        <v>106.7612751</v>
      </c>
      <c r="K210" s="6" t="s">
        <v>4013</v>
      </c>
      <c r="L210" s="11">
        <f t="shared" si="1"/>
        <v>25793650.79</v>
      </c>
      <c r="M210" s="11">
        <f>2970000000/126</f>
        <v>23571428.57</v>
      </c>
      <c r="N210" s="11">
        <f>3500000000/126</f>
        <v>27777777.78</v>
      </c>
      <c r="O210" s="11">
        <f>3250000000/126</f>
        <v>25793650.79</v>
      </c>
      <c r="Z210" s="10" t="s">
        <v>175</v>
      </c>
    </row>
    <row r="211">
      <c r="A211" s="3" t="s">
        <v>48</v>
      </c>
      <c r="B211" s="4" t="s">
        <v>4014</v>
      </c>
      <c r="C211" s="1" t="s">
        <v>4015</v>
      </c>
      <c r="D211" s="3" t="s">
        <v>4016</v>
      </c>
      <c r="E211" s="1" t="s">
        <v>30</v>
      </c>
      <c r="F211" s="5">
        <v>12260.0</v>
      </c>
      <c r="G211" s="1" t="s">
        <v>31</v>
      </c>
      <c r="H211" s="9">
        <v>8.21E10</v>
      </c>
      <c r="I211" s="1">
        <v>-6.224775</v>
      </c>
      <c r="J211" s="3">
        <v>106.74722</v>
      </c>
      <c r="K211" s="6" t="s">
        <v>4017</v>
      </c>
      <c r="L211" s="11">
        <f t="shared" si="1"/>
        <v>20830838.07</v>
      </c>
      <c r="M211" s="2">
        <f>3900000000/149</f>
        <v>26174496.64</v>
      </c>
      <c r="N211" s="11">
        <f>3020000000/195</f>
        <v>15487179.49</v>
      </c>
      <c r="Z211" s="10" t="s">
        <v>2774</v>
      </c>
    </row>
    <row r="212">
      <c r="A212" s="3" t="s">
        <v>48</v>
      </c>
      <c r="B212" s="4" t="s">
        <v>4018</v>
      </c>
      <c r="C212" s="1" t="s">
        <v>4019</v>
      </c>
      <c r="D212" s="3" t="s">
        <v>4020</v>
      </c>
      <c r="E212" s="1" t="s">
        <v>30</v>
      </c>
      <c r="F212" s="5">
        <v>12320.0</v>
      </c>
      <c r="G212" s="1" t="s">
        <v>31</v>
      </c>
      <c r="H212" s="3" t="s">
        <v>32</v>
      </c>
      <c r="I212" s="1">
        <v>-6.2572403</v>
      </c>
      <c r="J212" s="3">
        <v>106.7582934</v>
      </c>
      <c r="K212" s="6" t="s">
        <v>4021</v>
      </c>
      <c r="L212" s="11">
        <f t="shared" si="1"/>
        <v>32202881.15</v>
      </c>
      <c r="M212" s="11">
        <f>7500000000/150</f>
        <v>50000000</v>
      </c>
      <c r="N212" s="11">
        <f>12000000000/833</f>
        <v>14405762.3</v>
      </c>
      <c r="Z212" s="10" t="s">
        <v>175</v>
      </c>
    </row>
    <row r="213">
      <c r="A213" s="3" t="s">
        <v>48</v>
      </c>
      <c r="B213" s="4" t="s">
        <v>4022</v>
      </c>
      <c r="C213" s="1" t="s">
        <v>4023</v>
      </c>
      <c r="D213" s="3" t="s">
        <v>4024</v>
      </c>
      <c r="E213" s="1" t="s">
        <v>30</v>
      </c>
      <c r="F213" s="5">
        <v>12330.0</v>
      </c>
      <c r="G213" s="1" t="s">
        <v>31</v>
      </c>
      <c r="H213" s="9">
        <v>2.17E8</v>
      </c>
      <c r="I213" s="1">
        <v>-6.2629323</v>
      </c>
      <c r="J213" s="3">
        <v>106.7687134</v>
      </c>
      <c r="K213" s="6" t="s">
        <v>4025</v>
      </c>
      <c r="L213" s="11">
        <f t="shared" si="1"/>
        <v>19500000</v>
      </c>
      <c r="M213" s="11">
        <f>19000000</f>
        <v>19000000</v>
      </c>
      <c r="N213" s="11">
        <f>3300000000/176</f>
        <v>18750000</v>
      </c>
      <c r="O213" s="11">
        <f>5600000000/154</f>
        <v>36363636.36</v>
      </c>
      <c r="P213" s="11">
        <f>3200000000/160</f>
        <v>20000000</v>
      </c>
      <c r="Z213" s="10" t="s">
        <v>175</v>
      </c>
    </row>
    <row r="214">
      <c r="A214" s="3" t="s">
        <v>48</v>
      </c>
      <c r="B214" s="4" t="s">
        <v>4026</v>
      </c>
      <c r="C214" s="1" t="s">
        <v>4027</v>
      </c>
      <c r="D214" s="3" t="s">
        <v>4028</v>
      </c>
      <c r="E214" s="1" t="s">
        <v>30</v>
      </c>
      <c r="F214" s="5">
        <v>12330.0</v>
      </c>
      <c r="G214" s="1" t="s">
        <v>31</v>
      </c>
      <c r="H214" s="3" t="s">
        <v>32</v>
      </c>
      <c r="I214" s="1">
        <v>-6.2786072</v>
      </c>
      <c r="J214" s="3">
        <v>106.7668956</v>
      </c>
      <c r="K214" s="6" t="s">
        <v>4029</v>
      </c>
      <c r="L214" s="11">
        <f t="shared" si="1"/>
        <v>24912280.7</v>
      </c>
      <c r="M214" s="11">
        <f>7000000000/180</f>
        <v>38888888.89</v>
      </c>
      <c r="N214" s="11">
        <f>4000000000/250</f>
        <v>16000000</v>
      </c>
      <c r="O214" s="11">
        <f>7100000000/285</f>
        <v>24912280.7</v>
      </c>
      <c r="Z214" s="10" t="s">
        <v>175</v>
      </c>
    </row>
    <row r="215">
      <c r="A215" s="3" t="s">
        <v>48</v>
      </c>
      <c r="B215" s="4" t="s">
        <v>4030</v>
      </c>
      <c r="C215" s="1" t="s">
        <v>4031</v>
      </c>
      <c r="D215" s="3" t="s">
        <v>4032</v>
      </c>
      <c r="E215" s="1" t="s">
        <v>30</v>
      </c>
      <c r="F215" s="5">
        <v>12960.0</v>
      </c>
      <c r="G215" s="1" t="s">
        <v>31</v>
      </c>
      <c r="H215" s="3" t="s">
        <v>32</v>
      </c>
      <c r="I215" s="1">
        <v>-6.2199015</v>
      </c>
      <c r="J215" s="3">
        <v>106.8445888</v>
      </c>
      <c r="K215" s="6" t="s">
        <v>4033</v>
      </c>
      <c r="L215" s="11" t="str">
        <f t="shared" si="1"/>
        <v/>
      </c>
      <c r="Z215" s="2" t="s">
        <v>34</v>
      </c>
    </row>
    <row r="216">
      <c r="A216" s="3" t="s">
        <v>48</v>
      </c>
      <c r="B216" s="4" t="s">
        <v>4034</v>
      </c>
      <c r="C216" s="1" t="s">
        <v>4035</v>
      </c>
      <c r="D216" s="3" t="s">
        <v>4036</v>
      </c>
      <c r="E216" s="1" t="s">
        <v>30</v>
      </c>
      <c r="F216" s="5">
        <v>12870.0</v>
      </c>
      <c r="G216" s="1" t="s">
        <v>31</v>
      </c>
      <c r="H216" s="3" t="s">
        <v>32</v>
      </c>
      <c r="I216" s="1">
        <v>-6.2338863</v>
      </c>
      <c r="J216" s="3">
        <v>106.8441318</v>
      </c>
      <c r="K216" s="6" t="s">
        <v>4037</v>
      </c>
      <c r="L216" s="11" t="str">
        <f t="shared" si="1"/>
        <v/>
      </c>
      <c r="Z216" s="2" t="s">
        <v>34</v>
      </c>
    </row>
    <row r="217">
      <c r="A217" s="3" t="s">
        <v>833</v>
      </c>
      <c r="B217" s="4" t="s">
        <v>4038</v>
      </c>
      <c r="C217" s="1" t="s">
        <v>4039</v>
      </c>
      <c r="D217" s="3" t="s">
        <v>4040</v>
      </c>
      <c r="E217" s="1" t="s">
        <v>30</v>
      </c>
      <c r="F217" s="5">
        <v>12630.0</v>
      </c>
      <c r="G217" s="1" t="s">
        <v>31</v>
      </c>
      <c r="H217" s="3" t="s">
        <v>32</v>
      </c>
      <c r="I217" s="1">
        <v>-6.3451531</v>
      </c>
      <c r="J217" s="3">
        <v>106.8077222</v>
      </c>
      <c r="K217" s="6" t="s">
        <v>4041</v>
      </c>
      <c r="L217" s="11">
        <f t="shared" si="1"/>
        <v>24780701.75</v>
      </c>
      <c r="M217" s="11">
        <f>2750000000/114</f>
        <v>24122807.02</v>
      </c>
      <c r="N217" s="11">
        <f>2900000000/114</f>
        <v>25438596.49</v>
      </c>
      <c r="Z217" s="10" t="s">
        <v>175</v>
      </c>
    </row>
    <row r="218">
      <c r="A218" s="3" t="s">
        <v>833</v>
      </c>
      <c r="B218" s="4" t="s">
        <v>4042</v>
      </c>
      <c r="C218" s="1" t="s">
        <v>4043</v>
      </c>
      <c r="D218" s="3" t="s">
        <v>3945</v>
      </c>
      <c r="E218" s="1" t="s">
        <v>30</v>
      </c>
      <c r="F218" s="3" t="s">
        <v>32</v>
      </c>
      <c r="G218" s="1" t="s">
        <v>31</v>
      </c>
      <c r="H218" s="3" t="s">
        <v>32</v>
      </c>
      <c r="I218" s="1">
        <v>-6.2253733</v>
      </c>
      <c r="J218" s="3">
        <v>106.8167525</v>
      </c>
      <c r="K218" s="6" t="s">
        <v>4044</v>
      </c>
      <c r="L218" s="11" t="str">
        <f t="shared" si="1"/>
        <v/>
      </c>
      <c r="Z218" s="2" t="s">
        <v>34</v>
      </c>
    </row>
    <row r="219">
      <c r="A219" s="3" t="s">
        <v>839</v>
      </c>
      <c r="B219" s="4" t="s">
        <v>4045</v>
      </c>
      <c r="C219" s="1" t="s">
        <v>4046</v>
      </c>
      <c r="D219" s="3" t="s">
        <v>4047</v>
      </c>
      <c r="E219" s="1" t="s">
        <v>30</v>
      </c>
      <c r="F219" s="5">
        <v>12620.0</v>
      </c>
      <c r="G219" s="1" t="s">
        <v>31</v>
      </c>
      <c r="H219" s="3" t="s">
        <v>32</v>
      </c>
      <c r="I219" s="1">
        <v>-6.3368669</v>
      </c>
      <c r="J219" s="3">
        <v>106.817839</v>
      </c>
      <c r="K219" s="6" t="s">
        <v>4048</v>
      </c>
      <c r="L219" s="11" t="str">
        <f t="shared" si="1"/>
        <v/>
      </c>
      <c r="Z219" s="2" t="s">
        <v>34</v>
      </c>
    </row>
    <row r="220">
      <c r="A220" s="3" t="s">
        <v>839</v>
      </c>
      <c r="B220" s="4" t="s">
        <v>4049</v>
      </c>
      <c r="C220" s="1" t="s">
        <v>4050</v>
      </c>
      <c r="D220" s="3" t="s">
        <v>4051</v>
      </c>
      <c r="E220" s="1" t="s">
        <v>30</v>
      </c>
      <c r="F220" s="5">
        <v>12150.0</v>
      </c>
      <c r="G220" s="1" t="s">
        <v>31</v>
      </c>
      <c r="H220" s="9">
        <v>2.13E8</v>
      </c>
      <c r="I220" s="1">
        <v>-6.2644611</v>
      </c>
      <c r="J220" s="3">
        <v>106.8022256</v>
      </c>
      <c r="K220" s="6" t="s">
        <v>4052</v>
      </c>
      <c r="L220" s="11" t="str">
        <f t="shared" si="1"/>
        <v/>
      </c>
      <c r="Z220" s="2" t="s">
        <v>34</v>
      </c>
    </row>
    <row r="221">
      <c r="A221" s="3" t="s">
        <v>845</v>
      </c>
      <c r="B221" s="4" t="s">
        <v>4053</v>
      </c>
      <c r="C221" s="1" t="s">
        <v>4054</v>
      </c>
      <c r="D221" s="3" t="s">
        <v>4055</v>
      </c>
      <c r="E221" s="1" t="s">
        <v>30</v>
      </c>
      <c r="F221" s="5">
        <v>12450.0</v>
      </c>
      <c r="G221" s="1" t="s">
        <v>31</v>
      </c>
      <c r="H221" s="3" t="s">
        <v>32</v>
      </c>
      <c r="I221" s="1">
        <v>-6.3165062</v>
      </c>
      <c r="J221" s="3">
        <v>106.8034263</v>
      </c>
      <c r="K221" s="6" t="s">
        <v>4056</v>
      </c>
      <c r="L221" s="11">
        <f t="shared" si="1"/>
        <v>20659677.65</v>
      </c>
      <c r="M221" s="11">
        <f>5000000000/246</f>
        <v>20325203.25</v>
      </c>
      <c r="N221" s="11">
        <f>7180000000/342</f>
        <v>20994152.05</v>
      </c>
      <c r="Z221" s="10" t="s">
        <v>175</v>
      </c>
    </row>
    <row r="222">
      <c r="A222" s="3" t="s">
        <v>845</v>
      </c>
      <c r="B222" s="4" t="s">
        <v>4057</v>
      </c>
      <c r="C222" s="1" t="s">
        <v>4058</v>
      </c>
      <c r="D222" s="3" t="s">
        <v>4059</v>
      </c>
      <c r="E222" s="1" t="s">
        <v>30</v>
      </c>
      <c r="F222" s="5">
        <v>12620.0</v>
      </c>
      <c r="G222" s="1" t="s">
        <v>31</v>
      </c>
      <c r="H222" s="3" t="s">
        <v>32</v>
      </c>
      <c r="I222" s="1">
        <v>-6.3353649</v>
      </c>
      <c r="J222" s="3">
        <v>106.8149154</v>
      </c>
      <c r="K222" s="6" t="s">
        <v>4060</v>
      </c>
      <c r="L222" s="11" t="str">
        <f t="shared" si="1"/>
        <v/>
      </c>
      <c r="Z222" s="2" t="s">
        <v>34</v>
      </c>
    </row>
    <row r="223">
      <c r="A223" s="3" t="s">
        <v>845</v>
      </c>
      <c r="B223" s="4" t="s">
        <v>1215</v>
      </c>
      <c r="C223" s="1" t="s">
        <v>4061</v>
      </c>
      <c r="D223" s="3" t="s">
        <v>4062</v>
      </c>
      <c r="E223" s="1" t="s">
        <v>30</v>
      </c>
      <c r="F223" s="5">
        <v>12630.0</v>
      </c>
      <c r="G223" s="1" t="s">
        <v>31</v>
      </c>
      <c r="H223" s="3" t="s">
        <v>32</v>
      </c>
      <c r="I223" s="1">
        <v>-6.334196</v>
      </c>
      <c r="J223" s="3">
        <v>106.8074872</v>
      </c>
      <c r="K223" s="6" t="s">
        <v>4063</v>
      </c>
      <c r="L223" s="11">
        <f t="shared" si="1"/>
        <v>17826819.41</v>
      </c>
      <c r="M223" s="11">
        <f>4700000000/280</f>
        <v>16785714.29</v>
      </c>
      <c r="N223" s="11">
        <f>5000000000/265</f>
        <v>18867924.53</v>
      </c>
      <c r="Z223" s="10" t="s">
        <v>175</v>
      </c>
    </row>
    <row r="224">
      <c r="A224" s="3" t="s">
        <v>845</v>
      </c>
      <c r="B224" s="4" t="s">
        <v>4064</v>
      </c>
      <c r="C224" s="1" t="s">
        <v>4065</v>
      </c>
      <c r="D224" s="3" t="s">
        <v>4066</v>
      </c>
      <c r="E224" s="1" t="s">
        <v>30</v>
      </c>
      <c r="F224" s="5">
        <v>12630.0</v>
      </c>
      <c r="G224" s="1" t="s">
        <v>31</v>
      </c>
      <c r="H224" s="3" t="s">
        <v>32</v>
      </c>
      <c r="I224" s="1">
        <v>-6.3437419</v>
      </c>
      <c r="J224" s="3">
        <v>106.8007249</v>
      </c>
      <c r="K224" s="6" t="s">
        <v>4067</v>
      </c>
      <c r="L224" s="11">
        <f t="shared" si="1"/>
        <v>19318181.82</v>
      </c>
      <c r="M224" s="11">
        <f>4000000000/310</f>
        <v>12903225.81</v>
      </c>
      <c r="N224" s="11">
        <f>3400000000/176</f>
        <v>19318181.82</v>
      </c>
      <c r="O224" s="11">
        <f>3800000000/150</f>
        <v>25333333.33</v>
      </c>
      <c r="Z224" s="10" t="s">
        <v>175</v>
      </c>
    </row>
    <row r="225">
      <c r="A225" s="3" t="s">
        <v>845</v>
      </c>
      <c r="B225" s="4" t="s">
        <v>4068</v>
      </c>
      <c r="C225" s="1" t="s">
        <v>4069</v>
      </c>
      <c r="D225" s="3" t="s">
        <v>4070</v>
      </c>
      <c r="E225" s="1" t="s">
        <v>30</v>
      </c>
      <c r="F225" s="5">
        <v>12750.0</v>
      </c>
      <c r="G225" s="1" t="s">
        <v>31</v>
      </c>
      <c r="H225" s="3" t="s">
        <v>32</v>
      </c>
      <c r="I225" s="1">
        <v>-6.253092</v>
      </c>
      <c r="J225" s="3">
        <v>106.8505839</v>
      </c>
      <c r="K225" s="6" t="s">
        <v>4071</v>
      </c>
      <c r="L225" s="11" t="str">
        <f t="shared" si="1"/>
        <v/>
      </c>
      <c r="Z225" s="2" t="s">
        <v>34</v>
      </c>
    </row>
    <row r="226">
      <c r="A226" s="3" t="s">
        <v>845</v>
      </c>
      <c r="B226" s="4" t="s">
        <v>4072</v>
      </c>
      <c r="C226" s="1" t="s">
        <v>4073</v>
      </c>
      <c r="D226" s="3" t="s">
        <v>4074</v>
      </c>
      <c r="E226" s="1" t="s">
        <v>30</v>
      </c>
      <c r="F226" s="5">
        <v>12510.0</v>
      </c>
      <c r="G226" s="1" t="s">
        <v>31</v>
      </c>
      <c r="H226" s="3" t="s">
        <v>32</v>
      </c>
      <c r="I226" s="1">
        <v>-6.2748472</v>
      </c>
      <c r="J226" s="3">
        <v>106.8427937</v>
      </c>
      <c r="K226" s="6" t="s">
        <v>4075</v>
      </c>
      <c r="L226" s="11">
        <f t="shared" si="1"/>
        <v>18501823.57</v>
      </c>
      <c r="M226" s="11">
        <f>4500000000/214</f>
        <v>21028037.38</v>
      </c>
      <c r="N226" s="11">
        <f>1310000000/82</f>
        <v>15975609.76</v>
      </c>
      <c r="Z226" s="10" t="s">
        <v>175</v>
      </c>
    </row>
    <row r="227">
      <c r="A227" s="3" t="s">
        <v>845</v>
      </c>
      <c r="B227" s="4" t="s">
        <v>4076</v>
      </c>
      <c r="C227" s="1" t="s">
        <v>4077</v>
      </c>
      <c r="D227" s="3" t="s">
        <v>4078</v>
      </c>
      <c r="E227" s="1" t="s">
        <v>30</v>
      </c>
      <c r="F227" s="5">
        <v>12550.0</v>
      </c>
      <c r="G227" s="1" t="s">
        <v>31</v>
      </c>
      <c r="H227" s="9">
        <v>8.19E8</v>
      </c>
      <c r="I227" s="1">
        <v>-6.3037002</v>
      </c>
      <c r="J227" s="3">
        <v>106.8271434</v>
      </c>
      <c r="K227" s="6" t="s">
        <v>4079</v>
      </c>
      <c r="L227" s="11">
        <f t="shared" si="1"/>
        <v>31645435.24</v>
      </c>
      <c r="M227" s="11">
        <f>6000000000/130</f>
        <v>46153846.15</v>
      </c>
      <c r="N227" s="11">
        <f>5750000000/157</f>
        <v>36624203.82</v>
      </c>
      <c r="O227" s="11">
        <f>2400000000/90</f>
        <v>26666666.67</v>
      </c>
      <c r="P227" s="11">
        <f>3900000000/162</f>
        <v>24074074.07</v>
      </c>
      <c r="Z227" s="10" t="s">
        <v>2728</v>
      </c>
    </row>
    <row r="228">
      <c r="A228" s="3" t="s">
        <v>845</v>
      </c>
      <c r="B228" s="4" t="s">
        <v>4080</v>
      </c>
      <c r="C228" s="1" t="s">
        <v>4081</v>
      </c>
      <c r="D228" s="3" t="s">
        <v>4082</v>
      </c>
      <c r="E228" s="1" t="s">
        <v>30</v>
      </c>
      <c r="F228" s="5">
        <v>12630.0</v>
      </c>
      <c r="G228" s="1" t="s">
        <v>31</v>
      </c>
      <c r="H228" s="3" t="s">
        <v>32</v>
      </c>
      <c r="I228" s="1">
        <v>-6.3335899</v>
      </c>
      <c r="J228" s="3">
        <v>106.8058273</v>
      </c>
      <c r="K228" s="6" t="s">
        <v>4083</v>
      </c>
      <c r="L228" s="11">
        <f t="shared" si="1"/>
        <v>213636363.6</v>
      </c>
      <c r="M228" s="11">
        <f>23500000000/110</f>
        <v>213636363.6</v>
      </c>
      <c r="Z228" s="10" t="s">
        <v>3184</v>
      </c>
    </row>
    <row r="229">
      <c r="A229" s="3" t="s">
        <v>845</v>
      </c>
      <c r="B229" s="4" t="s">
        <v>4084</v>
      </c>
      <c r="C229" s="1" t="s">
        <v>4085</v>
      </c>
      <c r="D229" s="3" t="s">
        <v>4086</v>
      </c>
      <c r="E229" s="1" t="s">
        <v>30</v>
      </c>
      <c r="F229" s="5">
        <v>12630.0</v>
      </c>
      <c r="G229" s="1" t="s">
        <v>31</v>
      </c>
      <c r="H229" s="3" t="s">
        <v>32</v>
      </c>
      <c r="I229" s="1">
        <v>-6.3383165</v>
      </c>
      <c r="J229" s="3">
        <v>106.8015285</v>
      </c>
      <c r="K229" s="6" t="s">
        <v>4087</v>
      </c>
      <c r="L229" s="11">
        <f t="shared" si="1"/>
        <v>22519841.27</v>
      </c>
      <c r="M229" s="11">
        <f>1500000000/70</f>
        <v>21428571.43</v>
      </c>
      <c r="N229" s="11">
        <f>1700000000/72</f>
        <v>23611111.11</v>
      </c>
      <c r="Z229" s="10" t="s">
        <v>2749</v>
      </c>
    </row>
    <row r="230">
      <c r="A230" s="3" t="s">
        <v>845</v>
      </c>
      <c r="B230" s="4" t="s">
        <v>4088</v>
      </c>
      <c r="C230" s="1" t="s">
        <v>4089</v>
      </c>
      <c r="D230" s="3" t="s">
        <v>4090</v>
      </c>
      <c r="E230" s="1" t="s">
        <v>30</v>
      </c>
      <c r="F230" s="5">
        <v>12630.0</v>
      </c>
      <c r="G230" s="1" t="s">
        <v>31</v>
      </c>
      <c r="H230" s="3" t="s">
        <v>32</v>
      </c>
      <c r="I230" s="1">
        <v>-6.3497558</v>
      </c>
      <c r="J230" s="3">
        <v>106.8089599</v>
      </c>
      <c r="K230" s="6" t="s">
        <v>4091</v>
      </c>
      <c r="L230" s="11">
        <f t="shared" si="1"/>
        <v>16983870.97</v>
      </c>
      <c r="M230" s="11">
        <f>2600000000/200</f>
        <v>13000000</v>
      </c>
      <c r="N230" s="11">
        <f>2600000000/124</f>
        <v>20967741.94</v>
      </c>
      <c r="Z230" s="10" t="s">
        <v>3184</v>
      </c>
    </row>
    <row r="231">
      <c r="A231" s="3" t="s">
        <v>845</v>
      </c>
      <c r="B231" s="4" t="s">
        <v>4092</v>
      </c>
      <c r="C231" s="1" t="s">
        <v>4093</v>
      </c>
      <c r="D231" s="3" t="s">
        <v>3639</v>
      </c>
      <c r="E231" s="1" t="s">
        <v>30</v>
      </c>
      <c r="F231" s="5">
        <v>12760.0</v>
      </c>
      <c r="G231" s="1" t="s">
        <v>31</v>
      </c>
      <c r="H231" s="3" t="s">
        <v>32</v>
      </c>
      <c r="I231" s="1">
        <v>-6.2524111</v>
      </c>
      <c r="J231" s="3">
        <v>106.8467808</v>
      </c>
      <c r="K231" s="6" t="s">
        <v>4094</v>
      </c>
      <c r="L231" s="11">
        <f t="shared" si="1"/>
        <v>56434400.5</v>
      </c>
      <c r="M231" s="2">
        <f>7000000000/135</f>
        <v>51851851.85</v>
      </c>
      <c r="N231" s="11">
        <f>7200000000/118</f>
        <v>61016949.15</v>
      </c>
      <c r="Z231" s="10" t="s">
        <v>2749</v>
      </c>
    </row>
    <row r="232">
      <c r="A232" s="3" t="s">
        <v>845</v>
      </c>
      <c r="B232" s="4" t="s">
        <v>4095</v>
      </c>
      <c r="C232" s="1" t="s">
        <v>4096</v>
      </c>
      <c r="D232" s="3" t="s">
        <v>4097</v>
      </c>
      <c r="E232" s="1" t="s">
        <v>30</v>
      </c>
      <c r="F232" s="5">
        <v>12520.0</v>
      </c>
      <c r="G232" s="1" t="s">
        <v>31</v>
      </c>
      <c r="H232" s="9">
        <v>8.21E10</v>
      </c>
      <c r="I232" s="1">
        <v>-6.2981392</v>
      </c>
      <c r="J232" s="3">
        <v>106.8356054</v>
      </c>
      <c r="K232" s="6" t="s">
        <v>4098</v>
      </c>
      <c r="L232" s="11">
        <f t="shared" si="1"/>
        <v>34848484.85</v>
      </c>
      <c r="M232" s="11">
        <f>1900000000/66</f>
        <v>28787878.79</v>
      </c>
      <c r="N232" s="11">
        <f>1600000000/83</f>
        <v>19277108.43</v>
      </c>
      <c r="O232" s="11">
        <f>2100000000/50</f>
        <v>42000000</v>
      </c>
      <c r="P232" s="11">
        <f>2700000000/66</f>
        <v>40909090.91</v>
      </c>
      <c r="Z232" s="10" t="s">
        <v>175</v>
      </c>
    </row>
    <row r="233">
      <c r="A233" s="3" t="s">
        <v>845</v>
      </c>
      <c r="B233" s="4" t="s">
        <v>4099</v>
      </c>
      <c r="C233" s="1" t="s">
        <v>4100</v>
      </c>
      <c r="D233" s="3" t="s">
        <v>4101</v>
      </c>
      <c r="E233" s="1" t="s">
        <v>30</v>
      </c>
      <c r="F233" s="5">
        <v>12520.0</v>
      </c>
      <c r="G233" s="1" t="s">
        <v>31</v>
      </c>
      <c r="H233" s="9">
        <v>8.13E10</v>
      </c>
      <c r="I233" s="1">
        <v>-6.3193201</v>
      </c>
      <c r="J233" s="3">
        <v>106.8261922</v>
      </c>
      <c r="K233" s="6" t="s">
        <v>4102</v>
      </c>
      <c r="L233" s="11" t="str">
        <f t="shared" si="1"/>
        <v/>
      </c>
      <c r="Z233" s="2" t="s">
        <v>34</v>
      </c>
    </row>
    <row r="234">
      <c r="A234" s="3" t="s">
        <v>845</v>
      </c>
      <c r="B234" s="4" t="s">
        <v>4103</v>
      </c>
      <c r="C234" s="1" t="s">
        <v>4104</v>
      </c>
      <c r="D234" s="3" t="s">
        <v>4105</v>
      </c>
      <c r="E234" s="1" t="s">
        <v>30</v>
      </c>
      <c r="F234" s="5">
        <v>12320.0</v>
      </c>
      <c r="G234" s="1" t="s">
        <v>31</v>
      </c>
      <c r="H234" s="9">
        <v>8.99E9</v>
      </c>
      <c r="I234" s="1">
        <v>-6.2547342</v>
      </c>
      <c r="J234" s="3">
        <v>106.7587427</v>
      </c>
      <c r="K234" s="6" t="s">
        <v>4106</v>
      </c>
      <c r="L234" s="11">
        <f t="shared" si="1"/>
        <v>56105691.06</v>
      </c>
      <c r="M234" s="11">
        <f>4300000000/75</f>
        <v>57333333.33</v>
      </c>
      <c r="N234" s="11">
        <f>4500000000/82</f>
        <v>54878048.78</v>
      </c>
      <c r="O234" s="11">
        <f>4100000000/70</f>
        <v>58571428.57</v>
      </c>
      <c r="P234" s="11">
        <f>2000000000/72</f>
        <v>27777777.78</v>
      </c>
      <c r="Z234" s="10" t="s">
        <v>2749</v>
      </c>
    </row>
    <row r="235">
      <c r="A235" s="3" t="s">
        <v>845</v>
      </c>
      <c r="B235" s="4" t="s">
        <v>4107</v>
      </c>
      <c r="C235" s="1" t="s">
        <v>4108</v>
      </c>
      <c r="D235" s="3" t="s">
        <v>4109</v>
      </c>
      <c r="E235" s="1" t="s">
        <v>30</v>
      </c>
      <c r="F235" s="5">
        <v>12810.0</v>
      </c>
      <c r="G235" s="1" t="s">
        <v>31</v>
      </c>
      <c r="H235" s="3" t="s">
        <v>32</v>
      </c>
      <c r="I235" s="1">
        <v>-6.2328218</v>
      </c>
      <c r="J235" s="3">
        <v>106.8467484</v>
      </c>
      <c r="K235" s="6" t="s">
        <v>4110</v>
      </c>
      <c r="L235" s="11">
        <f t="shared" si="1"/>
        <v>42531055.9</v>
      </c>
      <c r="M235" s="11">
        <f>12900000000/322</f>
        <v>40062111.8</v>
      </c>
      <c r="N235" s="11">
        <f>7900000000/237</f>
        <v>33333333.33</v>
      </c>
      <c r="O235" s="11">
        <f>9000000000/200</f>
        <v>45000000</v>
      </c>
      <c r="P235" s="11">
        <f>14000000000/237</f>
        <v>59071729.96</v>
      </c>
      <c r="Z235" s="10" t="s">
        <v>175</v>
      </c>
    </row>
    <row r="236">
      <c r="A236" s="3" t="s">
        <v>845</v>
      </c>
      <c r="B236" s="4" t="s">
        <v>1468</v>
      </c>
      <c r="C236" s="1" t="s">
        <v>4111</v>
      </c>
      <c r="D236" s="3" t="s">
        <v>4112</v>
      </c>
      <c r="E236" s="1" t="s">
        <v>30</v>
      </c>
      <c r="F236" s="5">
        <v>12520.0</v>
      </c>
      <c r="G236" s="1" t="s">
        <v>31</v>
      </c>
      <c r="H236" s="3" t="s">
        <v>32</v>
      </c>
      <c r="I236" s="1">
        <v>-6.2946697</v>
      </c>
      <c r="J236" s="3">
        <v>106.8406659</v>
      </c>
      <c r="K236" s="6" t="s">
        <v>4113</v>
      </c>
      <c r="L236" s="11">
        <f t="shared" si="1"/>
        <v>19047619.05</v>
      </c>
      <c r="M236" s="11">
        <f>1600000000/84</f>
        <v>19047619.05</v>
      </c>
      <c r="Z236" s="10" t="s">
        <v>175</v>
      </c>
    </row>
    <row r="237">
      <c r="A237" s="3" t="s">
        <v>845</v>
      </c>
      <c r="B237" s="4" t="s">
        <v>4114</v>
      </c>
      <c r="C237" s="1" t="s">
        <v>4115</v>
      </c>
      <c r="D237" s="3" t="s">
        <v>4116</v>
      </c>
      <c r="E237" s="1" t="s">
        <v>30</v>
      </c>
      <c r="F237" s="5">
        <v>12560.0</v>
      </c>
      <c r="G237" s="1" t="s">
        <v>31</v>
      </c>
      <c r="H237" s="3" t="s">
        <v>32</v>
      </c>
      <c r="I237" s="1">
        <v>-6.2954414</v>
      </c>
      <c r="J237" s="3">
        <v>106.79235</v>
      </c>
      <c r="K237" s="6" t="s">
        <v>4117</v>
      </c>
      <c r="L237" s="11">
        <f t="shared" si="1"/>
        <v>20516717.33</v>
      </c>
      <c r="M237" s="11">
        <f>13500000000/658</f>
        <v>20516717.33</v>
      </c>
      <c r="Z237" s="10" t="s">
        <v>2749</v>
      </c>
    </row>
    <row r="238">
      <c r="A238" s="3" t="s">
        <v>119</v>
      </c>
      <c r="B238" s="4" t="s">
        <v>4118</v>
      </c>
      <c r="C238" s="1" t="s">
        <v>4119</v>
      </c>
      <c r="D238" s="3" t="s">
        <v>4120</v>
      </c>
      <c r="E238" s="1" t="s">
        <v>30</v>
      </c>
      <c r="F238" s="5">
        <v>12440.0</v>
      </c>
      <c r="G238" s="1" t="s">
        <v>31</v>
      </c>
      <c r="H238" s="3" t="s">
        <v>32</v>
      </c>
      <c r="I238" s="1">
        <v>-6.3016798</v>
      </c>
      <c r="J238" s="3">
        <v>106.7814175</v>
      </c>
      <c r="K238" s="6" t="s">
        <v>4121</v>
      </c>
      <c r="L238" s="11">
        <f t="shared" si="1"/>
        <v>27086326.96</v>
      </c>
      <c r="M238" s="11">
        <f>4500000000/166</f>
        <v>27108433.73</v>
      </c>
      <c r="N238" s="11">
        <f>2950000000/109</f>
        <v>27064220.18</v>
      </c>
      <c r="Z238" s="10" t="s">
        <v>2749</v>
      </c>
    </row>
    <row r="239">
      <c r="A239" s="3" t="s">
        <v>119</v>
      </c>
      <c r="B239" s="4" t="s">
        <v>4122</v>
      </c>
      <c r="C239" s="1" t="s">
        <v>4123</v>
      </c>
      <c r="D239" s="3" t="s">
        <v>4124</v>
      </c>
      <c r="E239" s="1" t="s">
        <v>30</v>
      </c>
      <c r="F239" s="5">
        <v>12630.0</v>
      </c>
      <c r="G239" s="1" t="s">
        <v>31</v>
      </c>
      <c r="H239" s="9">
        <v>8.79E10</v>
      </c>
      <c r="I239" s="1">
        <v>-6.3557315</v>
      </c>
      <c r="J239" s="3">
        <v>106.8010048</v>
      </c>
      <c r="K239" s="6" t="s">
        <v>4125</v>
      </c>
      <c r="L239" s="11">
        <f t="shared" si="1"/>
        <v>38840579.71</v>
      </c>
      <c r="M239" s="11">
        <f>2700000000/79</f>
        <v>34177215.19</v>
      </c>
      <c r="N239" s="11">
        <f>2600000000/69</f>
        <v>37681159.42</v>
      </c>
      <c r="O239" s="11">
        <f>2500000000/60</f>
        <v>41666666.67</v>
      </c>
      <c r="P239" s="11">
        <f>2400000000/60</f>
        <v>40000000</v>
      </c>
      <c r="Z239" s="10" t="s">
        <v>2749</v>
      </c>
    </row>
    <row r="240">
      <c r="A240" s="3" t="s">
        <v>119</v>
      </c>
      <c r="B240" s="4" t="s">
        <v>4126</v>
      </c>
      <c r="C240" s="1" t="s">
        <v>4127</v>
      </c>
      <c r="D240" s="3" t="s">
        <v>4128</v>
      </c>
      <c r="E240" s="1" t="s">
        <v>30</v>
      </c>
      <c r="F240" s="5">
        <v>12760.0</v>
      </c>
      <c r="G240" s="1" t="s">
        <v>31</v>
      </c>
      <c r="H240" s="3" t="s">
        <v>32</v>
      </c>
      <c r="I240" s="1">
        <v>-6.2541816</v>
      </c>
      <c r="J240" s="3">
        <v>106.842884</v>
      </c>
      <c r="K240" s="6" t="s">
        <v>4129</v>
      </c>
      <c r="L240" s="11">
        <f t="shared" si="1"/>
        <v>93840579.71</v>
      </c>
      <c r="M240" s="11">
        <f>25900000000/276</f>
        <v>93840579.71</v>
      </c>
      <c r="Z240" s="10" t="s">
        <v>175</v>
      </c>
    </row>
    <row r="241">
      <c r="A241" s="3" t="s">
        <v>119</v>
      </c>
      <c r="B241" s="4" t="s">
        <v>4130</v>
      </c>
      <c r="C241" s="1" t="s">
        <v>4131</v>
      </c>
      <c r="D241" s="3" t="s">
        <v>4047</v>
      </c>
      <c r="E241" s="1" t="s">
        <v>30</v>
      </c>
      <c r="F241" s="5">
        <v>12620.0</v>
      </c>
      <c r="G241" s="1" t="s">
        <v>31</v>
      </c>
      <c r="H241" s="3" t="s">
        <v>32</v>
      </c>
      <c r="I241" s="1">
        <v>-6.3356117</v>
      </c>
      <c r="J241" s="3">
        <v>106.818177</v>
      </c>
      <c r="K241" s="6" t="s">
        <v>4132</v>
      </c>
      <c r="L241" s="11">
        <f t="shared" si="1"/>
        <v>11111111.11</v>
      </c>
      <c r="M241" s="2">
        <f>1100000000/117</f>
        <v>9401709.402</v>
      </c>
      <c r="N241" s="11">
        <f>1000000000/78</f>
        <v>12820512.82</v>
      </c>
      <c r="Z241" s="10" t="s">
        <v>2749</v>
      </c>
    </row>
    <row r="242">
      <c r="A242" s="3" t="s">
        <v>119</v>
      </c>
      <c r="B242" s="4" t="s">
        <v>4133</v>
      </c>
      <c r="C242" s="1" t="s">
        <v>4134</v>
      </c>
      <c r="D242" s="3" t="s">
        <v>4135</v>
      </c>
      <c r="E242" s="1" t="s">
        <v>30</v>
      </c>
      <c r="F242" s="5">
        <v>12540.0</v>
      </c>
      <c r="G242" s="1" t="s">
        <v>31</v>
      </c>
      <c r="H242" s="3" t="s">
        <v>32</v>
      </c>
      <c r="I242" s="1">
        <v>-6.2895012</v>
      </c>
      <c r="J242" s="3">
        <v>106.8258407</v>
      </c>
      <c r="K242" s="6" t="s">
        <v>4136</v>
      </c>
      <c r="L242" s="11">
        <f t="shared" si="1"/>
        <v>28907629.4</v>
      </c>
      <c r="M242" s="11">
        <f>4350000000/153</f>
        <v>28431372.55</v>
      </c>
      <c r="N242" s="11">
        <f>6200000000/211</f>
        <v>29383886.26</v>
      </c>
      <c r="Z242" s="10" t="s">
        <v>2749</v>
      </c>
    </row>
    <row r="243">
      <c r="A243" s="3" t="s">
        <v>239</v>
      </c>
      <c r="B243" s="4" t="s">
        <v>4137</v>
      </c>
      <c r="C243" s="1" t="s">
        <v>4138</v>
      </c>
      <c r="D243" s="3" t="s">
        <v>4139</v>
      </c>
      <c r="E243" s="1" t="s">
        <v>30</v>
      </c>
      <c r="F243" s="5">
        <v>12430.0</v>
      </c>
      <c r="G243" s="1" t="s">
        <v>31</v>
      </c>
      <c r="H243" s="9">
        <v>2.18E8</v>
      </c>
      <c r="I243" s="1">
        <v>-6.2811599</v>
      </c>
      <c r="J243" s="3">
        <v>106.8077179</v>
      </c>
      <c r="K243" s="6" t="s">
        <v>4140</v>
      </c>
      <c r="L243" s="11" t="str">
        <f t="shared" si="1"/>
        <v/>
      </c>
      <c r="Z243" s="2" t="s">
        <v>34</v>
      </c>
    </row>
    <row r="244">
      <c r="A244" s="3" t="s">
        <v>239</v>
      </c>
      <c r="B244" s="4" t="s">
        <v>4141</v>
      </c>
      <c r="C244" s="1" t="s">
        <v>4142</v>
      </c>
      <c r="D244" s="3" t="s">
        <v>4143</v>
      </c>
      <c r="E244" s="1" t="s">
        <v>30</v>
      </c>
      <c r="F244" s="5">
        <v>12420.0</v>
      </c>
      <c r="G244" s="1" t="s">
        <v>31</v>
      </c>
      <c r="H244" s="3" t="s">
        <v>32</v>
      </c>
      <c r="I244" s="1">
        <v>-6.2674463</v>
      </c>
      <c r="J244" s="3">
        <v>106.794913</v>
      </c>
      <c r="K244" s="6" t="s">
        <v>4144</v>
      </c>
      <c r="L244" s="11" t="str">
        <f t="shared" si="1"/>
        <v/>
      </c>
      <c r="Z244" s="2" t="s">
        <v>34</v>
      </c>
    </row>
    <row r="245">
      <c r="A245" s="3" t="s">
        <v>239</v>
      </c>
      <c r="B245" s="4" t="s">
        <v>4145</v>
      </c>
      <c r="C245" s="1" t="s">
        <v>4146</v>
      </c>
      <c r="D245" s="3" t="s">
        <v>4147</v>
      </c>
      <c r="E245" s="1" t="s">
        <v>30</v>
      </c>
      <c r="F245" s="5">
        <v>12430.0</v>
      </c>
      <c r="G245" s="1" t="s">
        <v>31</v>
      </c>
      <c r="H245" s="3" t="s">
        <v>32</v>
      </c>
      <c r="I245" s="1">
        <v>-6.3004136</v>
      </c>
      <c r="J245" s="3">
        <v>106.79336</v>
      </c>
      <c r="K245" s="6" t="s">
        <v>4148</v>
      </c>
      <c r="L245" s="11">
        <f t="shared" si="1"/>
        <v>37113402.06</v>
      </c>
      <c r="M245" s="11">
        <f t="shared" ref="M245:M246" si="2">18000000000/485</f>
        <v>37113402.06</v>
      </c>
      <c r="Z245" s="10" t="s">
        <v>175</v>
      </c>
    </row>
    <row r="246">
      <c r="A246" s="3" t="s">
        <v>239</v>
      </c>
      <c r="B246" s="4" t="s">
        <v>4149</v>
      </c>
      <c r="C246" s="1" t="s">
        <v>4150</v>
      </c>
      <c r="D246" s="3" t="s">
        <v>3864</v>
      </c>
      <c r="E246" s="1" t="s">
        <v>30</v>
      </c>
      <c r="F246" s="5">
        <v>12430.0</v>
      </c>
      <c r="G246" s="1" t="s">
        <v>31</v>
      </c>
      <c r="H246" s="3" t="s">
        <v>32</v>
      </c>
      <c r="I246" s="1">
        <v>-6.3007234</v>
      </c>
      <c r="J246" s="3">
        <v>106.7924658</v>
      </c>
      <c r="K246" s="6" t="s">
        <v>4151</v>
      </c>
      <c r="L246" s="11">
        <f t="shared" si="1"/>
        <v>37113402.06</v>
      </c>
      <c r="M246" s="11">
        <f t="shared" si="2"/>
        <v>37113402.06</v>
      </c>
      <c r="Z246" s="10" t="s">
        <v>175</v>
      </c>
    </row>
    <row r="247">
      <c r="A247" s="3" t="s">
        <v>239</v>
      </c>
      <c r="B247" s="4" t="s">
        <v>4152</v>
      </c>
      <c r="C247" s="1" t="s">
        <v>4153</v>
      </c>
      <c r="D247" s="3" t="s">
        <v>4154</v>
      </c>
      <c r="E247" s="1" t="s">
        <v>30</v>
      </c>
      <c r="F247" s="5">
        <v>12630.0</v>
      </c>
      <c r="G247" s="1" t="s">
        <v>31</v>
      </c>
      <c r="H247" s="9">
        <v>8.79E10</v>
      </c>
      <c r="I247" s="1">
        <v>-6.3486734</v>
      </c>
      <c r="J247" s="3">
        <v>106.806914</v>
      </c>
      <c r="K247" s="6" t="s">
        <v>4155</v>
      </c>
      <c r="L247" s="11" t="str">
        <f t="shared" si="1"/>
        <v/>
      </c>
      <c r="Z247" s="2" t="s">
        <v>34</v>
      </c>
    </row>
    <row r="248">
      <c r="A248" s="3" t="s">
        <v>239</v>
      </c>
      <c r="B248" s="4" t="s">
        <v>4156</v>
      </c>
      <c r="C248" s="1" t="s">
        <v>4157</v>
      </c>
      <c r="D248" s="3" t="s">
        <v>4158</v>
      </c>
      <c r="E248" s="1" t="s">
        <v>30</v>
      </c>
      <c r="F248" s="5">
        <v>12150.0</v>
      </c>
      <c r="G248" s="1" t="s">
        <v>31</v>
      </c>
      <c r="H248" s="3" t="s">
        <v>32</v>
      </c>
      <c r="I248" s="1">
        <v>-6.2626768</v>
      </c>
      <c r="J248" s="3">
        <v>106.8090143</v>
      </c>
      <c r="K248" s="6" t="s">
        <v>4159</v>
      </c>
      <c r="L248" s="11">
        <f t="shared" si="1"/>
        <v>31055188.85</v>
      </c>
      <c r="M248" s="11">
        <f>7000000000/216</f>
        <v>32407407.41</v>
      </c>
      <c r="N248" s="11">
        <f>9000000000/303</f>
        <v>29702970.3</v>
      </c>
      <c r="Z248" s="10" t="s">
        <v>2749</v>
      </c>
    </row>
    <row r="249">
      <c r="A249" s="3" t="s">
        <v>239</v>
      </c>
      <c r="B249" s="4" t="s">
        <v>4160</v>
      </c>
      <c r="C249" s="1" t="s">
        <v>4161</v>
      </c>
      <c r="D249" s="3" t="s">
        <v>4162</v>
      </c>
      <c r="E249" s="1" t="s">
        <v>30</v>
      </c>
      <c r="F249" s="5">
        <v>12630.0</v>
      </c>
      <c r="G249" s="1" t="s">
        <v>31</v>
      </c>
      <c r="H249" s="3" t="s">
        <v>32</v>
      </c>
      <c r="I249" s="1">
        <v>-6.3524826</v>
      </c>
      <c r="J249" s="3">
        <v>106.793658</v>
      </c>
      <c r="K249" s="6" t="s">
        <v>4163</v>
      </c>
      <c r="L249" s="11" t="str">
        <f t="shared" si="1"/>
        <v/>
      </c>
      <c r="Z249" s="2" t="s">
        <v>34</v>
      </c>
    </row>
    <row r="250">
      <c r="A250" s="3" t="s">
        <v>239</v>
      </c>
      <c r="B250" s="4" t="s">
        <v>4164</v>
      </c>
      <c r="C250" s="1" t="s">
        <v>4165</v>
      </c>
      <c r="D250" s="3" t="s">
        <v>4166</v>
      </c>
      <c r="E250" s="1" t="s">
        <v>30</v>
      </c>
      <c r="F250" s="5">
        <v>12310.0</v>
      </c>
      <c r="G250" s="1" t="s">
        <v>31</v>
      </c>
      <c r="H250" s="3" t="s">
        <v>32</v>
      </c>
      <c r="I250" s="1">
        <v>-6.2736623</v>
      </c>
      <c r="J250" s="3">
        <v>106.7728417</v>
      </c>
      <c r="K250" s="6" t="s">
        <v>4167</v>
      </c>
      <c r="L250" s="11" t="str">
        <f t="shared" si="1"/>
        <v/>
      </c>
      <c r="Z250" s="2" t="s">
        <v>34</v>
      </c>
    </row>
    <row r="251">
      <c r="A251" s="3" t="s">
        <v>239</v>
      </c>
      <c r="B251" s="4" t="s">
        <v>4168</v>
      </c>
      <c r="C251" s="1" t="s">
        <v>4169</v>
      </c>
      <c r="D251" s="3" t="s">
        <v>4170</v>
      </c>
      <c r="E251" s="1" t="s">
        <v>30</v>
      </c>
      <c r="F251" s="5">
        <v>12310.0</v>
      </c>
      <c r="G251" s="1" t="s">
        <v>31</v>
      </c>
      <c r="H251" s="3" t="s">
        <v>32</v>
      </c>
      <c r="I251" s="1">
        <v>-6.2835491</v>
      </c>
      <c r="J251" s="3">
        <v>106.7718876</v>
      </c>
      <c r="K251" s="6" t="s">
        <v>4171</v>
      </c>
      <c r="L251" s="11">
        <f t="shared" si="1"/>
        <v>35087719.3</v>
      </c>
      <c r="M251" s="11">
        <f>6000000000/171</f>
        <v>35087719.3</v>
      </c>
      <c r="N251" s="11">
        <f>6300000000/171</f>
        <v>36842105.26</v>
      </c>
      <c r="O251" s="11">
        <f>6900000000/209</f>
        <v>33014354.07</v>
      </c>
      <c r="Z251" s="10" t="s">
        <v>2749</v>
      </c>
    </row>
    <row r="252">
      <c r="A252" s="3" t="s">
        <v>239</v>
      </c>
      <c r="B252" s="4" t="s">
        <v>4172</v>
      </c>
      <c r="C252" s="1" t="s">
        <v>4173</v>
      </c>
      <c r="D252" s="3" t="s">
        <v>4174</v>
      </c>
      <c r="E252" s="1" t="s">
        <v>30</v>
      </c>
      <c r="F252" s="5">
        <v>12560.0</v>
      </c>
      <c r="G252" s="1" t="s">
        <v>31</v>
      </c>
      <c r="H252" s="3" t="s">
        <v>32</v>
      </c>
      <c r="I252" s="1">
        <v>-6.2877397</v>
      </c>
      <c r="J252" s="3">
        <v>106.8183745</v>
      </c>
      <c r="K252" s="6" t="s">
        <v>4175</v>
      </c>
      <c r="L252" s="11">
        <f t="shared" si="1"/>
        <v>26041666.67</v>
      </c>
      <c r="M252" s="11">
        <f>49000000000/1923</f>
        <v>25481019.24</v>
      </c>
      <c r="N252" s="11">
        <f>10000000000/288</f>
        <v>34722222.22</v>
      </c>
      <c r="O252" s="11">
        <f>7500000000/288</f>
        <v>26041666.67</v>
      </c>
      <c r="Z252" s="10" t="s">
        <v>2728</v>
      </c>
    </row>
    <row r="253">
      <c r="A253" s="3" t="s">
        <v>239</v>
      </c>
      <c r="B253" s="4" t="s">
        <v>4176</v>
      </c>
      <c r="C253" s="1" t="s">
        <v>4177</v>
      </c>
      <c r="D253" s="3" t="s">
        <v>4178</v>
      </c>
      <c r="E253" s="1" t="s">
        <v>30</v>
      </c>
      <c r="F253" s="5">
        <v>12330.0</v>
      </c>
      <c r="G253" s="1" t="s">
        <v>31</v>
      </c>
      <c r="H253" s="3" t="s">
        <v>32</v>
      </c>
      <c r="I253" s="1">
        <v>-6.2591101</v>
      </c>
      <c r="J253" s="3">
        <v>106.7697115</v>
      </c>
      <c r="K253" s="6" t="s">
        <v>4179</v>
      </c>
      <c r="L253" s="11">
        <f t="shared" si="1"/>
        <v>28632958.8</v>
      </c>
      <c r="M253" s="11">
        <f>2690000000/75</f>
        <v>35866666.67</v>
      </c>
      <c r="N253" s="11">
        <f>2130000000/89</f>
        <v>23932584.27</v>
      </c>
      <c r="O253" s="11">
        <f>4800000000/208</f>
        <v>23076923.08</v>
      </c>
      <c r="P253" s="11">
        <f>3000000000/90</f>
        <v>33333333.33</v>
      </c>
      <c r="Z253" s="10" t="s">
        <v>2728</v>
      </c>
    </row>
    <row r="254">
      <c r="A254" s="3" t="s">
        <v>239</v>
      </c>
      <c r="B254" s="4" t="s">
        <v>4180</v>
      </c>
      <c r="C254" s="1" t="s">
        <v>4181</v>
      </c>
      <c r="D254" s="3" t="s">
        <v>4182</v>
      </c>
      <c r="E254" s="1" t="s">
        <v>30</v>
      </c>
      <c r="F254" s="5">
        <v>12440.0</v>
      </c>
      <c r="G254" s="1" t="s">
        <v>31</v>
      </c>
      <c r="H254" s="3" t="s">
        <v>32</v>
      </c>
      <c r="I254" s="1">
        <v>-6.2966224</v>
      </c>
      <c r="J254" s="3">
        <v>106.7714633</v>
      </c>
      <c r="K254" s="6" t="s">
        <v>4183</v>
      </c>
      <c r="L254" s="11" t="str">
        <f t="shared" si="1"/>
        <v/>
      </c>
      <c r="Z254" s="2" t="s">
        <v>34</v>
      </c>
    </row>
    <row r="255">
      <c r="A255" s="3" t="s">
        <v>239</v>
      </c>
      <c r="B255" s="4" t="s">
        <v>4184</v>
      </c>
      <c r="C255" s="1" t="s">
        <v>4185</v>
      </c>
      <c r="D255" s="3" t="s">
        <v>4186</v>
      </c>
      <c r="E255" s="1" t="s">
        <v>30</v>
      </c>
      <c r="F255" s="5">
        <v>12630.0</v>
      </c>
      <c r="G255" s="1" t="s">
        <v>31</v>
      </c>
      <c r="H255" s="9">
        <v>2.18E9</v>
      </c>
      <c r="I255" s="1">
        <v>-6.3314615</v>
      </c>
      <c r="J255" s="3">
        <v>106.810185</v>
      </c>
      <c r="K255" s="6" t="s">
        <v>4187</v>
      </c>
      <c r="L255" s="11">
        <f t="shared" si="1"/>
        <v>20750700.28</v>
      </c>
      <c r="M255" s="11">
        <f>2400000000/119</f>
        <v>20168067.23</v>
      </c>
      <c r="N255" s="11">
        <f>1600000000/75</f>
        <v>21333333.33</v>
      </c>
      <c r="Z255" s="10" t="s">
        <v>175</v>
      </c>
    </row>
    <row r="256">
      <c r="A256" s="3" t="s">
        <v>239</v>
      </c>
      <c r="B256" s="4" t="s">
        <v>4188</v>
      </c>
      <c r="C256" s="1" t="s">
        <v>4189</v>
      </c>
      <c r="D256" s="3" t="s">
        <v>4190</v>
      </c>
      <c r="E256" s="1" t="s">
        <v>30</v>
      </c>
      <c r="F256" s="5">
        <v>12640.0</v>
      </c>
      <c r="G256" s="1" t="s">
        <v>31</v>
      </c>
      <c r="H256" s="3" t="s">
        <v>32</v>
      </c>
      <c r="I256" s="1">
        <v>-6.3474809</v>
      </c>
      <c r="J256" s="3">
        <v>106.7950273</v>
      </c>
      <c r="K256" s="6" t="s">
        <v>4191</v>
      </c>
      <c r="L256" s="11">
        <f t="shared" si="1"/>
        <v>21198156.68</v>
      </c>
      <c r="M256" s="11">
        <f>1950000000/93</f>
        <v>20967741.94</v>
      </c>
      <c r="N256" s="11">
        <f>1500000000/70</f>
        <v>21428571.43</v>
      </c>
      <c r="Z256" s="10" t="s">
        <v>175</v>
      </c>
    </row>
    <row r="257">
      <c r="A257" s="3" t="s">
        <v>239</v>
      </c>
      <c r="B257" s="4" t="s">
        <v>4192</v>
      </c>
      <c r="C257" s="1" t="s">
        <v>4193</v>
      </c>
      <c r="D257" s="3" t="s">
        <v>4194</v>
      </c>
      <c r="E257" s="1" t="s">
        <v>30</v>
      </c>
      <c r="F257" s="5">
        <v>12560.0</v>
      </c>
      <c r="G257" s="1" t="s">
        <v>31</v>
      </c>
      <c r="H257" s="3" t="s">
        <v>32</v>
      </c>
      <c r="I257" s="1">
        <v>-6.2845946</v>
      </c>
      <c r="J257" s="3">
        <v>106.8147338</v>
      </c>
      <c r="K257" s="6" t="s">
        <v>4195</v>
      </c>
      <c r="L257" s="11">
        <f t="shared" si="1"/>
        <v>37542857.14</v>
      </c>
      <c r="M257" s="11">
        <f>3700000000/78</f>
        <v>47435897.44</v>
      </c>
      <c r="N257" s="11">
        <f>6375000000/151</f>
        <v>42218543.05</v>
      </c>
      <c r="O257" s="11">
        <f>4660000000/81</f>
        <v>57530864.2</v>
      </c>
      <c r="P257" s="11">
        <f>7732500000/225</f>
        <v>34366666.67</v>
      </c>
      <c r="Q257" s="11">
        <f>7219500000/207</f>
        <v>34876811.59</v>
      </c>
      <c r="R257" s="11">
        <f>7048500000/201</f>
        <v>35067164.18</v>
      </c>
      <c r="S257" s="11">
        <f>6079500000/167</f>
        <v>36404191.62</v>
      </c>
      <c r="T257" s="11">
        <f>6570000000/175</f>
        <v>37542857.14</v>
      </c>
      <c r="U257" s="11">
        <f>5958750000/151</f>
        <v>39461920.53</v>
      </c>
      <c r="V257" s="11">
        <f>5675000000/151</f>
        <v>37582781.46</v>
      </c>
      <c r="W257" s="11">
        <f>5300000000/151</f>
        <v>35099337.75</v>
      </c>
      <c r="Z257" s="10" t="s">
        <v>2728</v>
      </c>
    </row>
    <row r="258">
      <c r="A258" s="3" t="s">
        <v>239</v>
      </c>
      <c r="B258" s="4" t="s">
        <v>4196</v>
      </c>
      <c r="C258" s="1" t="s">
        <v>4197</v>
      </c>
      <c r="D258" s="3" t="s">
        <v>4198</v>
      </c>
      <c r="E258" s="1" t="s">
        <v>30</v>
      </c>
      <c r="F258" s="5">
        <v>12260.0</v>
      </c>
      <c r="G258" s="1" t="s">
        <v>31</v>
      </c>
      <c r="H258" s="9">
        <v>8.59E10</v>
      </c>
      <c r="I258" s="1">
        <v>-6.233875</v>
      </c>
      <c r="J258" s="3">
        <v>106.7537818</v>
      </c>
      <c r="K258" s="6" t="s">
        <v>4199</v>
      </c>
      <c r="L258" s="11" t="str">
        <f t="shared" si="1"/>
        <v/>
      </c>
      <c r="Z258" s="2" t="s">
        <v>34</v>
      </c>
    </row>
    <row r="259">
      <c r="A259" s="3" t="s">
        <v>239</v>
      </c>
      <c r="B259" s="4" t="s">
        <v>4200</v>
      </c>
      <c r="C259" s="1" t="s">
        <v>4201</v>
      </c>
      <c r="D259" s="3" t="s">
        <v>4202</v>
      </c>
      <c r="E259" s="1" t="s">
        <v>30</v>
      </c>
      <c r="F259" s="5">
        <v>12270.0</v>
      </c>
      <c r="G259" s="1" t="s">
        <v>31</v>
      </c>
      <c r="H259" s="3" t="s">
        <v>32</v>
      </c>
      <c r="I259" s="1">
        <v>-6.2451302</v>
      </c>
      <c r="J259" s="3">
        <v>106.7569371</v>
      </c>
      <c r="K259" s="6" t="s">
        <v>4203</v>
      </c>
      <c r="L259" s="11">
        <f t="shared" si="1"/>
        <v>27679720.54</v>
      </c>
      <c r="M259" s="11">
        <f>3200000000/111</f>
        <v>28828828.83</v>
      </c>
      <c r="N259" s="11">
        <f>3900000000/147</f>
        <v>26530612.24</v>
      </c>
      <c r="Z259" s="10" t="s">
        <v>2749</v>
      </c>
    </row>
    <row r="260">
      <c r="A260" s="3" t="s">
        <v>239</v>
      </c>
      <c r="B260" s="4" t="s">
        <v>4204</v>
      </c>
      <c r="C260" s="1" t="s">
        <v>4205</v>
      </c>
      <c r="D260" s="3" t="s">
        <v>4206</v>
      </c>
      <c r="E260" s="1" t="s">
        <v>30</v>
      </c>
      <c r="F260" s="5">
        <v>12330.0</v>
      </c>
      <c r="G260" s="1" t="s">
        <v>31</v>
      </c>
      <c r="H260" s="3" t="s">
        <v>32</v>
      </c>
      <c r="I260" s="1">
        <v>-6.2751808</v>
      </c>
      <c r="J260" s="3">
        <v>106.7627243</v>
      </c>
      <c r="K260" s="6" t="s">
        <v>4207</v>
      </c>
      <c r="L260" s="11">
        <f t="shared" si="1"/>
        <v>22083333.33</v>
      </c>
      <c r="M260" s="11">
        <f>20000000000/1305</f>
        <v>15325670.5</v>
      </c>
      <c r="N260" s="11">
        <f>2650000000/120</f>
        <v>22083333.33</v>
      </c>
      <c r="O260" s="11">
        <f>3000000000/120</f>
        <v>25000000</v>
      </c>
      <c r="Z260" s="10" t="s">
        <v>2749</v>
      </c>
    </row>
    <row r="261">
      <c r="A261" s="3" t="s">
        <v>2485</v>
      </c>
      <c r="B261" s="4" t="s">
        <v>4208</v>
      </c>
      <c r="C261" s="1" t="s">
        <v>4209</v>
      </c>
      <c r="D261" s="3" t="s">
        <v>4210</v>
      </c>
      <c r="E261" s="1" t="s">
        <v>30</v>
      </c>
      <c r="F261" s="5">
        <v>12410.0</v>
      </c>
      <c r="G261" s="1" t="s">
        <v>31</v>
      </c>
      <c r="H261" s="3" t="s">
        <v>32</v>
      </c>
      <c r="I261" s="1">
        <v>-6.2791018</v>
      </c>
      <c r="J261" s="3">
        <v>106.8068332</v>
      </c>
      <c r="K261" s="6" t="s">
        <v>4211</v>
      </c>
      <c r="L261" s="11">
        <f t="shared" si="1"/>
        <v>53191489.36</v>
      </c>
      <c r="M261" s="2">
        <f>12500000000/235</f>
        <v>53191489.36</v>
      </c>
      <c r="N261" s="11">
        <f>13500000000/235</f>
        <v>57446808.51</v>
      </c>
      <c r="O261" s="11">
        <f>16000000000/454</f>
        <v>35242290.75</v>
      </c>
      <c r="Z261" s="10" t="s">
        <v>2728</v>
      </c>
    </row>
    <row r="262">
      <c r="A262" s="3" t="s">
        <v>2485</v>
      </c>
      <c r="B262" s="4" t="s">
        <v>4212</v>
      </c>
      <c r="C262" s="1" t="s">
        <v>4213</v>
      </c>
      <c r="D262" s="3" t="s">
        <v>4214</v>
      </c>
      <c r="E262" s="1" t="s">
        <v>30</v>
      </c>
      <c r="F262" s="5">
        <v>12220.0</v>
      </c>
      <c r="G262" s="1" t="s">
        <v>31</v>
      </c>
      <c r="H262" s="9">
        <v>8.18E10</v>
      </c>
      <c r="I262" s="1">
        <v>-6.2305924</v>
      </c>
      <c r="J262" s="3">
        <v>106.7830674</v>
      </c>
      <c r="K262" s="6" t="s">
        <v>4215</v>
      </c>
      <c r="L262" s="11">
        <f t="shared" si="1"/>
        <v>57777777.78</v>
      </c>
      <c r="M262" s="11">
        <f>5200000000/90</f>
        <v>57777777.78</v>
      </c>
      <c r="Z262" s="10" t="s">
        <v>175</v>
      </c>
    </row>
    <row r="263">
      <c r="A263" s="3" t="s">
        <v>4216</v>
      </c>
      <c r="B263" s="4" t="s">
        <v>4217</v>
      </c>
      <c r="C263" s="1" t="s">
        <v>4218</v>
      </c>
      <c r="D263" s="3" t="s">
        <v>4219</v>
      </c>
      <c r="E263" s="1" t="s">
        <v>30</v>
      </c>
      <c r="F263" s="5">
        <v>12540.0</v>
      </c>
      <c r="G263" s="1" t="s">
        <v>31</v>
      </c>
      <c r="H263" s="3" t="s">
        <v>32</v>
      </c>
      <c r="I263" s="1">
        <v>-6.2847707</v>
      </c>
      <c r="J263" s="3">
        <v>106.8229571</v>
      </c>
      <c r="K263" s="6" t="s">
        <v>4220</v>
      </c>
      <c r="L263" s="11" t="str">
        <f t="shared" si="1"/>
        <v/>
      </c>
      <c r="Z263" s="2" t="s">
        <v>34</v>
      </c>
    </row>
    <row r="264">
      <c r="A264" s="3" t="s">
        <v>125</v>
      </c>
      <c r="B264" s="4" t="s">
        <v>4221</v>
      </c>
      <c r="C264" s="1" t="s">
        <v>4222</v>
      </c>
      <c r="D264" s="3" t="s">
        <v>4223</v>
      </c>
      <c r="E264" s="1" t="s">
        <v>30</v>
      </c>
      <c r="F264" s="5">
        <v>12410.0</v>
      </c>
      <c r="G264" s="1" t="s">
        <v>31</v>
      </c>
      <c r="H264" s="3" t="s">
        <v>32</v>
      </c>
      <c r="I264" s="1">
        <v>-6.2698973</v>
      </c>
      <c r="J264" s="3">
        <v>106.8015671</v>
      </c>
      <c r="K264" s="6" t="s">
        <v>4224</v>
      </c>
      <c r="L264" s="11" t="str">
        <f t="shared" si="1"/>
        <v/>
      </c>
      <c r="Z264" s="2" t="s">
        <v>34</v>
      </c>
    </row>
    <row r="265">
      <c r="A265" s="3" t="s">
        <v>125</v>
      </c>
      <c r="B265" s="4" t="s">
        <v>4225</v>
      </c>
      <c r="C265" s="1" t="s">
        <v>4226</v>
      </c>
      <c r="D265" s="3" t="s">
        <v>4227</v>
      </c>
      <c r="E265" s="1" t="s">
        <v>30</v>
      </c>
      <c r="F265" s="5">
        <v>12410.0</v>
      </c>
      <c r="G265" s="1" t="s">
        <v>31</v>
      </c>
      <c r="H265" s="3" t="s">
        <v>32</v>
      </c>
      <c r="I265" s="1">
        <v>-6.2728119</v>
      </c>
      <c r="J265" s="3">
        <v>106.8108293</v>
      </c>
      <c r="K265" s="6" t="s">
        <v>4228</v>
      </c>
      <c r="L265" s="11">
        <f t="shared" si="1"/>
        <v>29887218.05</v>
      </c>
      <c r="M265" s="11">
        <f>2200000000/114</f>
        <v>19298245.61</v>
      </c>
      <c r="N265" s="11">
        <f>85000000000/2100</f>
        <v>40476190.48</v>
      </c>
      <c r="Z265" s="10" t="s">
        <v>175</v>
      </c>
    </row>
    <row r="266">
      <c r="A266" s="3" t="s">
        <v>125</v>
      </c>
      <c r="B266" s="4" t="s">
        <v>4229</v>
      </c>
      <c r="C266" s="1" t="s">
        <v>4230</v>
      </c>
      <c r="D266" s="3" t="s">
        <v>4231</v>
      </c>
      <c r="E266" s="1" t="s">
        <v>30</v>
      </c>
      <c r="F266" s="5">
        <v>12530.0</v>
      </c>
      <c r="G266" s="1" t="s">
        <v>31</v>
      </c>
      <c r="H266" s="9">
        <v>8.59E10</v>
      </c>
      <c r="I266" s="1">
        <v>-6.3082301</v>
      </c>
      <c r="J266" s="3">
        <v>106.8554484</v>
      </c>
      <c r="K266" s="6" t="s">
        <v>4232</v>
      </c>
      <c r="L266" s="11">
        <f t="shared" si="1"/>
        <v>26540697.67</v>
      </c>
      <c r="M266" s="11">
        <f>1100000000/40</f>
        <v>27500000</v>
      </c>
      <c r="N266" s="11">
        <f>1100000000/43</f>
        <v>25581395.35</v>
      </c>
      <c r="Z266" s="10" t="s">
        <v>2749</v>
      </c>
    </row>
    <row r="267">
      <c r="A267" s="3" t="s">
        <v>125</v>
      </c>
      <c r="B267" s="4" t="s">
        <v>4233</v>
      </c>
      <c r="C267" s="1" t="s">
        <v>4234</v>
      </c>
      <c r="D267" s="3" t="s">
        <v>4235</v>
      </c>
      <c r="E267" s="1" t="s">
        <v>30</v>
      </c>
      <c r="F267" s="5">
        <v>12530.0</v>
      </c>
      <c r="G267" s="1" t="s">
        <v>31</v>
      </c>
      <c r="H267" s="3" t="s">
        <v>32</v>
      </c>
      <c r="I267" s="1">
        <v>-6.3003521</v>
      </c>
      <c r="J267" s="3">
        <v>106.8462685</v>
      </c>
      <c r="K267" s="6" t="s">
        <v>4236</v>
      </c>
      <c r="L267" s="11" t="str">
        <f t="shared" si="1"/>
        <v/>
      </c>
      <c r="Z267" s="2" t="s">
        <v>34</v>
      </c>
    </row>
    <row r="268">
      <c r="A268" s="3" t="s">
        <v>125</v>
      </c>
      <c r="B268" s="4" t="s">
        <v>4237</v>
      </c>
      <c r="C268" s="1" t="s">
        <v>4238</v>
      </c>
      <c r="D268" s="3" t="s">
        <v>4239</v>
      </c>
      <c r="E268" s="1" t="s">
        <v>30</v>
      </c>
      <c r="F268" s="5">
        <v>12190.0</v>
      </c>
      <c r="G268" s="1" t="s">
        <v>31</v>
      </c>
      <c r="H268" s="3" t="s">
        <v>32</v>
      </c>
      <c r="I268" s="1">
        <v>-6.2319173</v>
      </c>
      <c r="J268" s="3">
        <v>106.8161246</v>
      </c>
      <c r="K268" s="6" t="s">
        <v>4240</v>
      </c>
      <c r="L268" s="11">
        <f t="shared" si="1"/>
        <v>77576479.74</v>
      </c>
      <c r="M268" s="11">
        <f>4500000000/145</f>
        <v>31034482.76</v>
      </c>
      <c r="N268" s="11">
        <f>88000000000/709</f>
        <v>124118476.7</v>
      </c>
      <c r="Z268" s="10" t="s">
        <v>175</v>
      </c>
    </row>
    <row r="269">
      <c r="A269" s="3" t="s">
        <v>125</v>
      </c>
      <c r="B269" s="4" t="s">
        <v>4241</v>
      </c>
      <c r="C269" s="1" t="s">
        <v>4242</v>
      </c>
      <c r="D269" s="3" t="s">
        <v>4243</v>
      </c>
      <c r="E269" s="1" t="s">
        <v>30</v>
      </c>
      <c r="F269" s="5">
        <v>12190.0</v>
      </c>
      <c r="G269" s="1" t="s">
        <v>31</v>
      </c>
      <c r="H269" s="3" t="s">
        <v>32</v>
      </c>
      <c r="I269" s="1">
        <v>-6.2309496</v>
      </c>
      <c r="J269" s="3">
        <v>106.8105072</v>
      </c>
      <c r="K269" s="6" t="s">
        <v>4244</v>
      </c>
      <c r="L269" s="11" t="str">
        <f t="shared" si="1"/>
        <v/>
      </c>
      <c r="Z269" s="2" t="s">
        <v>34</v>
      </c>
    </row>
    <row r="270">
      <c r="A270" s="3" t="s">
        <v>125</v>
      </c>
      <c r="B270" s="4" t="s">
        <v>4245</v>
      </c>
      <c r="C270" s="1" t="s">
        <v>4246</v>
      </c>
      <c r="D270" s="3" t="s">
        <v>4247</v>
      </c>
      <c r="E270" s="1" t="s">
        <v>30</v>
      </c>
      <c r="F270" s="5">
        <v>12210.0</v>
      </c>
      <c r="G270" s="1" t="s">
        <v>31</v>
      </c>
      <c r="H270" s="3" t="s">
        <v>32</v>
      </c>
      <c r="I270" s="1">
        <v>-6.2236658</v>
      </c>
      <c r="J270" s="3">
        <v>106.7839636</v>
      </c>
      <c r="K270" s="6" t="s">
        <v>4248</v>
      </c>
      <c r="L270" s="11" t="str">
        <f t="shared" si="1"/>
        <v/>
      </c>
      <c r="Z270" s="2" t="s">
        <v>34</v>
      </c>
    </row>
    <row r="271">
      <c r="A271" s="3" t="s">
        <v>125</v>
      </c>
      <c r="B271" s="4" t="s">
        <v>4249</v>
      </c>
      <c r="C271" s="1" t="s">
        <v>4250</v>
      </c>
      <c r="D271" s="3" t="s">
        <v>4251</v>
      </c>
      <c r="E271" s="1" t="s">
        <v>30</v>
      </c>
      <c r="F271" s="5">
        <v>12760.0</v>
      </c>
      <c r="G271" s="1" t="s">
        <v>31</v>
      </c>
      <c r="H271" s="3" t="s">
        <v>32</v>
      </c>
      <c r="I271" s="1">
        <v>-6.252777</v>
      </c>
      <c r="J271" s="3">
        <v>106.8309787</v>
      </c>
      <c r="K271" s="6" t="s">
        <v>4252</v>
      </c>
      <c r="L271" s="11">
        <f t="shared" si="1"/>
        <v>19507575.76</v>
      </c>
      <c r="M271" s="11">
        <f>5500000000/264</f>
        <v>20833333.33</v>
      </c>
      <c r="N271" s="11">
        <f>4000000000/220</f>
        <v>18181818.18</v>
      </c>
      <c r="Z271" s="10" t="s">
        <v>175</v>
      </c>
    </row>
    <row r="272">
      <c r="A272" s="3" t="s">
        <v>125</v>
      </c>
      <c r="B272" s="4" t="s">
        <v>4253</v>
      </c>
      <c r="C272" s="1" t="s">
        <v>4254</v>
      </c>
      <c r="D272" s="3" t="s">
        <v>4255</v>
      </c>
      <c r="E272" s="1" t="s">
        <v>30</v>
      </c>
      <c r="F272" s="5">
        <v>12780.0</v>
      </c>
      <c r="G272" s="1" t="s">
        <v>31</v>
      </c>
      <c r="H272" s="9">
        <v>8.12E10</v>
      </c>
      <c r="I272" s="1">
        <v>-6.2456126</v>
      </c>
      <c r="J272" s="3">
        <v>106.8375294</v>
      </c>
      <c r="K272" s="6" t="s">
        <v>4256</v>
      </c>
      <c r="L272" s="11" t="str">
        <f t="shared" si="1"/>
        <v/>
      </c>
      <c r="Z272" s="2" t="s">
        <v>34</v>
      </c>
    </row>
    <row r="273">
      <c r="A273" s="3" t="s">
        <v>125</v>
      </c>
      <c r="B273" s="4" t="s">
        <v>4257</v>
      </c>
      <c r="C273" s="1" t="s">
        <v>4258</v>
      </c>
      <c r="D273" s="3" t="s">
        <v>4259</v>
      </c>
      <c r="E273" s="1" t="s">
        <v>30</v>
      </c>
      <c r="F273" s="5">
        <v>12510.0</v>
      </c>
      <c r="G273" s="1" t="s">
        <v>31</v>
      </c>
      <c r="H273" s="3" t="s">
        <v>32</v>
      </c>
      <c r="I273" s="1">
        <v>-6.2696461</v>
      </c>
      <c r="J273" s="3">
        <v>106.8350195</v>
      </c>
      <c r="K273" s="6" t="s">
        <v>4260</v>
      </c>
      <c r="L273" s="11">
        <f t="shared" si="1"/>
        <v>20521091.81</v>
      </c>
      <c r="M273" s="11">
        <f>2800000000/124</f>
        <v>22580645.16</v>
      </c>
      <c r="N273" s="11">
        <f>2400000000/130</f>
        <v>18461538.46</v>
      </c>
      <c r="Z273" s="10" t="s">
        <v>175</v>
      </c>
    </row>
    <row r="274">
      <c r="A274" s="3" t="s">
        <v>125</v>
      </c>
      <c r="B274" s="4" t="s">
        <v>4261</v>
      </c>
      <c r="C274" s="1" t="s">
        <v>4262</v>
      </c>
      <c r="D274" s="3" t="s">
        <v>4263</v>
      </c>
      <c r="E274" s="1" t="s">
        <v>30</v>
      </c>
      <c r="F274" s="5">
        <v>12520.0</v>
      </c>
      <c r="G274" s="1" t="s">
        <v>31</v>
      </c>
      <c r="H274" s="3" t="s">
        <v>32</v>
      </c>
      <c r="I274" s="1">
        <v>-6.2917878</v>
      </c>
      <c r="J274" s="3">
        <v>106.8347163</v>
      </c>
      <c r="K274" s="6" t="s">
        <v>4264</v>
      </c>
      <c r="L274" s="11">
        <f t="shared" si="1"/>
        <v>7317073.171</v>
      </c>
      <c r="M274" s="11">
        <f>6000000000/820</f>
        <v>7317073.171</v>
      </c>
      <c r="Z274" s="10" t="s">
        <v>2749</v>
      </c>
    </row>
    <row r="275">
      <c r="A275" s="3" t="s">
        <v>125</v>
      </c>
      <c r="B275" s="4" t="s">
        <v>4265</v>
      </c>
      <c r="C275" s="1" t="s">
        <v>4266</v>
      </c>
      <c r="D275" s="3" t="s">
        <v>4267</v>
      </c>
      <c r="E275" s="1" t="s">
        <v>30</v>
      </c>
      <c r="F275" s="5">
        <v>12550.0</v>
      </c>
      <c r="G275" s="1" t="s">
        <v>31</v>
      </c>
      <c r="H275" s="9">
        <v>8.58E10</v>
      </c>
      <c r="I275" s="1">
        <v>-6.3050912</v>
      </c>
      <c r="J275" s="3">
        <v>106.8200569</v>
      </c>
      <c r="K275" s="6" t="s">
        <v>4268</v>
      </c>
      <c r="L275" s="11" t="str">
        <f t="shared" si="1"/>
        <v/>
      </c>
      <c r="Z275" s="2" t="s">
        <v>34</v>
      </c>
    </row>
    <row r="276">
      <c r="A276" s="3" t="s">
        <v>125</v>
      </c>
      <c r="B276" s="4" t="s">
        <v>4269</v>
      </c>
      <c r="C276" s="1" t="s">
        <v>4270</v>
      </c>
      <c r="D276" s="3" t="s">
        <v>4271</v>
      </c>
      <c r="E276" s="1" t="s">
        <v>30</v>
      </c>
      <c r="F276" s="5">
        <v>12450.0</v>
      </c>
      <c r="G276" s="1" t="s">
        <v>31</v>
      </c>
      <c r="H276" s="3" t="s">
        <v>32</v>
      </c>
      <c r="I276" s="1">
        <v>-6.3129676</v>
      </c>
      <c r="J276" s="3">
        <v>106.8027049</v>
      </c>
      <c r="K276" s="6" t="s">
        <v>4272</v>
      </c>
      <c r="L276" s="11" t="str">
        <f t="shared" si="1"/>
        <v/>
      </c>
      <c r="Z276" s="2" t="s">
        <v>34</v>
      </c>
    </row>
    <row r="277">
      <c r="A277" s="3" t="s">
        <v>125</v>
      </c>
      <c r="B277" s="4" t="s">
        <v>4273</v>
      </c>
      <c r="C277" s="1" t="s">
        <v>4274</v>
      </c>
      <c r="D277" s="3" t="s">
        <v>3908</v>
      </c>
      <c r="E277" s="1" t="s">
        <v>30</v>
      </c>
      <c r="F277" s="5">
        <v>12630.0</v>
      </c>
      <c r="G277" s="1" t="s">
        <v>31</v>
      </c>
      <c r="H277" s="3" t="s">
        <v>32</v>
      </c>
      <c r="I277" s="1">
        <v>-6.3484564</v>
      </c>
      <c r="J277" s="3">
        <v>106.8048444</v>
      </c>
      <c r="K277" s="6" t="s">
        <v>4275</v>
      </c>
      <c r="L277" s="11" t="str">
        <f t="shared" si="1"/>
        <v/>
      </c>
      <c r="Z277" s="2" t="s">
        <v>34</v>
      </c>
    </row>
    <row r="278">
      <c r="A278" s="3" t="s">
        <v>125</v>
      </c>
      <c r="B278" s="4" t="s">
        <v>4276</v>
      </c>
      <c r="C278" s="1" t="s">
        <v>4277</v>
      </c>
      <c r="D278" s="3" t="s">
        <v>4278</v>
      </c>
      <c r="E278" s="1" t="s">
        <v>30</v>
      </c>
      <c r="F278" s="5">
        <v>12150.0</v>
      </c>
      <c r="G278" s="1" t="s">
        <v>31</v>
      </c>
      <c r="H278" s="9">
        <v>2.13E8</v>
      </c>
      <c r="I278" s="1">
        <v>-6.2631856</v>
      </c>
      <c r="J278" s="3">
        <v>106.8058822</v>
      </c>
      <c r="K278" s="6" t="s">
        <v>4279</v>
      </c>
      <c r="L278" s="11" t="str">
        <f t="shared" si="1"/>
        <v/>
      </c>
      <c r="Z278" s="2" t="s">
        <v>34</v>
      </c>
    </row>
    <row r="279">
      <c r="A279" s="3" t="s">
        <v>125</v>
      </c>
      <c r="B279" s="4" t="s">
        <v>4280</v>
      </c>
      <c r="C279" s="1" t="s">
        <v>4281</v>
      </c>
      <c r="D279" s="3" t="s">
        <v>4282</v>
      </c>
      <c r="E279" s="1" t="s">
        <v>30</v>
      </c>
      <c r="F279" s="5">
        <v>12210.0</v>
      </c>
      <c r="G279" s="1" t="s">
        <v>31</v>
      </c>
      <c r="H279" s="9">
        <v>2.15E8</v>
      </c>
      <c r="I279" s="1">
        <v>-6.2157874</v>
      </c>
      <c r="J279" s="3">
        <v>106.7786128</v>
      </c>
      <c r="K279" s="6" t="s">
        <v>4283</v>
      </c>
      <c r="L279" s="11" t="str">
        <f t="shared" si="1"/>
        <v/>
      </c>
      <c r="Z279" s="2" t="s">
        <v>34</v>
      </c>
    </row>
    <row r="280">
      <c r="A280" s="3" t="s">
        <v>125</v>
      </c>
      <c r="B280" s="4" t="s">
        <v>4284</v>
      </c>
      <c r="C280" s="1" t="s">
        <v>4285</v>
      </c>
      <c r="D280" s="3" t="s">
        <v>4286</v>
      </c>
      <c r="E280" s="1" t="s">
        <v>30</v>
      </c>
      <c r="F280" s="5">
        <v>12960.0</v>
      </c>
      <c r="G280" s="1" t="s">
        <v>31</v>
      </c>
      <c r="H280" s="3" t="s">
        <v>32</v>
      </c>
      <c r="I280" s="1">
        <v>-6.2210368</v>
      </c>
      <c r="J280" s="3">
        <v>106.845496</v>
      </c>
      <c r="K280" s="6" t="s">
        <v>4287</v>
      </c>
      <c r="L280" s="11">
        <f t="shared" si="1"/>
        <v>27391304.35</v>
      </c>
      <c r="M280" s="11">
        <f>6300000000/230</f>
        <v>27391304.35</v>
      </c>
      <c r="Z280" s="10" t="s">
        <v>175</v>
      </c>
    </row>
    <row r="281">
      <c r="A281" s="3" t="s">
        <v>35</v>
      </c>
      <c r="B281" s="4" t="s">
        <v>4288</v>
      </c>
      <c r="C281" s="1" t="s">
        <v>4289</v>
      </c>
      <c r="D281" s="3" t="s">
        <v>4290</v>
      </c>
      <c r="E281" s="1" t="s">
        <v>30</v>
      </c>
      <c r="F281" s="5">
        <v>12430.0</v>
      </c>
      <c r="G281" s="1" t="s">
        <v>31</v>
      </c>
      <c r="H281" s="3" t="s">
        <v>32</v>
      </c>
      <c r="I281" s="1">
        <v>-6.289486</v>
      </c>
      <c r="J281" s="3">
        <v>106.7951465</v>
      </c>
      <c r="K281" s="6" t="s">
        <v>4291</v>
      </c>
      <c r="L281" s="11">
        <f t="shared" si="1"/>
        <v>21137820.51</v>
      </c>
      <c r="M281" s="2">
        <f>3400000000/170</f>
        <v>20000000</v>
      </c>
      <c r="N281" s="11">
        <f>6950000000/312</f>
        <v>22275641.03</v>
      </c>
      <c r="Z281" s="10" t="s">
        <v>2728</v>
      </c>
    </row>
    <row r="282">
      <c r="A282" s="3" t="s">
        <v>35</v>
      </c>
      <c r="B282" s="4" t="s">
        <v>4292</v>
      </c>
      <c r="C282" s="1" t="s">
        <v>4293</v>
      </c>
      <c r="D282" s="3" t="s">
        <v>4294</v>
      </c>
      <c r="E282" s="1" t="s">
        <v>30</v>
      </c>
      <c r="F282" s="5">
        <v>12430.0</v>
      </c>
      <c r="G282" s="1" t="s">
        <v>31</v>
      </c>
      <c r="H282" s="3" t="s">
        <v>32</v>
      </c>
      <c r="I282" s="1">
        <v>-6.2877575</v>
      </c>
      <c r="J282" s="3">
        <v>106.7958119</v>
      </c>
      <c r="K282" s="6" t="s">
        <v>4295</v>
      </c>
      <c r="L282" s="11">
        <f t="shared" si="1"/>
        <v>45833333.33</v>
      </c>
      <c r="M282" s="11">
        <f>4900000000/108</f>
        <v>45370370.37</v>
      </c>
      <c r="N282" s="11">
        <f>5100000000/110</f>
        <v>46363636.36</v>
      </c>
      <c r="O282" s="11">
        <f>4100000000/110</f>
        <v>37272727.27</v>
      </c>
      <c r="P282" s="11">
        <f>5000000000/108</f>
        <v>46296296.3</v>
      </c>
      <c r="Z282" s="10" t="s">
        <v>2728</v>
      </c>
    </row>
    <row r="283">
      <c r="A283" s="3" t="s">
        <v>35</v>
      </c>
      <c r="B283" s="4" t="s">
        <v>4296</v>
      </c>
      <c r="C283" s="1" t="s">
        <v>4297</v>
      </c>
      <c r="D283" s="3" t="s">
        <v>4298</v>
      </c>
      <c r="E283" s="1" t="s">
        <v>30</v>
      </c>
      <c r="F283" s="5">
        <v>12450.0</v>
      </c>
      <c r="G283" s="1" t="s">
        <v>31</v>
      </c>
      <c r="H283" s="3" t="s">
        <v>32</v>
      </c>
      <c r="I283" s="1">
        <v>-6.3091771</v>
      </c>
      <c r="J283" s="3">
        <v>106.7899496</v>
      </c>
      <c r="K283" s="6" t="s">
        <v>4299</v>
      </c>
      <c r="L283" s="11">
        <f t="shared" si="1"/>
        <v>19381107.49</v>
      </c>
      <c r="M283" s="11">
        <f>5950000000/307</f>
        <v>19381107.49</v>
      </c>
      <c r="Z283" s="10" t="s">
        <v>175</v>
      </c>
    </row>
    <row r="284">
      <c r="A284" s="3" t="s">
        <v>35</v>
      </c>
      <c r="B284" s="4" t="s">
        <v>4300</v>
      </c>
      <c r="C284" s="1" t="s">
        <v>4301</v>
      </c>
      <c r="D284" s="3" t="s">
        <v>3444</v>
      </c>
      <c r="E284" s="1" t="s">
        <v>30</v>
      </c>
      <c r="F284" s="5">
        <v>12620.0</v>
      </c>
      <c r="G284" s="1" t="s">
        <v>31</v>
      </c>
      <c r="H284" s="3" t="s">
        <v>32</v>
      </c>
      <c r="I284" s="1">
        <v>-6.3239424</v>
      </c>
      <c r="J284" s="3">
        <v>106.809823</v>
      </c>
      <c r="K284" s="6" t="s">
        <v>4302</v>
      </c>
      <c r="L284" s="11">
        <f t="shared" si="1"/>
        <v>19433198.38</v>
      </c>
      <c r="M284" s="11">
        <f>4800000000/247</f>
        <v>19433198.38</v>
      </c>
      <c r="Z284" s="10" t="s">
        <v>3184</v>
      </c>
    </row>
    <row r="285">
      <c r="A285" s="3" t="s">
        <v>35</v>
      </c>
      <c r="B285" s="4" t="s">
        <v>4303</v>
      </c>
      <c r="C285" s="1" t="s">
        <v>4304</v>
      </c>
      <c r="D285" s="3" t="s">
        <v>4305</v>
      </c>
      <c r="E285" s="1" t="s">
        <v>30</v>
      </c>
      <c r="F285" s="5">
        <v>12260.0</v>
      </c>
      <c r="G285" s="1" t="s">
        <v>31</v>
      </c>
      <c r="H285" s="3" t="s">
        <v>32</v>
      </c>
      <c r="I285" s="1">
        <v>-6.2358345</v>
      </c>
      <c r="J285" s="3">
        <v>106.7494387</v>
      </c>
      <c r="K285" s="6" t="s">
        <v>4306</v>
      </c>
      <c r="L285" s="11" t="str">
        <f t="shared" si="1"/>
        <v/>
      </c>
      <c r="Z285" s="2" t="s">
        <v>34</v>
      </c>
    </row>
    <row r="286">
      <c r="A286" s="3" t="s">
        <v>35</v>
      </c>
      <c r="B286" s="4" t="s">
        <v>4307</v>
      </c>
      <c r="C286" s="1" t="s">
        <v>4308</v>
      </c>
      <c r="D286" s="3" t="s">
        <v>4309</v>
      </c>
      <c r="E286" s="1" t="s">
        <v>30</v>
      </c>
      <c r="F286" s="5">
        <v>12410.0</v>
      </c>
      <c r="G286" s="1" t="s">
        <v>31</v>
      </c>
      <c r="H286" s="3" t="s">
        <v>32</v>
      </c>
      <c r="I286" s="1">
        <v>-6.2701847</v>
      </c>
      <c r="J286" s="3">
        <v>106.8006421</v>
      </c>
      <c r="K286" s="6" t="s">
        <v>4310</v>
      </c>
      <c r="L286" s="11">
        <f t="shared" si="1"/>
        <v>23897058.82</v>
      </c>
      <c r="M286" s="11">
        <f>6400000000/272</f>
        <v>23529411.76</v>
      </c>
      <c r="N286" s="11">
        <f>6500000000/272</f>
        <v>23897058.82</v>
      </c>
      <c r="O286" s="11">
        <f>6750000000/247</f>
        <v>27327935.22</v>
      </c>
      <c r="Z286" s="10" t="s">
        <v>175</v>
      </c>
    </row>
    <row r="287">
      <c r="A287" s="3" t="s">
        <v>35</v>
      </c>
      <c r="B287" s="4" t="s">
        <v>4311</v>
      </c>
      <c r="C287" s="1" t="s">
        <v>4312</v>
      </c>
      <c r="D287" s="3" t="s">
        <v>4313</v>
      </c>
      <c r="E287" s="1" t="s">
        <v>30</v>
      </c>
      <c r="F287" s="5">
        <v>12420.0</v>
      </c>
      <c r="G287" s="1" t="s">
        <v>31</v>
      </c>
      <c r="H287" s="3" t="s">
        <v>32</v>
      </c>
      <c r="I287" s="1">
        <v>-6.2699913</v>
      </c>
      <c r="J287" s="3">
        <v>106.7962248</v>
      </c>
      <c r="K287" s="6" t="s">
        <v>4314</v>
      </c>
      <c r="L287" s="11">
        <f t="shared" si="1"/>
        <v>23128342.25</v>
      </c>
      <c r="M287" s="11">
        <f>5500000000/242</f>
        <v>22727272.73</v>
      </c>
      <c r="N287" s="11">
        <f>6400000000/272</f>
        <v>23529411.76</v>
      </c>
      <c r="Z287" s="10" t="s">
        <v>175</v>
      </c>
    </row>
    <row r="288">
      <c r="A288" s="3" t="s">
        <v>35</v>
      </c>
      <c r="B288" s="4" t="s">
        <v>4315</v>
      </c>
      <c r="C288" s="1" t="s">
        <v>4316</v>
      </c>
      <c r="D288" s="3" t="s">
        <v>4317</v>
      </c>
      <c r="E288" s="1" t="s">
        <v>30</v>
      </c>
      <c r="F288" s="5">
        <v>12530.0</v>
      </c>
      <c r="G288" s="1" t="s">
        <v>31</v>
      </c>
      <c r="H288" s="3" t="s">
        <v>32</v>
      </c>
      <c r="I288" s="1">
        <v>-6.3006126</v>
      </c>
      <c r="J288" s="3">
        <v>106.8495335</v>
      </c>
      <c r="K288" s="6" t="s">
        <v>4318</v>
      </c>
      <c r="L288" s="11" t="str">
        <f t="shared" si="1"/>
        <v/>
      </c>
      <c r="Z288" s="2" t="s">
        <v>34</v>
      </c>
    </row>
    <row r="289">
      <c r="A289" s="3" t="s">
        <v>35</v>
      </c>
      <c r="B289" s="4" t="s">
        <v>4319</v>
      </c>
      <c r="C289" s="1" t="s">
        <v>4320</v>
      </c>
      <c r="D289" s="3" t="s">
        <v>4321</v>
      </c>
      <c r="E289" s="1" t="s">
        <v>30</v>
      </c>
      <c r="F289" s="5">
        <v>12620.0</v>
      </c>
      <c r="G289" s="1" t="s">
        <v>31</v>
      </c>
      <c r="H289" s="3" t="s">
        <v>32</v>
      </c>
      <c r="I289" s="1">
        <v>-6.3332398</v>
      </c>
      <c r="J289" s="3">
        <v>106.831228</v>
      </c>
      <c r="K289" s="6" t="s">
        <v>4322</v>
      </c>
      <c r="L289" s="11">
        <f t="shared" si="1"/>
        <v>6521739.13</v>
      </c>
      <c r="M289" s="11">
        <f>1500000000/230</f>
        <v>6521739.13</v>
      </c>
      <c r="Z289" s="10" t="s">
        <v>3113</v>
      </c>
    </row>
    <row r="290">
      <c r="A290" s="3" t="s">
        <v>35</v>
      </c>
      <c r="B290" s="4" t="s">
        <v>4323</v>
      </c>
      <c r="C290" s="1" t="s">
        <v>4324</v>
      </c>
      <c r="D290" s="3" t="s">
        <v>3408</v>
      </c>
      <c r="E290" s="1" t="s">
        <v>30</v>
      </c>
      <c r="F290" s="5">
        <v>12620.0</v>
      </c>
      <c r="G290" s="1" t="s">
        <v>31</v>
      </c>
      <c r="H290" s="3" t="s">
        <v>32</v>
      </c>
      <c r="I290" s="1">
        <v>-6.3316361</v>
      </c>
      <c r="J290" s="3">
        <v>106.8197331</v>
      </c>
      <c r="K290" s="6" t="s">
        <v>4325</v>
      </c>
      <c r="L290" s="11">
        <f t="shared" si="1"/>
        <v>25806451.61</v>
      </c>
      <c r="M290" s="11">
        <f>1600000000/62</f>
        <v>25806451.61</v>
      </c>
      <c r="Z290" s="10" t="s">
        <v>175</v>
      </c>
    </row>
    <row r="291">
      <c r="A291" s="3" t="s">
        <v>35</v>
      </c>
      <c r="B291" s="4" t="s">
        <v>4326</v>
      </c>
      <c r="C291" s="1" t="s">
        <v>4327</v>
      </c>
      <c r="D291" s="3" t="s">
        <v>4328</v>
      </c>
      <c r="E291" s="1" t="s">
        <v>30</v>
      </c>
      <c r="F291" s="5">
        <v>12630.0</v>
      </c>
      <c r="G291" s="1" t="s">
        <v>31</v>
      </c>
      <c r="H291" s="3" t="s">
        <v>32</v>
      </c>
      <c r="I291" s="1">
        <v>-6.350724</v>
      </c>
      <c r="J291" s="3">
        <v>106.8148864</v>
      </c>
      <c r="K291" s="6" t="s">
        <v>4329</v>
      </c>
      <c r="L291" s="11">
        <f t="shared" si="1"/>
        <v>9194137.228</v>
      </c>
      <c r="M291" s="11">
        <f>750000000/67</f>
        <v>11194029.85</v>
      </c>
      <c r="N291" s="11">
        <f>2000000000/278</f>
        <v>7194244.604</v>
      </c>
      <c r="Z291" s="10" t="s">
        <v>2749</v>
      </c>
    </row>
    <row r="292">
      <c r="A292" s="3" t="s">
        <v>35</v>
      </c>
      <c r="B292" s="4" t="s">
        <v>4330</v>
      </c>
      <c r="C292" s="1" t="s">
        <v>4331</v>
      </c>
      <c r="D292" s="3" t="s">
        <v>4332</v>
      </c>
      <c r="E292" s="1" t="s">
        <v>30</v>
      </c>
      <c r="F292" s="5">
        <v>12970.0</v>
      </c>
      <c r="G292" s="1" t="s">
        <v>31</v>
      </c>
      <c r="H292" s="3" t="s">
        <v>32</v>
      </c>
      <c r="I292" s="1">
        <v>-6.2124834</v>
      </c>
      <c r="J292" s="3">
        <v>106.8427135</v>
      </c>
      <c r="K292" s="6" t="s">
        <v>4333</v>
      </c>
      <c r="L292" s="11">
        <f t="shared" si="1"/>
        <v>61702127.66</v>
      </c>
      <c r="M292" s="11">
        <f>2900000000/47</f>
        <v>61702127.66</v>
      </c>
      <c r="Z292" s="10" t="s">
        <v>175</v>
      </c>
    </row>
    <row r="293">
      <c r="A293" s="3" t="s">
        <v>35</v>
      </c>
      <c r="B293" s="4" t="s">
        <v>4334</v>
      </c>
      <c r="C293" s="1" t="s">
        <v>4335</v>
      </c>
      <c r="D293" s="3" t="s">
        <v>4336</v>
      </c>
      <c r="E293" s="1" t="s">
        <v>30</v>
      </c>
      <c r="F293" s="5">
        <v>12810.0</v>
      </c>
      <c r="G293" s="1" t="s">
        <v>31</v>
      </c>
      <c r="H293" s="9">
        <v>8.18E10</v>
      </c>
      <c r="I293" s="1">
        <v>-6.2324611</v>
      </c>
      <c r="J293" s="3">
        <v>106.8459827</v>
      </c>
      <c r="K293" s="6" t="s">
        <v>4337</v>
      </c>
      <c r="L293" s="11" t="str">
        <f t="shared" si="1"/>
        <v/>
      </c>
      <c r="Z293" s="2" t="s">
        <v>34</v>
      </c>
    </row>
    <row r="294">
      <c r="A294" s="3" t="s">
        <v>35</v>
      </c>
      <c r="B294" s="4" t="s">
        <v>4338</v>
      </c>
      <c r="C294" s="1" t="s">
        <v>4339</v>
      </c>
      <c r="D294" s="3" t="s">
        <v>4340</v>
      </c>
      <c r="E294" s="1" t="s">
        <v>30</v>
      </c>
      <c r="F294" s="5">
        <v>12870.0</v>
      </c>
      <c r="G294" s="1" t="s">
        <v>31</v>
      </c>
      <c r="H294" s="9">
        <v>2.13E9</v>
      </c>
      <c r="I294" s="1">
        <v>-6.23395</v>
      </c>
      <c r="J294" s="3">
        <v>106.843588</v>
      </c>
      <c r="K294" s="6" t="s">
        <v>4341</v>
      </c>
      <c r="L294" s="11" t="str">
        <f t="shared" si="1"/>
        <v/>
      </c>
      <c r="Z294" s="2" t="s">
        <v>34</v>
      </c>
    </row>
    <row r="295">
      <c r="A295" s="3" t="s">
        <v>35</v>
      </c>
      <c r="B295" s="4" t="s">
        <v>4342</v>
      </c>
      <c r="C295" s="1" t="s">
        <v>4343</v>
      </c>
      <c r="D295" s="3" t="s">
        <v>3945</v>
      </c>
      <c r="E295" s="1" t="s">
        <v>30</v>
      </c>
      <c r="F295" s="3" t="s">
        <v>32</v>
      </c>
      <c r="G295" s="1" t="s">
        <v>31</v>
      </c>
      <c r="H295" s="3" t="s">
        <v>32</v>
      </c>
      <c r="I295" s="1">
        <v>-6.2294991</v>
      </c>
      <c r="J295" s="3">
        <v>106.8534701</v>
      </c>
      <c r="K295" s="6" t="s">
        <v>4344</v>
      </c>
      <c r="L295" s="11">
        <f t="shared" si="1"/>
        <v>34800041.02</v>
      </c>
      <c r="M295" s="11">
        <f>19000000000/575</f>
        <v>33043478.26</v>
      </c>
      <c r="N295" s="11">
        <f>15500000000/424</f>
        <v>36556603.77</v>
      </c>
      <c r="Z295" s="10" t="s">
        <v>2728</v>
      </c>
    </row>
    <row r="296">
      <c r="A296" s="3" t="s">
        <v>35</v>
      </c>
      <c r="B296" s="4" t="s">
        <v>4345</v>
      </c>
      <c r="C296" s="1" t="s">
        <v>4346</v>
      </c>
      <c r="D296" s="3" t="s">
        <v>4347</v>
      </c>
      <c r="E296" s="1" t="s">
        <v>30</v>
      </c>
      <c r="F296" s="5">
        <v>12810.0</v>
      </c>
      <c r="G296" s="1" t="s">
        <v>31</v>
      </c>
      <c r="H296" s="9">
        <v>8.19E8</v>
      </c>
      <c r="I296" s="1">
        <v>-6.2369466</v>
      </c>
      <c r="J296" s="3">
        <v>106.8501089</v>
      </c>
      <c r="K296" s="6" t="s">
        <v>4348</v>
      </c>
      <c r="L296" s="11" t="str">
        <f t="shared" si="1"/>
        <v/>
      </c>
      <c r="Z296" s="2" t="s">
        <v>34</v>
      </c>
    </row>
    <row r="297">
      <c r="A297" s="3" t="s">
        <v>35</v>
      </c>
      <c r="B297" s="4" t="s">
        <v>4349</v>
      </c>
      <c r="C297" s="1" t="s">
        <v>4350</v>
      </c>
      <c r="D297" s="3" t="s">
        <v>4351</v>
      </c>
      <c r="E297" s="1" t="s">
        <v>30</v>
      </c>
      <c r="F297" s="5">
        <v>12210.0</v>
      </c>
      <c r="G297" s="1" t="s">
        <v>31</v>
      </c>
      <c r="H297" s="9">
        <v>8.13E10</v>
      </c>
      <c r="I297" s="1">
        <v>-6.2153732</v>
      </c>
      <c r="J297" s="3">
        <v>106.7787628</v>
      </c>
      <c r="K297" s="6" t="s">
        <v>4352</v>
      </c>
      <c r="L297" s="11" t="str">
        <f t="shared" si="1"/>
        <v/>
      </c>
      <c r="Z297" s="2" t="s">
        <v>34</v>
      </c>
    </row>
    <row r="298">
      <c r="J298" s="11">
        <f>sum(K298:Y298)</f>
        <v>763</v>
      </c>
      <c r="K298" s="11">
        <f>COUNTA(K2:K297)</f>
        <v>296</v>
      </c>
      <c r="M298" s="11">
        <f t="shared" ref="M298:Y298" si="3">COUNTA(M2:M297)</f>
        <v>176</v>
      </c>
      <c r="N298" s="11">
        <f t="shared" si="3"/>
        <v>133</v>
      </c>
      <c r="O298" s="11">
        <f t="shared" si="3"/>
        <v>68</v>
      </c>
      <c r="P298" s="11">
        <f t="shared" si="3"/>
        <v>40</v>
      </c>
      <c r="Q298" s="11">
        <f t="shared" si="3"/>
        <v>16</v>
      </c>
      <c r="R298" s="11">
        <f t="shared" si="3"/>
        <v>10</v>
      </c>
      <c r="S298" s="11">
        <f t="shared" si="3"/>
        <v>7</v>
      </c>
      <c r="T298" s="11">
        <f t="shared" si="3"/>
        <v>6</v>
      </c>
      <c r="U298" s="11">
        <f t="shared" si="3"/>
        <v>4</v>
      </c>
      <c r="V298" s="11">
        <f t="shared" si="3"/>
        <v>4</v>
      </c>
      <c r="W298" s="11">
        <f t="shared" si="3"/>
        <v>2</v>
      </c>
      <c r="X298" s="11">
        <f t="shared" si="3"/>
        <v>1</v>
      </c>
      <c r="Y298" s="11">
        <f t="shared" si="3"/>
        <v>0</v>
      </c>
    </row>
  </sheetData>
  <hyperlinks>
    <hyperlink r:id="rId1" ref="K2"/>
    <hyperlink r:id="rId2" ref="Z2"/>
    <hyperlink r:id="rId3" ref="K3"/>
    <hyperlink r:id="rId4" ref="Z3"/>
    <hyperlink r:id="rId5" ref="K4"/>
    <hyperlink r:id="rId6" ref="Z4"/>
    <hyperlink r:id="rId7" ref="K5"/>
    <hyperlink r:id="rId8" ref="K6"/>
    <hyperlink r:id="rId9" ref="K7"/>
    <hyperlink r:id="rId10" ref="Z7"/>
    <hyperlink r:id="rId11" ref="K8"/>
    <hyperlink r:id="rId12" ref="K9"/>
    <hyperlink r:id="rId13" ref="Z9"/>
    <hyperlink r:id="rId14" ref="K10"/>
    <hyperlink r:id="rId15" ref="K11"/>
    <hyperlink r:id="rId16" ref="K12"/>
    <hyperlink r:id="rId17" ref="K13"/>
    <hyperlink r:id="rId18" ref="K14"/>
    <hyperlink r:id="rId19" ref="K15"/>
    <hyperlink r:id="rId20" ref="K16"/>
    <hyperlink r:id="rId21" ref="K17"/>
    <hyperlink r:id="rId22" ref="Z17"/>
    <hyperlink r:id="rId23" ref="K18"/>
    <hyperlink r:id="rId24" ref="K19"/>
    <hyperlink r:id="rId25" ref="Z19"/>
    <hyperlink r:id="rId26" ref="K20"/>
    <hyperlink r:id="rId27" ref="Z20"/>
    <hyperlink r:id="rId28" ref="K21"/>
    <hyperlink r:id="rId29" ref="K22"/>
    <hyperlink r:id="rId30" ref="Z22"/>
    <hyperlink r:id="rId31" ref="K23"/>
    <hyperlink r:id="rId32" ref="Z23"/>
    <hyperlink r:id="rId33" ref="K24"/>
    <hyperlink r:id="rId34" ref="K25"/>
    <hyperlink r:id="rId35" ref="Z25"/>
    <hyperlink r:id="rId36" ref="K26"/>
    <hyperlink r:id="rId37" ref="K27"/>
    <hyperlink r:id="rId38" ref="K28"/>
    <hyperlink r:id="rId39" ref="K29"/>
    <hyperlink r:id="rId40" ref="K30"/>
    <hyperlink r:id="rId41" ref="K31"/>
    <hyperlink r:id="rId42" ref="Z31"/>
    <hyperlink r:id="rId43" ref="K32"/>
    <hyperlink r:id="rId44" ref="K33"/>
    <hyperlink r:id="rId45" ref="K34"/>
    <hyperlink r:id="rId46" ref="K35"/>
    <hyperlink r:id="rId47" ref="K36"/>
    <hyperlink r:id="rId48" ref="K37"/>
    <hyperlink r:id="rId49" ref="K38"/>
    <hyperlink r:id="rId50" ref="K39"/>
    <hyperlink r:id="rId51" ref="K40"/>
    <hyperlink r:id="rId52" ref="K41"/>
    <hyperlink r:id="rId53" ref="K42"/>
    <hyperlink r:id="rId54" ref="Z42"/>
    <hyperlink r:id="rId55" ref="K43"/>
    <hyperlink r:id="rId56" ref="K44"/>
    <hyperlink r:id="rId57" ref="K45"/>
    <hyperlink r:id="rId58" ref="K46"/>
    <hyperlink r:id="rId59" ref="Z46"/>
    <hyperlink r:id="rId60" ref="K47"/>
    <hyperlink r:id="rId61" ref="Z47"/>
    <hyperlink r:id="rId62" ref="K48"/>
    <hyperlink r:id="rId63" ref="Z48"/>
    <hyperlink r:id="rId64" ref="K49"/>
    <hyperlink r:id="rId65" ref="Z49"/>
    <hyperlink r:id="rId66" ref="K50"/>
    <hyperlink r:id="rId67" ref="Z50"/>
    <hyperlink r:id="rId68" ref="K51"/>
    <hyperlink r:id="rId69" ref="K52"/>
    <hyperlink r:id="rId70" ref="Z52"/>
    <hyperlink r:id="rId71" ref="K53"/>
    <hyperlink r:id="rId72" ref="K54"/>
    <hyperlink r:id="rId73" ref="Z54"/>
    <hyperlink r:id="rId74" ref="K55"/>
    <hyperlink r:id="rId75" ref="Z55"/>
    <hyperlink r:id="rId76" ref="K56"/>
    <hyperlink r:id="rId77" ref="Z56"/>
    <hyperlink r:id="rId78" ref="K57"/>
    <hyperlink r:id="rId79" ref="Z57"/>
    <hyperlink r:id="rId80" ref="K58"/>
    <hyperlink r:id="rId81" ref="K59"/>
    <hyperlink r:id="rId82" ref="K60"/>
    <hyperlink r:id="rId83" ref="Z60"/>
    <hyperlink r:id="rId84" ref="K61"/>
    <hyperlink r:id="rId85" ref="Z61"/>
    <hyperlink r:id="rId86" ref="K62"/>
    <hyperlink r:id="rId87" ref="Z62"/>
    <hyperlink r:id="rId88" ref="K63"/>
    <hyperlink r:id="rId89" ref="K64"/>
    <hyperlink r:id="rId90" ref="K65"/>
    <hyperlink r:id="rId91" ref="Z65"/>
    <hyperlink r:id="rId92" ref="K66"/>
    <hyperlink r:id="rId93" ref="K67"/>
    <hyperlink r:id="rId94" ref="K68"/>
    <hyperlink r:id="rId95" ref="K69"/>
    <hyperlink r:id="rId96" ref="Z69"/>
    <hyperlink r:id="rId97" ref="K70"/>
    <hyperlink r:id="rId98" ref="Z70"/>
    <hyperlink r:id="rId99" ref="K71"/>
    <hyperlink r:id="rId100" ref="Z71"/>
    <hyperlink r:id="rId101" ref="K72"/>
    <hyperlink r:id="rId102" ref="Z72"/>
    <hyperlink r:id="rId103" ref="K73"/>
    <hyperlink r:id="rId104" ref="Z73"/>
    <hyperlink r:id="rId105" ref="K74"/>
    <hyperlink r:id="rId106" ref="K75"/>
    <hyperlink r:id="rId107" ref="Z75"/>
    <hyperlink r:id="rId108" ref="K76"/>
    <hyperlink r:id="rId109" ref="Z76"/>
    <hyperlink r:id="rId110" ref="K77"/>
    <hyperlink r:id="rId111" ref="K78"/>
    <hyperlink r:id="rId112" ref="K79"/>
    <hyperlink r:id="rId113" ref="K80"/>
    <hyperlink r:id="rId114" ref="Z80"/>
    <hyperlink r:id="rId115" ref="K81"/>
    <hyperlink r:id="rId116" ref="K82"/>
    <hyperlink r:id="rId117" ref="Z82"/>
    <hyperlink r:id="rId118" ref="K83"/>
    <hyperlink r:id="rId119" ref="K84"/>
    <hyperlink r:id="rId120" ref="K85"/>
    <hyperlink r:id="rId121" ref="K86"/>
    <hyperlink r:id="rId122" ref="K87"/>
    <hyperlink r:id="rId123" ref="K88"/>
    <hyperlink r:id="rId124" ref="K89"/>
    <hyperlink r:id="rId125" ref="Z89"/>
    <hyperlink r:id="rId126" ref="K90"/>
    <hyperlink r:id="rId127" ref="K91"/>
    <hyperlink r:id="rId128" ref="K92"/>
    <hyperlink r:id="rId129" ref="Z92"/>
    <hyperlink r:id="rId130" ref="K93"/>
    <hyperlink r:id="rId131" ref="K94"/>
    <hyperlink r:id="rId132" ref="Z94"/>
    <hyperlink r:id="rId133" ref="K95"/>
    <hyperlink r:id="rId134" ref="K96"/>
    <hyperlink r:id="rId135" ref="Z96"/>
    <hyperlink r:id="rId136" ref="K97"/>
    <hyperlink r:id="rId137" ref="Z97"/>
    <hyperlink r:id="rId138" ref="K98"/>
    <hyperlink r:id="rId139" ref="Z98"/>
    <hyperlink r:id="rId140" ref="K99"/>
    <hyperlink r:id="rId141" ref="K100"/>
    <hyperlink r:id="rId142" ref="Z100"/>
    <hyperlink r:id="rId143" ref="K101"/>
    <hyperlink r:id="rId144" ref="K102"/>
    <hyperlink r:id="rId145" ref="K103"/>
    <hyperlink r:id="rId146" ref="K104"/>
    <hyperlink r:id="rId147" ref="K105"/>
    <hyperlink r:id="rId148" ref="Z105"/>
    <hyperlink r:id="rId149" ref="K106"/>
    <hyperlink r:id="rId150" ref="K107"/>
    <hyperlink r:id="rId151" ref="Z107"/>
    <hyperlink r:id="rId152" ref="K108"/>
    <hyperlink r:id="rId153" ref="Z108"/>
    <hyperlink r:id="rId154" ref="K109"/>
    <hyperlink r:id="rId155" ref="Z109"/>
    <hyperlink r:id="rId156" ref="K110"/>
    <hyperlink r:id="rId157" ref="Z110"/>
    <hyperlink r:id="rId158" ref="K111"/>
    <hyperlink r:id="rId159" ref="Z111"/>
    <hyperlink r:id="rId160" ref="K112"/>
    <hyperlink r:id="rId161" ref="K113"/>
    <hyperlink r:id="rId162" ref="Z113"/>
    <hyperlink r:id="rId163" ref="K114"/>
    <hyperlink r:id="rId164" ref="Z114"/>
    <hyperlink r:id="rId165" ref="K115"/>
    <hyperlink r:id="rId166" ref="Z115"/>
    <hyperlink r:id="rId167" ref="K116"/>
    <hyperlink r:id="rId168" ref="Z116"/>
    <hyperlink r:id="rId169" ref="K117"/>
    <hyperlink r:id="rId170" ref="K118"/>
    <hyperlink r:id="rId171" ref="Z118"/>
    <hyperlink r:id="rId172" ref="K119"/>
    <hyperlink r:id="rId173" ref="Z119"/>
    <hyperlink r:id="rId174" ref="K120"/>
    <hyperlink r:id="rId175" ref="Z120"/>
    <hyperlink r:id="rId176" ref="K121"/>
    <hyperlink r:id="rId177" ref="Z121"/>
    <hyperlink r:id="rId178" ref="K122"/>
    <hyperlink r:id="rId179" ref="Z122"/>
    <hyperlink r:id="rId180" ref="K123"/>
    <hyperlink r:id="rId181" ref="K124"/>
    <hyperlink r:id="rId182" ref="Z124"/>
    <hyperlink r:id="rId183" ref="K125"/>
    <hyperlink r:id="rId184" ref="Z125"/>
    <hyperlink r:id="rId185" ref="K126"/>
    <hyperlink r:id="rId186" ref="K127"/>
    <hyperlink r:id="rId187" ref="K128"/>
    <hyperlink r:id="rId188" ref="Z128"/>
    <hyperlink r:id="rId189" ref="K129"/>
    <hyperlink r:id="rId190" ref="Z129"/>
    <hyperlink r:id="rId191" ref="K130"/>
    <hyperlink r:id="rId192" ref="Z130"/>
    <hyperlink r:id="rId193" ref="K131"/>
    <hyperlink r:id="rId194" ref="Z131"/>
    <hyperlink r:id="rId195" ref="K132"/>
    <hyperlink r:id="rId196" ref="Z132"/>
    <hyperlink r:id="rId197" ref="K133"/>
    <hyperlink r:id="rId198" ref="Z133"/>
    <hyperlink r:id="rId199" ref="K134"/>
    <hyperlink r:id="rId200" ref="Z134"/>
    <hyperlink r:id="rId201" ref="K135"/>
    <hyperlink r:id="rId202" ref="Z135"/>
    <hyperlink r:id="rId203" ref="K136"/>
    <hyperlink r:id="rId204" ref="Z136"/>
    <hyperlink r:id="rId205" ref="K137"/>
    <hyperlink r:id="rId206" ref="K138"/>
    <hyperlink r:id="rId207" ref="Z138"/>
    <hyperlink r:id="rId208" ref="K139"/>
    <hyperlink r:id="rId209" ref="Z139"/>
    <hyperlink r:id="rId210" ref="K140"/>
    <hyperlink r:id="rId211" ref="Z140"/>
    <hyperlink r:id="rId212" ref="K141"/>
    <hyperlink r:id="rId213" ref="K142"/>
    <hyperlink r:id="rId214" ref="K143"/>
    <hyperlink r:id="rId215" ref="Z143"/>
    <hyperlink r:id="rId216" ref="K144"/>
    <hyperlink r:id="rId217" ref="Z144"/>
    <hyperlink r:id="rId218" ref="K145"/>
    <hyperlink r:id="rId219" ref="Z145"/>
    <hyperlink r:id="rId220" ref="K146"/>
    <hyperlink r:id="rId221" ref="K147"/>
    <hyperlink r:id="rId222" ref="K148"/>
    <hyperlink r:id="rId223" ref="Z148"/>
    <hyperlink r:id="rId224" ref="K149"/>
    <hyperlink r:id="rId225" ref="Z149"/>
    <hyperlink r:id="rId226" ref="K150"/>
    <hyperlink r:id="rId227" ref="Z150"/>
    <hyperlink r:id="rId228" ref="K151"/>
    <hyperlink r:id="rId229" ref="Z151"/>
    <hyperlink r:id="rId230" ref="K152"/>
    <hyperlink r:id="rId231" ref="Z152"/>
    <hyperlink r:id="rId232" ref="K153"/>
    <hyperlink r:id="rId233" ref="Z153"/>
    <hyperlink r:id="rId234" ref="K154"/>
    <hyperlink r:id="rId235" ref="Z154"/>
    <hyperlink r:id="rId236" ref="K155"/>
    <hyperlink r:id="rId237" ref="Z155"/>
    <hyperlink r:id="rId238" ref="K156"/>
    <hyperlink r:id="rId239" ref="K157"/>
    <hyperlink r:id="rId240" ref="Z157"/>
    <hyperlink r:id="rId241" ref="K158"/>
    <hyperlink r:id="rId242" ref="K159"/>
    <hyperlink r:id="rId243" ref="Z159"/>
    <hyperlink r:id="rId244" ref="K160"/>
    <hyperlink r:id="rId245" ref="Z160"/>
    <hyperlink r:id="rId246" ref="K161"/>
    <hyperlink r:id="rId247" ref="Z161"/>
    <hyperlink r:id="rId248" ref="K162"/>
    <hyperlink r:id="rId249" ref="Z162"/>
    <hyperlink r:id="rId250" ref="K163"/>
    <hyperlink r:id="rId251" ref="Z163"/>
    <hyperlink r:id="rId252" ref="K164"/>
    <hyperlink r:id="rId253" ref="Z164"/>
    <hyperlink r:id="rId254" ref="K165"/>
    <hyperlink r:id="rId255" ref="K166"/>
    <hyperlink r:id="rId256" ref="Z166"/>
    <hyperlink r:id="rId257" ref="K167"/>
    <hyperlink r:id="rId258" ref="Z167"/>
    <hyperlink r:id="rId259" ref="K168"/>
    <hyperlink r:id="rId260" ref="Z168"/>
    <hyperlink r:id="rId261" ref="K169"/>
    <hyperlink r:id="rId262" ref="Z169"/>
    <hyperlink r:id="rId263" ref="K170"/>
    <hyperlink r:id="rId264" ref="Z170"/>
    <hyperlink r:id="rId265" ref="K171"/>
    <hyperlink r:id="rId266" ref="Z171"/>
    <hyperlink r:id="rId267" ref="K172"/>
    <hyperlink r:id="rId268" ref="Z172"/>
    <hyperlink r:id="rId269" ref="K173"/>
    <hyperlink r:id="rId270" ref="Z173"/>
    <hyperlink r:id="rId271" ref="K174"/>
    <hyperlink r:id="rId272" ref="Z174"/>
    <hyperlink r:id="rId273" ref="K175"/>
    <hyperlink r:id="rId274" ref="Z175"/>
    <hyperlink r:id="rId275" ref="K176"/>
    <hyperlink r:id="rId276" ref="Z176"/>
    <hyperlink r:id="rId277" ref="K177"/>
    <hyperlink r:id="rId278" ref="K178"/>
    <hyperlink r:id="rId279" ref="K179"/>
    <hyperlink r:id="rId280" ref="Z179"/>
    <hyperlink r:id="rId281" ref="K180"/>
    <hyperlink r:id="rId282" ref="Z180"/>
    <hyperlink r:id="rId283" ref="K181"/>
    <hyperlink r:id="rId284" ref="Z181"/>
    <hyperlink r:id="rId285" ref="K182"/>
    <hyperlink r:id="rId286" ref="Z182"/>
    <hyperlink r:id="rId287" ref="K183"/>
    <hyperlink r:id="rId288" ref="K184"/>
    <hyperlink r:id="rId289" ref="Z184"/>
    <hyperlink r:id="rId290" ref="K185"/>
    <hyperlink r:id="rId291" ref="K186"/>
    <hyperlink r:id="rId292" ref="Z186"/>
    <hyperlink r:id="rId293" ref="K187"/>
    <hyperlink r:id="rId294" ref="Z187"/>
    <hyperlink r:id="rId295" ref="K188"/>
    <hyperlink r:id="rId296" ref="K189"/>
    <hyperlink r:id="rId297" ref="K190"/>
    <hyperlink r:id="rId298" ref="K191"/>
    <hyperlink r:id="rId299" ref="Z191"/>
    <hyperlink r:id="rId300" ref="K192"/>
    <hyperlink r:id="rId301" ref="K193"/>
    <hyperlink r:id="rId302" ref="K194"/>
    <hyperlink r:id="rId303" ref="K195"/>
    <hyperlink r:id="rId304" ref="Z195"/>
    <hyperlink r:id="rId305" ref="K196"/>
    <hyperlink r:id="rId306" ref="Z196"/>
    <hyperlink r:id="rId307" ref="K197"/>
    <hyperlink r:id="rId308" ref="Z197"/>
    <hyperlink r:id="rId309" ref="K198"/>
    <hyperlink r:id="rId310" ref="Z198"/>
    <hyperlink r:id="rId311" ref="K199"/>
    <hyperlink r:id="rId312" ref="K200"/>
    <hyperlink r:id="rId313" ref="K201"/>
    <hyperlink r:id="rId314" ref="Z201"/>
    <hyperlink r:id="rId315" ref="K202"/>
    <hyperlink r:id="rId316" ref="K203"/>
    <hyperlink r:id="rId317" ref="K204"/>
    <hyperlink r:id="rId318" ref="Z204"/>
    <hyperlink r:id="rId319" ref="K205"/>
    <hyperlink r:id="rId320" ref="Z205"/>
    <hyperlink r:id="rId321" ref="K206"/>
    <hyperlink r:id="rId322" ref="Z206"/>
    <hyperlink r:id="rId323" ref="K207"/>
    <hyperlink r:id="rId324" ref="Z207"/>
    <hyperlink r:id="rId325" ref="K208"/>
    <hyperlink r:id="rId326" ref="Z208"/>
    <hyperlink r:id="rId327" ref="K209"/>
    <hyperlink r:id="rId328" ref="Z209"/>
    <hyperlink r:id="rId329" ref="K210"/>
    <hyperlink r:id="rId330" ref="Z210"/>
    <hyperlink r:id="rId331" ref="K211"/>
    <hyperlink r:id="rId332" ref="Z211"/>
    <hyperlink r:id="rId333" ref="K212"/>
    <hyperlink r:id="rId334" ref="Z212"/>
    <hyperlink r:id="rId335" ref="K213"/>
    <hyperlink r:id="rId336" ref="Z213"/>
    <hyperlink r:id="rId337" ref="K214"/>
    <hyperlink r:id="rId338" ref="Z214"/>
    <hyperlink r:id="rId339" ref="K215"/>
    <hyperlink r:id="rId340" ref="K216"/>
    <hyperlink r:id="rId341" ref="K217"/>
    <hyperlink r:id="rId342" ref="Z217"/>
    <hyperlink r:id="rId343" ref="K218"/>
    <hyperlink r:id="rId344" ref="K219"/>
    <hyperlink r:id="rId345" ref="K220"/>
    <hyperlink r:id="rId346" ref="K221"/>
    <hyperlink r:id="rId347" ref="Z221"/>
    <hyperlink r:id="rId348" ref="K222"/>
    <hyperlink r:id="rId349" ref="K223"/>
    <hyperlink r:id="rId350" ref="Z223"/>
    <hyperlink r:id="rId351" ref="K224"/>
    <hyperlink r:id="rId352" ref="Z224"/>
    <hyperlink r:id="rId353" ref="K225"/>
    <hyperlink r:id="rId354" ref="K226"/>
    <hyperlink r:id="rId355" ref="Z226"/>
    <hyperlink r:id="rId356" ref="K227"/>
    <hyperlink r:id="rId357" ref="Z227"/>
    <hyperlink r:id="rId358" ref="K228"/>
    <hyperlink r:id="rId359" ref="Z228"/>
    <hyperlink r:id="rId360" ref="K229"/>
    <hyperlink r:id="rId361" ref="Z229"/>
    <hyperlink r:id="rId362" ref="K230"/>
    <hyperlink r:id="rId363" ref="Z230"/>
    <hyperlink r:id="rId364" ref="K231"/>
    <hyperlink r:id="rId365" ref="Z231"/>
    <hyperlink r:id="rId366" ref="K232"/>
    <hyperlink r:id="rId367" ref="Z232"/>
    <hyperlink r:id="rId368" ref="K233"/>
    <hyperlink r:id="rId369" ref="K234"/>
    <hyperlink r:id="rId370" ref="Z234"/>
    <hyperlink r:id="rId371" ref="K235"/>
    <hyperlink r:id="rId372" ref="Z235"/>
    <hyperlink r:id="rId373" ref="K236"/>
    <hyperlink r:id="rId374" ref="Z236"/>
    <hyperlink r:id="rId375" ref="K237"/>
    <hyperlink r:id="rId376" ref="Z237"/>
    <hyperlink r:id="rId377" ref="K238"/>
    <hyperlink r:id="rId378" ref="Z238"/>
    <hyperlink r:id="rId379" ref="K239"/>
    <hyperlink r:id="rId380" ref="Z239"/>
    <hyperlink r:id="rId381" ref="K240"/>
    <hyperlink r:id="rId382" ref="Z240"/>
    <hyperlink r:id="rId383" ref="K241"/>
    <hyperlink r:id="rId384" ref="Z241"/>
    <hyperlink r:id="rId385" ref="K242"/>
    <hyperlink r:id="rId386" ref="Z242"/>
    <hyperlink r:id="rId387" ref="K243"/>
    <hyperlink r:id="rId388" ref="K244"/>
    <hyperlink r:id="rId389" ref="K245"/>
    <hyperlink r:id="rId390" ref="Z245"/>
    <hyperlink r:id="rId391" ref="K246"/>
    <hyperlink r:id="rId392" ref="Z246"/>
    <hyperlink r:id="rId393" ref="K247"/>
    <hyperlink r:id="rId394" ref="K248"/>
    <hyperlink r:id="rId395" ref="Z248"/>
    <hyperlink r:id="rId396" ref="K249"/>
    <hyperlink r:id="rId397" ref="K250"/>
    <hyperlink r:id="rId398" ref="K251"/>
    <hyperlink r:id="rId399" ref="Z251"/>
    <hyperlink r:id="rId400" ref="K252"/>
    <hyperlink r:id="rId401" ref="Z252"/>
    <hyperlink r:id="rId402" ref="K253"/>
    <hyperlink r:id="rId403" ref="Z253"/>
    <hyperlink r:id="rId404" ref="K254"/>
    <hyperlink r:id="rId405" ref="K255"/>
    <hyperlink r:id="rId406" ref="Z255"/>
    <hyperlink r:id="rId407" ref="K256"/>
    <hyperlink r:id="rId408" ref="Z256"/>
    <hyperlink r:id="rId409" ref="K257"/>
    <hyperlink r:id="rId410" ref="Z257"/>
    <hyperlink r:id="rId411" ref="K258"/>
    <hyperlink r:id="rId412" ref="K259"/>
    <hyperlink r:id="rId413" ref="Z259"/>
    <hyperlink r:id="rId414" ref="K260"/>
    <hyperlink r:id="rId415" ref="Z260"/>
    <hyperlink r:id="rId416" ref="K261"/>
    <hyperlink r:id="rId417" ref="Z261"/>
    <hyperlink r:id="rId418" ref="K262"/>
    <hyperlink r:id="rId419" ref="Z262"/>
    <hyperlink r:id="rId420" ref="K263"/>
    <hyperlink r:id="rId421" ref="K264"/>
    <hyperlink r:id="rId422" ref="K265"/>
    <hyperlink r:id="rId423" ref="Z265"/>
    <hyperlink r:id="rId424" ref="K266"/>
    <hyperlink r:id="rId425" ref="Z266"/>
    <hyperlink r:id="rId426" ref="K267"/>
    <hyperlink r:id="rId427" ref="K268"/>
    <hyperlink r:id="rId428" ref="Z268"/>
    <hyperlink r:id="rId429" ref="K269"/>
    <hyperlink r:id="rId430" ref="K270"/>
    <hyperlink r:id="rId431" ref="K271"/>
    <hyperlink r:id="rId432" ref="Z271"/>
    <hyperlink r:id="rId433" ref="K272"/>
    <hyperlink r:id="rId434" ref="K273"/>
    <hyperlink r:id="rId435" ref="Z273"/>
    <hyperlink r:id="rId436" ref="K274"/>
    <hyperlink r:id="rId437" ref="Z274"/>
    <hyperlink r:id="rId438" ref="K275"/>
    <hyperlink r:id="rId439" ref="K276"/>
    <hyperlink r:id="rId440" ref="K277"/>
    <hyperlink r:id="rId441" ref="K278"/>
    <hyperlink r:id="rId442" ref="K279"/>
    <hyperlink r:id="rId443" ref="K280"/>
    <hyperlink r:id="rId444" ref="Z280"/>
    <hyperlink r:id="rId445" ref="K281"/>
    <hyperlink r:id="rId446" ref="Z281"/>
    <hyperlink r:id="rId447" ref="K282"/>
    <hyperlink r:id="rId448" ref="Z282"/>
    <hyperlink r:id="rId449" ref="K283"/>
    <hyperlink r:id="rId450" ref="Z283"/>
    <hyperlink r:id="rId451" ref="K284"/>
    <hyperlink r:id="rId452" ref="Z284"/>
    <hyperlink r:id="rId453" ref="K285"/>
    <hyperlink r:id="rId454" ref="K286"/>
    <hyperlink r:id="rId455" ref="Z286"/>
    <hyperlink r:id="rId456" ref="K287"/>
    <hyperlink r:id="rId457" ref="Z287"/>
    <hyperlink r:id="rId458" ref="K288"/>
    <hyperlink r:id="rId459" ref="K289"/>
    <hyperlink r:id="rId460" ref="Z289"/>
    <hyperlink r:id="rId461" ref="K290"/>
    <hyperlink r:id="rId462" ref="Z290"/>
    <hyperlink r:id="rId463" ref="K291"/>
    <hyperlink r:id="rId464" ref="Z291"/>
    <hyperlink r:id="rId465" ref="K292"/>
    <hyperlink r:id="rId466" ref="Z292"/>
    <hyperlink r:id="rId467" ref="K293"/>
    <hyperlink r:id="rId468" ref="K294"/>
    <hyperlink r:id="rId469" ref="K295"/>
    <hyperlink r:id="rId470" ref="Z295"/>
    <hyperlink r:id="rId471" ref="K296"/>
    <hyperlink r:id="rId472" ref="K297"/>
  </hyperlinks>
  <drawing r:id="rId473"/>
</worksheet>
</file>