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comments1.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queryTables/queryTable10.xml" ContentType="application/vnd.openxmlformats-officedocument.spreadsheetml.queryTable+xml"/>
  <Override PartName="/xl/tables/table13.xml" ContentType="application/vnd.openxmlformats-officedocument.spreadsheetml.table+xml"/>
  <Override PartName="/xl/queryTables/queryTable11.xml" ContentType="application/vnd.openxmlformats-officedocument.spreadsheetml.queryTable+xml"/>
  <Override PartName="/xl/tables/table14.xml" ContentType="application/vnd.openxmlformats-officedocument.spreadsheetml.table+xml"/>
  <Override PartName="/xl/queryTables/queryTable12.xml" ContentType="application/vnd.openxmlformats-officedocument.spreadsheetml.queryTable+xml"/>
  <Override PartName="/xl/tables/table15.xml" ContentType="application/vnd.openxmlformats-officedocument.spreadsheetml.table+xml"/>
  <Override PartName="/xl/queryTables/queryTable13.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Lutz PC\Documents\iSAD\05_DCF\03_StocksUnderReview\"/>
    </mc:Choice>
  </mc:AlternateContent>
  <xr:revisionPtr revIDLastSave="0" documentId="8_{26594D27-523C-4A3F-9344-2E3878B50DF3}" xr6:coauthVersionLast="47" xr6:coauthVersionMax="47" xr10:uidLastSave="{00000000-0000-0000-0000-000000000000}"/>
  <bookViews>
    <workbookView xWindow="28680" yWindow="-120" windowWidth="29040" windowHeight="15840" tabRatio="851" activeTab="2" xr2:uid="{9F06ADF1-EC2F-4EBE-8DE1-2EDBA853F87A}"/>
  </bookViews>
  <sheets>
    <sheet name="Version Control_Ideas" sheetId="15" r:id="rId1"/>
    <sheet name="DCF Model" sheetId="11" r:id="rId2"/>
    <sheet name="IncomeStatement" sheetId="7" r:id="rId3"/>
    <sheet name="BalanceSheet" sheetId="8" r:id="rId4"/>
    <sheet name="CashFlow" sheetId="9" r:id="rId5"/>
    <sheet name="MetaData" sheetId="10" r:id="rId6"/>
    <sheet name="Tickers" sheetId="13" state="hidden" r:id="rId7"/>
    <sheet name="TickerYears" sheetId="12" r:id="rId8"/>
    <sheet name="Example Model" sheetId="1" r:id="rId9"/>
    <sheet name="AverageInflation" sheetId="22" r:id="rId10"/>
    <sheet name="PriceData_TNX_AvgRate" sheetId="19" r:id="rId11"/>
    <sheet name="PriceData_GSPC_AvgRate" sheetId="17" r:id="rId12"/>
    <sheet name="PriceData_Ticker_AvgRate" sheetId="21" r:id="rId13"/>
    <sheet name="PriceData_Ticker" sheetId="20" r:id="rId14"/>
    <sheet name="PriceData_TNX" sheetId="18" r:id="rId15"/>
    <sheet name="PriceData_GSPC" sheetId="16" r:id="rId16"/>
    <sheet name="Formulas" sheetId="6" r:id="rId17"/>
    <sheet name="Screenshots" sheetId="2" r:id="rId18"/>
    <sheet name="References" sheetId="3" r:id="rId19"/>
  </sheets>
  <definedNames>
    <definedName name="_xlnm._FilterDatabase" localSheetId="16" hidden="1">Formulas!$A$1:$B$1</definedName>
    <definedName name="ExternalData_1" localSheetId="9" hidden="1">AverageInflation!$A$1:$A$2</definedName>
    <definedName name="ExternalData_1" localSheetId="2" hidden="1">IncomeStatement!$A$1:$BY$85</definedName>
    <definedName name="ExternalData_2" localSheetId="3" hidden="1">BalanceSheet!$A$1:$ED$50</definedName>
    <definedName name="ExternalData_2" localSheetId="7" hidden="1">TickerYears!$A$1:$E$41</definedName>
    <definedName name="ExternalData_3" localSheetId="4" hidden="1">'CashFlow'!$A$1:$CU$65</definedName>
    <definedName name="ExternalData_3" localSheetId="6" hidden="1">Tickers!$A$1:$A$11</definedName>
    <definedName name="ExternalData_4" localSheetId="5" hidden="1">MetaData!$A$1:$AV$11</definedName>
    <definedName name="ExternalData_5" localSheetId="15" hidden="1">PriceData_GSPC!$A$1:$O$49</definedName>
    <definedName name="ExternalData_6" localSheetId="11" hidden="1">PriceData_GSPC_AvgRate!$A$1:$C$2</definedName>
    <definedName name="ExternalData_7" localSheetId="14" hidden="1">PriceData_TNX!$A$1:$O$49</definedName>
    <definedName name="ExternalData_8" localSheetId="13" hidden="1">PriceData_Ticker!$A$1:$R$431</definedName>
    <definedName name="ExternalData_8" localSheetId="10" hidden="1">PriceData_TNX_AvgRate!$A$1:$B$2</definedName>
    <definedName name="ExternalData_9" localSheetId="12" hidden="1">PriceData_Ticker_AvgRate!$A$1:$C$11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0" i="11" l="1"/>
  <c r="D179" i="11"/>
  <c r="J53" i="1"/>
  <c r="E2" i="11" l="1"/>
  <c r="E161" i="11" l="1"/>
  <c r="E42" i="11"/>
  <c r="E41" i="11"/>
  <c r="E46" i="11"/>
  <c r="E45" i="11"/>
  <c r="E40" i="11"/>
  <c r="E39" i="11"/>
  <c r="E38" i="11"/>
  <c r="E37" i="11"/>
  <c r="E31" i="11"/>
  <c r="E130" i="11"/>
  <c r="E32" i="11"/>
  <c r="E58" i="11"/>
  <c r="E96" i="11"/>
  <c r="E163" i="11"/>
  <c r="F160" i="11" s="1"/>
  <c r="E157" i="11"/>
  <c r="E73" i="11"/>
  <c r="D174" i="11"/>
  <c r="D202" i="11"/>
  <c r="H201" i="11"/>
  <c r="H202" i="11"/>
  <c r="D201" i="11"/>
  <c r="H200" i="11"/>
  <c r="J119" i="1"/>
  <c r="E4" i="15"/>
  <c r="D173" i="11"/>
  <c r="D171" i="11"/>
  <c r="D172" i="11"/>
  <c r="E12" i="11" l="1"/>
  <c r="E47" i="11"/>
  <c r="E18" i="11"/>
  <c r="E88" i="1"/>
  <c r="E57" i="1"/>
  <c r="E32" i="1" l="1"/>
  <c r="F11" i="1"/>
  <c r="E11" i="1"/>
  <c r="H205" i="11" l="1"/>
  <c r="D178" i="11"/>
  <c r="D177" i="11"/>
  <c r="I183" i="11" s="1"/>
  <c r="J183" i="11" s="1"/>
  <c r="D176" i="11"/>
  <c r="D183" i="11" s="1"/>
  <c r="F7" i="1"/>
  <c r="G7" i="1"/>
  <c r="H7" i="1"/>
  <c r="I7" i="1"/>
  <c r="E7" i="1"/>
  <c r="D138" i="1"/>
  <c r="H137" i="1"/>
  <c r="F129" i="1"/>
  <c r="G129" i="1"/>
  <c r="H129" i="1"/>
  <c r="I129" i="1"/>
  <c r="E129" i="1"/>
  <c r="F128" i="1"/>
  <c r="G128" i="1"/>
  <c r="H128" i="1"/>
  <c r="I128" i="1"/>
  <c r="E128" i="1"/>
  <c r="F127" i="1"/>
  <c r="G127" i="1"/>
  <c r="H127" i="1"/>
  <c r="I127" i="1"/>
  <c r="E127" i="1"/>
  <c r="K52" i="1"/>
  <c r="L52" i="1"/>
  <c r="M52" i="1" s="1"/>
  <c r="N52" i="1" s="1"/>
  <c r="J52" i="1"/>
  <c r="K73" i="1"/>
  <c r="L73" i="1"/>
  <c r="M73" i="1"/>
  <c r="N73" i="1"/>
  <c r="J73" i="1"/>
  <c r="K72" i="1"/>
  <c r="K74" i="1" s="1"/>
  <c r="J69" i="1"/>
  <c r="K69" i="1"/>
  <c r="L69" i="1"/>
  <c r="M69" i="1"/>
  <c r="N69" i="1"/>
  <c r="F68" i="1"/>
  <c r="F69" i="1" s="1"/>
  <c r="G68" i="1"/>
  <c r="G69" i="1" s="1"/>
  <c r="H68" i="1"/>
  <c r="H69" i="1" s="1"/>
  <c r="I68" i="1"/>
  <c r="I69" i="1" s="1"/>
  <c r="J68" i="1"/>
  <c r="K68" i="1"/>
  <c r="L68" i="1"/>
  <c r="M68" i="1"/>
  <c r="N68" i="1"/>
  <c r="E68" i="1"/>
  <c r="E69" i="1" s="1"/>
  <c r="J64" i="1"/>
  <c r="K64" i="1"/>
  <c r="L64" i="1"/>
  <c r="M64" i="1"/>
  <c r="N64" i="1"/>
  <c r="G64" i="1"/>
  <c r="H64" i="1"/>
  <c r="I64" i="1"/>
  <c r="J63" i="1"/>
  <c r="K63" i="1"/>
  <c r="L63" i="1"/>
  <c r="M63" i="1"/>
  <c r="N63" i="1"/>
  <c r="K48" i="1"/>
  <c r="L48" i="1"/>
  <c r="M48" i="1"/>
  <c r="N48" i="1"/>
  <c r="J48" i="1"/>
  <c r="J44" i="1"/>
  <c r="K44" i="1"/>
  <c r="L44" i="1"/>
  <c r="M44" i="1"/>
  <c r="N44" i="1"/>
  <c r="K43" i="1"/>
  <c r="L43" i="1"/>
  <c r="M43" i="1"/>
  <c r="N43" i="1"/>
  <c r="J43" i="1"/>
  <c r="K42" i="1"/>
  <c r="L42" i="1"/>
  <c r="M42" i="1"/>
  <c r="N42" i="1"/>
  <c r="J42" i="1"/>
  <c r="K30" i="1"/>
  <c r="L30" i="1"/>
  <c r="M30" i="1"/>
  <c r="N30" i="1"/>
  <c r="J30" i="1"/>
  <c r="J95" i="1"/>
  <c r="K94" i="1"/>
  <c r="J94" i="1"/>
  <c r="K93" i="1"/>
  <c r="L93" i="1"/>
  <c r="M93" i="1"/>
  <c r="N93" i="1"/>
  <c r="J93" i="1"/>
  <c r="J92" i="1"/>
  <c r="K92" i="1"/>
  <c r="K95" i="1" s="1"/>
  <c r="L92" i="1" s="1"/>
  <c r="G92" i="1"/>
  <c r="F92" i="1"/>
  <c r="J88" i="1"/>
  <c r="K88" i="1"/>
  <c r="L88" i="1"/>
  <c r="L89" i="1" s="1"/>
  <c r="M88" i="1"/>
  <c r="M89" i="1" s="1"/>
  <c r="N88" i="1"/>
  <c r="N89" i="1" s="1"/>
  <c r="J89" i="1"/>
  <c r="K89" i="1"/>
  <c r="K87" i="1"/>
  <c r="L87" i="1"/>
  <c r="M87" i="1"/>
  <c r="N87" i="1"/>
  <c r="J87" i="1"/>
  <c r="K86" i="1"/>
  <c r="L86" i="1"/>
  <c r="M86" i="1"/>
  <c r="N86" i="1"/>
  <c r="J86" i="1"/>
  <c r="K85" i="1"/>
  <c r="L85" i="1"/>
  <c r="M85" i="1"/>
  <c r="N85" i="1"/>
  <c r="J85" i="1"/>
  <c r="H136" i="1"/>
  <c r="H141" i="1" s="1"/>
  <c r="G119" i="1"/>
  <c r="H119" i="1"/>
  <c r="I119" i="1"/>
  <c r="F119" i="1"/>
  <c r="E119" i="1"/>
  <c r="K29" i="1"/>
  <c r="L29" i="1"/>
  <c r="M29" i="1"/>
  <c r="N29" i="1"/>
  <c r="J29" i="1"/>
  <c r="J24" i="1"/>
  <c r="J28" i="1" s="1"/>
  <c r="F16" i="1"/>
  <c r="G16" i="1"/>
  <c r="H16" i="1"/>
  <c r="I16" i="1"/>
  <c r="E16" i="1"/>
  <c r="F17" i="1"/>
  <c r="G17" i="1"/>
  <c r="H17" i="1"/>
  <c r="I17" i="1"/>
  <c r="E17" i="1"/>
  <c r="F15" i="1"/>
  <c r="G15" i="1"/>
  <c r="H15" i="1"/>
  <c r="I15" i="1"/>
  <c r="E15" i="1"/>
  <c r="F20" i="1"/>
  <c r="G20" i="1"/>
  <c r="H20" i="1"/>
  <c r="I20" i="1"/>
  <c r="E20" i="1"/>
  <c r="F19" i="1"/>
  <c r="K19" i="1" s="1"/>
  <c r="K99" i="1" s="1"/>
  <c r="G19" i="1"/>
  <c r="L19" i="1" s="1"/>
  <c r="L99" i="1" s="1"/>
  <c r="H19" i="1"/>
  <c r="M19" i="1" s="1"/>
  <c r="M99" i="1" s="1"/>
  <c r="I19" i="1"/>
  <c r="N19" i="1" s="1"/>
  <c r="N99" i="1" s="1"/>
  <c r="F18" i="1"/>
  <c r="G18" i="1"/>
  <c r="H18" i="1"/>
  <c r="I18" i="1"/>
  <c r="E18" i="1"/>
  <c r="F12" i="1"/>
  <c r="G12" i="1"/>
  <c r="H12" i="1"/>
  <c r="I12" i="1"/>
  <c r="E12" i="1"/>
  <c r="G11" i="1"/>
  <c r="F10" i="1"/>
  <c r="G10" i="1"/>
  <c r="H10" i="1"/>
  <c r="I10" i="1"/>
  <c r="E10" i="1"/>
  <c r="F9" i="1"/>
  <c r="G9" i="1"/>
  <c r="H9" i="1"/>
  <c r="I9" i="1"/>
  <c r="E9" i="1"/>
  <c r="F8" i="1"/>
  <c r="G8" i="1"/>
  <c r="H8" i="1"/>
  <c r="I8" i="1"/>
  <c r="E8" i="1"/>
  <c r="D119" i="1"/>
  <c r="F99" i="1"/>
  <c r="G99" i="1"/>
  <c r="H99" i="1"/>
  <c r="I99" i="1"/>
  <c r="G95" i="1"/>
  <c r="H92" i="1" s="1"/>
  <c r="E95" i="1"/>
  <c r="F87" i="1"/>
  <c r="F88" i="1" s="1"/>
  <c r="G87" i="1"/>
  <c r="G88" i="1" s="1"/>
  <c r="G89" i="1" s="1"/>
  <c r="H87" i="1"/>
  <c r="H88" i="1" s="1"/>
  <c r="I87" i="1"/>
  <c r="I88" i="1" s="1"/>
  <c r="I89" i="1" s="1"/>
  <c r="E87" i="1"/>
  <c r="E89" i="1" s="1"/>
  <c r="E64" i="1" s="1"/>
  <c r="F86" i="1"/>
  <c r="G86" i="1"/>
  <c r="H86" i="1"/>
  <c r="I86" i="1"/>
  <c r="E86" i="1"/>
  <c r="F85" i="1"/>
  <c r="G85" i="1"/>
  <c r="H85" i="1"/>
  <c r="I85" i="1"/>
  <c r="E85" i="1"/>
  <c r="F74" i="1"/>
  <c r="G74" i="1"/>
  <c r="H74" i="1"/>
  <c r="I74" i="1"/>
  <c r="F63" i="1"/>
  <c r="G63" i="1"/>
  <c r="H63" i="1"/>
  <c r="I63" i="1"/>
  <c r="E63" i="1"/>
  <c r="F32" i="1"/>
  <c r="G32" i="1"/>
  <c r="H32" i="1"/>
  <c r="I32" i="1"/>
  <c r="I33" i="1" s="1"/>
  <c r="I13" i="1" s="1"/>
  <c r="F26" i="1"/>
  <c r="F33" i="1" s="1"/>
  <c r="F13" i="1" s="1"/>
  <c r="G26" i="1"/>
  <c r="G33" i="1" s="1"/>
  <c r="G13" i="1" s="1"/>
  <c r="H26" i="1"/>
  <c r="I26" i="1"/>
  <c r="E26" i="1"/>
  <c r="E33" i="1" s="1"/>
  <c r="E13" i="1" s="1"/>
  <c r="F54" i="1"/>
  <c r="G54" i="1"/>
  <c r="H54" i="1"/>
  <c r="I54" i="1"/>
  <c r="E54" i="1"/>
  <c r="F50" i="1"/>
  <c r="G50" i="1"/>
  <c r="H50" i="1"/>
  <c r="I50" i="1"/>
  <c r="E50" i="1"/>
  <c r="E45" i="1"/>
  <c r="F45" i="1"/>
  <c r="I45" i="1"/>
  <c r="H45" i="1"/>
  <c r="G45" i="1"/>
  <c r="E117" i="11" l="1"/>
  <c r="E113" i="11"/>
  <c r="E111" i="11"/>
  <c r="E112" i="11"/>
  <c r="E109" i="11"/>
  <c r="E110" i="11"/>
  <c r="E63" i="11"/>
  <c r="E108" i="11"/>
  <c r="E114" i="11"/>
  <c r="E64" i="11"/>
  <c r="E83" i="11"/>
  <c r="E67" i="11"/>
  <c r="E84" i="11"/>
  <c r="E82" i="11"/>
  <c r="E75" i="11"/>
  <c r="E81" i="11"/>
  <c r="E85" i="11"/>
  <c r="E79" i="11"/>
  <c r="E78" i="11"/>
  <c r="E62" i="11"/>
  <c r="E71" i="11"/>
  <c r="E94" i="11"/>
  <c r="E95" i="11"/>
  <c r="E93" i="11"/>
  <c r="E92" i="11"/>
  <c r="E80" i="11"/>
  <c r="E86" i="11"/>
  <c r="E76" i="11"/>
  <c r="E23" i="11" s="1"/>
  <c r="E74" i="11"/>
  <c r="E70" i="11"/>
  <c r="E56" i="11"/>
  <c r="E72" i="11"/>
  <c r="E57" i="11"/>
  <c r="E65" i="11"/>
  <c r="E61" i="11"/>
  <c r="E53" i="11"/>
  <c r="E52" i="11"/>
  <c r="E127" i="11"/>
  <c r="E124" i="11"/>
  <c r="E123" i="11"/>
  <c r="E131" i="11"/>
  <c r="E136" i="11"/>
  <c r="E116" i="11"/>
  <c r="E139" i="11"/>
  <c r="E137" i="11"/>
  <c r="E115" i="11"/>
  <c r="F183" i="11"/>
  <c r="G183" i="11"/>
  <c r="E183" i="11"/>
  <c r="E182" i="11" s="1"/>
  <c r="H183" i="11"/>
  <c r="H182" i="11" s="1"/>
  <c r="E154" i="11"/>
  <c r="E155" i="11"/>
  <c r="E148" i="11"/>
  <c r="E134" i="11"/>
  <c r="E119" i="11"/>
  <c r="E132" i="11"/>
  <c r="E34" i="11"/>
  <c r="E13" i="11"/>
  <c r="E3" i="11"/>
  <c r="E99" i="11"/>
  <c r="N72" i="1"/>
  <c r="N74" i="1" s="1"/>
  <c r="M72" i="1"/>
  <c r="M74" i="1" s="1"/>
  <c r="L72" i="1"/>
  <c r="L74" i="1" s="1"/>
  <c r="L95" i="1"/>
  <c r="M92" i="1" s="1"/>
  <c r="L94" i="1"/>
  <c r="H11" i="1"/>
  <c r="H95" i="1"/>
  <c r="I92" i="1" s="1"/>
  <c r="F95" i="1"/>
  <c r="E121" i="1"/>
  <c r="H89" i="1"/>
  <c r="F89" i="1"/>
  <c r="F64" i="1" s="1"/>
  <c r="F121" i="1"/>
  <c r="G55" i="1"/>
  <c r="K24" i="1"/>
  <c r="J25" i="1"/>
  <c r="J26" i="1"/>
  <c r="H36" i="1"/>
  <c r="H62" i="1" s="1"/>
  <c r="H65" i="1" s="1"/>
  <c r="H76" i="1" s="1"/>
  <c r="H33" i="1"/>
  <c r="H13" i="1" s="1"/>
  <c r="E55" i="1"/>
  <c r="H55" i="1"/>
  <c r="H57" i="1" s="1"/>
  <c r="F55" i="1"/>
  <c r="F57" i="1" s="1"/>
  <c r="F36" i="1"/>
  <c r="F62" i="1" s="1"/>
  <c r="E36" i="1"/>
  <c r="E62" i="1" s="1"/>
  <c r="E65" i="1" s="1"/>
  <c r="I36" i="1"/>
  <c r="I62" i="1" s="1"/>
  <c r="I65" i="1" s="1"/>
  <c r="I76" i="1" s="1"/>
  <c r="G36" i="1"/>
  <c r="G62" i="1" s="1"/>
  <c r="G65" i="1" s="1"/>
  <c r="G76" i="1" s="1"/>
  <c r="I55" i="1"/>
  <c r="I57" i="1" s="1"/>
  <c r="G57" i="1"/>
  <c r="E153" i="11" l="1"/>
  <c r="E156" i="11" s="1"/>
  <c r="E25" i="11"/>
  <c r="E7" i="11"/>
  <c r="E21" i="11"/>
  <c r="F185" i="11"/>
  <c r="E27" i="11"/>
  <c r="E24" i="11"/>
  <c r="E125" i="11"/>
  <c r="E126" i="11" s="1"/>
  <c r="E133" i="11"/>
  <c r="E15" i="11"/>
  <c r="F65" i="1"/>
  <c r="F76" i="1" s="1"/>
  <c r="E22" i="11"/>
  <c r="E36" i="11"/>
  <c r="E9" i="11"/>
  <c r="E44" i="11"/>
  <c r="E11" i="11"/>
  <c r="E138" i="11"/>
  <c r="E162" i="11"/>
  <c r="E20" i="11"/>
  <c r="I185" i="11"/>
  <c r="I182" i="11"/>
  <c r="G182" i="11"/>
  <c r="G185" i="11"/>
  <c r="F182" i="11"/>
  <c r="E185" i="11"/>
  <c r="E26" i="11"/>
  <c r="H185" i="11"/>
  <c r="E91" i="11"/>
  <c r="E98" i="11" s="1"/>
  <c r="E97" i="11" s="1"/>
  <c r="E88" i="11"/>
  <c r="E60" i="11"/>
  <c r="E10" i="11" s="1"/>
  <c r="E54" i="11"/>
  <c r="E145" i="11" s="1"/>
  <c r="E55" i="11"/>
  <c r="E146" i="11" s="1"/>
  <c r="F2" i="11"/>
  <c r="M94" i="1"/>
  <c r="M95" i="1" s="1"/>
  <c r="N92" i="1" s="1"/>
  <c r="I95" i="1"/>
  <c r="I11" i="1"/>
  <c r="L24" i="1"/>
  <c r="K28" i="1"/>
  <c r="K25" i="1"/>
  <c r="K26" i="1" s="1"/>
  <c r="G121" i="1"/>
  <c r="F130" i="11" l="1"/>
  <c r="F161" i="11"/>
  <c r="F163" i="11"/>
  <c r="F157" i="11"/>
  <c r="F38" i="11"/>
  <c r="F46" i="11"/>
  <c r="F48" i="11" s="1"/>
  <c r="F45" i="11"/>
  <c r="F117" i="11"/>
  <c r="F113" i="11"/>
  <c r="F111" i="11"/>
  <c r="F112" i="11"/>
  <c r="F109" i="11"/>
  <c r="F110" i="11"/>
  <c r="F114" i="11"/>
  <c r="F108" i="11"/>
  <c r="E48" i="11"/>
  <c r="E107" i="11"/>
  <c r="E118" i="11" s="1"/>
  <c r="F64" i="11"/>
  <c r="F63" i="11"/>
  <c r="F83" i="11"/>
  <c r="F82" i="11"/>
  <c r="F84" i="11"/>
  <c r="F75" i="11"/>
  <c r="F81" i="11"/>
  <c r="F85" i="11"/>
  <c r="F79" i="11"/>
  <c r="F78" i="11"/>
  <c r="F62" i="11"/>
  <c r="F71" i="11"/>
  <c r="F95" i="11"/>
  <c r="F96" i="11"/>
  <c r="F94" i="11"/>
  <c r="F93" i="11"/>
  <c r="F92" i="11"/>
  <c r="F80" i="11"/>
  <c r="F86" i="11"/>
  <c r="F76" i="11"/>
  <c r="F74" i="11"/>
  <c r="E77" i="11"/>
  <c r="F72" i="11"/>
  <c r="F73" i="11"/>
  <c r="F57" i="11"/>
  <c r="F56" i="11"/>
  <c r="F61" i="11"/>
  <c r="F58" i="11"/>
  <c r="F65" i="11"/>
  <c r="E59" i="11"/>
  <c r="E66" i="11" s="1"/>
  <c r="F52" i="11"/>
  <c r="F70" i="11"/>
  <c r="F53" i="11"/>
  <c r="F37" i="11"/>
  <c r="F123" i="11"/>
  <c r="F124" i="11"/>
  <c r="F127" i="11"/>
  <c r="F131" i="11"/>
  <c r="F136" i="11"/>
  <c r="F116" i="11"/>
  <c r="F139" i="11"/>
  <c r="F137" i="11"/>
  <c r="F115" i="11"/>
  <c r="E51" i="11"/>
  <c r="F40" i="11"/>
  <c r="I26" i="11"/>
  <c r="I161" i="11" s="1"/>
  <c r="F155" i="11"/>
  <c r="F154" i="11"/>
  <c r="F148" i="11"/>
  <c r="F134" i="11"/>
  <c r="F132" i="11"/>
  <c r="F119" i="11"/>
  <c r="F41" i="11"/>
  <c r="F39" i="11"/>
  <c r="F34" i="11"/>
  <c r="F42" i="11"/>
  <c r="F99" i="11"/>
  <c r="F32" i="11"/>
  <c r="F13" i="11"/>
  <c r="F31" i="11"/>
  <c r="F7" i="11" s="1"/>
  <c r="F91" i="11"/>
  <c r="F88" i="11"/>
  <c r="E147" i="11"/>
  <c r="E149" i="11" s="1"/>
  <c r="F67" i="11"/>
  <c r="F60" i="11"/>
  <c r="F55" i="11"/>
  <c r="F146" i="11" s="1"/>
  <c r="F54" i="11"/>
  <c r="F145" i="11" s="1"/>
  <c r="E33" i="11"/>
  <c r="E16" i="11"/>
  <c r="E19" i="11"/>
  <c r="E8" i="11"/>
  <c r="E17" i="11"/>
  <c r="G2" i="11"/>
  <c r="F3" i="11"/>
  <c r="N94" i="1"/>
  <c r="N95" i="1" s="1"/>
  <c r="M24" i="1"/>
  <c r="L25" i="1"/>
  <c r="L28" i="1"/>
  <c r="L26" i="1"/>
  <c r="H121" i="1"/>
  <c r="F36" i="11" l="1"/>
  <c r="F12" i="11"/>
  <c r="F10" i="11"/>
  <c r="G130" i="11"/>
  <c r="G161" i="11"/>
  <c r="F165" i="11"/>
  <c r="G157" i="11"/>
  <c r="G163" i="11"/>
  <c r="F23" i="11"/>
  <c r="F18" i="11"/>
  <c r="M26" i="11"/>
  <c r="M161" i="11" s="1"/>
  <c r="F25" i="11"/>
  <c r="F153" i="11"/>
  <c r="G38" i="11"/>
  <c r="F27" i="11"/>
  <c r="F24" i="11"/>
  <c r="F125" i="11"/>
  <c r="F133" i="11"/>
  <c r="G46" i="11"/>
  <c r="G48" i="11" s="1"/>
  <c r="G45" i="11"/>
  <c r="F15" i="11"/>
  <c r="G117" i="11"/>
  <c r="F21" i="11"/>
  <c r="F22" i="11"/>
  <c r="G113" i="11"/>
  <c r="G111" i="11"/>
  <c r="G112" i="11"/>
  <c r="G109" i="11"/>
  <c r="G110" i="11"/>
  <c r="G108" i="11"/>
  <c r="G114" i="11"/>
  <c r="G64" i="11"/>
  <c r="G63" i="11"/>
  <c r="G83" i="11"/>
  <c r="G82" i="11"/>
  <c r="G84" i="11"/>
  <c r="G75" i="11"/>
  <c r="G81" i="11"/>
  <c r="G85" i="11"/>
  <c r="G79" i="11"/>
  <c r="G78" i="11"/>
  <c r="G62" i="11"/>
  <c r="G71" i="11"/>
  <c r="G95" i="11"/>
  <c r="F98" i="11"/>
  <c r="F97" i="11" s="1"/>
  <c r="G96" i="11"/>
  <c r="G94" i="11"/>
  <c r="G93" i="11"/>
  <c r="G92" i="11"/>
  <c r="E87" i="11"/>
  <c r="G80" i="11"/>
  <c r="G86" i="11"/>
  <c r="F77" i="11"/>
  <c r="F87" i="11" s="1"/>
  <c r="G76" i="11"/>
  <c r="G74" i="11"/>
  <c r="G72" i="11"/>
  <c r="G73" i="11"/>
  <c r="G57" i="11"/>
  <c r="G56" i="11"/>
  <c r="G61" i="11"/>
  <c r="G58" i="11"/>
  <c r="G65" i="11"/>
  <c r="F59" i="11"/>
  <c r="F66" i="11" s="1"/>
  <c r="G52" i="11"/>
  <c r="G70" i="11"/>
  <c r="G53" i="11"/>
  <c r="F9" i="11"/>
  <c r="G37" i="11"/>
  <c r="F44" i="11"/>
  <c r="F11" i="11"/>
  <c r="F138" i="11"/>
  <c r="G127" i="11"/>
  <c r="G123" i="11"/>
  <c r="G124" i="11"/>
  <c r="G131" i="11"/>
  <c r="G136" i="11"/>
  <c r="G116" i="11"/>
  <c r="G137" i="11"/>
  <c r="G139" i="11"/>
  <c r="F20" i="11"/>
  <c r="G115" i="11"/>
  <c r="F51" i="11"/>
  <c r="F107" i="11"/>
  <c r="F118" i="11" s="1"/>
  <c r="F47" i="11"/>
  <c r="G40" i="11"/>
  <c r="G155" i="11"/>
  <c r="G154" i="11"/>
  <c r="E164" i="11"/>
  <c r="G148" i="11"/>
  <c r="G134" i="11"/>
  <c r="G132" i="11"/>
  <c r="G119" i="11"/>
  <c r="F26" i="11"/>
  <c r="J26" i="11" s="1"/>
  <c r="J161" i="11" s="1"/>
  <c r="F162" i="11"/>
  <c r="G41" i="11"/>
  <c r="G39" i="11"/>
  <c r="G34" i="11"/>
  <c r="G42" i="11"/>
  <c r="G99" i="11"/>
  <c r="G32" i="11"/>
  <c r="G13" i="11"/>
  <c r="G31" i="11"/>
  <c r="G91" i="11"/>
  <c r="G88" i="11"/>
  <c r="G67" i="11"/>
  <c r="F147" i="11"/>
  <c r="F149" i="11" s="1"/>
  <c r="G60" i="11"/>
  <c r="G54" i="11"/>
  <c r="G145" i="11" s="1"/>
  <c r="G55" i="11"/>
  <c r="G146" i="11" s="1"/>
  <c r="F33" i="11"/>
  <c r="F19" i="11"/>
  <c r="F17" i="11"/>
  <c r="F8" i="11"/>
  <c r="F16" i="11"/>
  <c r="H2" i="11"/>
  <c r="G3" i="11"/>
  <c r="N24" i="1"/>
  <c r="M28" i="1"/>
  <c r="M25" i="1"/>
  <c r="M26" i="1" s="1"/>
  <c r="I121" i="1"/>
  <c r="G12" i="11" l="1"/>
  <c r="G10" i="11"/>
  <c r="H130" i="11"/>
  <c r="H38" i="11"/>
  <c r="H161" i="11"/>
  <c r="G165" i="11"/>
  <c r="H157" i="11"/>
  <c r="H163" i="11"/>
  <c r="G23" i="11"/>
  <c r="G18" i="11"/>
  <c r="F101" i="11"/>
  <c r="F103" i="11" s="1"/>
  <c r="G25" i="11"/>
  <c r="G153" i="11"/>
  <c r="F150" i="11"/>
  <c r="H136" i="11"/>
  <c r="G27" i="11"/>
  <c r="G24" i="11"/>
  <c r="G125" i="11"/>
  <c r="G126" i="11" s="1"/>
  <c r="H45" i="11"/>
  <c r="H46" i="11"/>
  <c r="G133" i="11"/>
  <c r="G15" i="11"/>
  <c r="H117" i="11"/>
  <c r="I117" i="11" s="1"/>
  <c r="G21" i="11"/>
  <c r="G22" i="11"/>
  <c r="H113" i="11"/>
  <c r="M113" i="11" s="1"/>
  <c r="H111" i="11"/>
  <c r="H112" i="11"/>
  <c r="H109" i="11"/>
  <c r="H110" i="11"/>
  <c r="H108" i="11"/>
  <c r="H114" i="11"/>
  <c r="H64" i="11"/>
  <c r="I64" i="11" s="1"/>
  <c r="H63" i="11"/>
  <c r="M63" i="11" s="1"/>
  <c r="H83" i="11"/>
  <c r="K83" i="11" s="1"/>
  <c r="E101" i="11"/>
  <c r="E103" i="11" s="1"/>
  <c r="H82" i="11"/>
  <c r="K82" i="11" s="1"/>
  <c r="H84" i="11"/>
  <c r="K84" i="11" s="1"/>
  <c r="H75" i="11"/>
  <c r="J75" i="11" s="1"/>
  <c r="H81" i="11"/>
  <c r="I81" i="11" s="1"/>
  <c r="H85" i="11"/>
  <c r="H79" i="11"/>
  <c r="I79" i="11" s="1"/>
  <c r="H78" i="11"/>
  <c r="H62" i="11"/>
  <c r="J62" i="11" s="1"/>
  <c r="H71" i="11"/>
  <c r="H95" i="11"/>
  <c r="K95" i="11" s="1"/>
  <c r="G98" i="11"/>
  <c r="G97" i="11" s="1"/>
  <c r="H96" i="11"/>
  <c r="I96" i="11" s="1"/>
  <c r="H94" i="11"/>
  <c r="L94" i="11" s="1"/>
  <c r="H93" i="11"/>
  <c r="L93" i="11" s="1"/>
  <c r="H92" i="11"/>
  <c r="K92" i="11" s="1"/>
  <c r="H80" i="11"/>
  <c r="L80" i="11" s="1"/>
  <c r="H86" i="11"/>
  <c r="J86" i="11" s="1"/>
  <c r="G77" i="11"/>
  <c r="G87" i="11" s="1"/>
  <c r="H76" i="11"/>
  <c r="H74" i="11"/>
  <c r="M74" i="11" s="1"/>
  <c r="H72" i="11"/>
  <c r="H73" i="11"/>
  <c r="G147" i="11"/>
  <c r="G149" i="11" s="1"/>
  <c r="H57" i="11"/>
  <c r="M57" i="11" s="1"/>
  <c r="H56" i="11"/>
  <c r="I56" i="11" s="1"/>
  <c r="H61" i="11"/>
  <c r="I61" i="11" s="1"/>
  <c r="H58" i="11"/>
  <c r="H65" i="11"/>
  <c r="I65" i="11" s="1"/>
  <c r="G59" i="11"/>
  <c r="G66" i="11" s="1"/>
  <c r="H52" i="11"/>
  <c r="H70" i="11"/>
  <c r="H53" i="11"/>
  <c r="G36" i="11"/>
  <c r="G9" i="11"/>
  <c r="G44" i="11"/>
  <c r="H37" i="11"/>
  <c r="G11" i="11"/>
  <c r="G138" i="11"/>
  <c r="H124" i="11"/>
  <c r="H127" i="11"/>
  <c r="H123" i="11"/>
  <c r="H131" i="11"/>
  <c r="I131" i="11" s="1"/>
  <c r="H116" i="11"/>
  <c r="H137" i="11"/>
  <c r="H139" i="11"/>
  <c r="G20" i="11"/>
  <c r="H115" i="11"/>
  <c r="G51" i="11"/>
  <c r="H40" i="11"/>
  <c r="G107" i="11"/>
  <c r="G118" i="11" s="1"/>
  <c r="G47" i="11"/>
  <c r="G160" i="11"/>
  <c r="H155" i="11"/>
  <c r="H154" i="11"/>
  <c r="E120" i="11"/>
  <c r="H148" i="11"/>
  <c r="H134" i="11"/>
  <c r="H119" i="11"/>
  <c r="H132" i="11"/>
  <c r="H27" i="11" s="1"/>
  <c r="G26" i="11"/>
  <c r="K26" i="11" s="1"/>
  <c r="K161" i="11" s="1"/>
  <c r="H41" i="11"/>
  <c r="H42" i="11"/>
  <c r="H39" i="11"/>
  <c r="H34" i="11"/>
  <c r="H31" i="11"/>
  <c r="H32" i="11"/>
  <c r="H13" i="11"/>
  <c r="D169" i="11" s="1"/>
  <c r="H99" i="11"/>
  <c r="H91" i="11"/>
  <c r="H88" i="11"/>
  <c r="H67" i="11"/>
  <c r="H55" i="11"/>
  <c r="H146" i="11" s="1"/>
  <c r="H54" i="11"/>
  <c r="H145" i="11" s="1"/>
  <c r="H60" i="11"/>
  <c r="G7" i="11"/>
  <c r="G16" i="11"/>
  <c r="G33" i="11"/>
  <c r="G19" i="11"/>
  <c r="G17" i="11"/>
  <c r="G8" i="11"/>
  <c r="H3" i="11"/>
  <c r="I2" i="11"/>
  <c r="J2" i="11" s="1"/>
  <c r="K2" i="11" s="1"/>
  <c r="L2" i="11" s="1"/>
  <c r="M2" i="11" s="1"/>
  <c r="N25" i="1"/>
  <c r="N26" i="1" s="1"/>
  <c r="N28" i="1"/>
  <c r="E74" i="1"/>
  <c r="E76" i="1"/>
  <c r="F77" i="1" s="1"/>
  <c r="E19" i="1"/>
  <c r="J19" i="1" s="1"/>
  <c r="E99" i="1"/>
  <c r="E100" i="1"/>
  <c r="E101" i="1" s="1"/>
  <c r="F98" i="1"/>
  <c r="F100" i="1" s="1"/>
  <c r="H10" i="11" l="1"/>
  <c r="D10" i="11" s="1"/>
  <c r="H12" i="11"/>
  <c r="I12" i="11" s="1"/>
  <c r="H15" i="11"/>
  <c r="D15" i="11" s="1"/>
  <c r="H165" i="11"/>
  <c r="G162" i="11"/>
  <c r="G164" i="11" s="1"/>
  <c r="H23" i="11"/>
  <c r="K23" i="11" s="1"/>
  <c r="I58" i="11"/>
  <c r="H18" i="11"/>
  <c r="D18" i="11" s="1"/>
  <c r="I92" i="11"/>
  <c r="L92" i="11"/>
  <c r="J92" i="11"/>
  <c r="M92" i="11"/>
  <c r="H25" i="11"/>
  <c r="M25" i="11" s="1"/>
  <c r="I63" i="11"/>
  <c r="K80" i="11"/>
  <c r="K81" i="11"/>
  <c r="M75" i="11"/>
  <c r="J82" i="11"/>
  <c r="J74" i="11"/>
  <c r="H153" i="11"/>
  <c r="L63" i="11"/>
  <c r="J80" i="11"/>
  <c r="I74" i="11"/>
  <c r="L64" i="11"/>
  <c r="K75" i="11"/>
  <c r="I82" i="11"/>
  <c r="M64" i="11"/>
  <c r="L82" i="11"/>
  <c r="M82" i="11"/>
  <c r="J83" i="11"/>
  <c r="I80" i="11"/>
  <c r="M80" i="11"/>
  <c r="I75" i="11"/>
  <c r="L75" i="11"/>
  <c r="K74" i="11"/>
  <c r="L74" i="11"/>
  <c r="M86" i="11"/>
  <c r="L86" i="11"/>
  <c r="L57" i="11"/>
  <c r="L62" i="11"/>
  <c r="L84" i="11"/>
  <c r="L81" i="11"/>
  <c r="J81" i="11"/>
  <c r="J95" i="11"/>
  <c r="K94" i="11"/>
  <c r="L95" i="11"/>
  <c r="L65" i="11"/>
  <c r="J63" i="11"/>
  <c r="L79" i="11"/>
  <c r="M58" i="11"/>
  <c r="J96" i="11"/>
  <c r="M96" i="11"/>
  <c r="I86" i="11"/>
  <c r="I57" i="11"/>
  <c r="J56" i="11"/>
  <c r="M95" i="11"/>
  <c r="K61" i="11"/>
  <c r="K63" i="11"/>
  <c r="I83" i="11"/>
  <c r="J65" i="11"/>
  <c r="L83" i="11"/>
  <c r="I95" i="11"/>
  <c r="J61" i="11"/>
  <c r="J64" i="11"/>
  <c r="M83" i="11"/>
  <c r="L56" i="11"/>
  <c r="J58" i="11"/>
  <c r="M81" i="11"/>
  <c r="K64" i="11"/>
  <c r="I62" i="11"/>
  <c r="I84" i="11"/>
  <c r="M62" i="11"/>
  <c r="J84" i="11"/>
  <c r="K58" i="11"/>
  <c r="M79" i="11"/>
  <c r="J57" i="11"/>
  <c r="K57" i="11"/>
  <c r="K86" i="11"/>
  <c r="M61" i="11"/>
  <c r="K79" i="11"/>
  <c r="L58" i="11"/>
  <c r="J79" i="11"/>
  <c r="K93" i="11"/>
  <c r="J93" i="11"/>
  <c r="M65" i="11"/>
  <c r="M93" i="11"/>
  <c r="J94" i="11"/>
  <c r="L96" i="11"/>
  <c r="L61" i="11"/>
  <c r="I93" i="11"/>
  <c r="K56" i="11"/>
  <c r="K96" i="11"/>
  <c r="M56" i="11"/>
  <c r="I94" i="11"/>
  <c r="K62" i="11"/>
  <c r="K65" i="11"/>
  <c r="M94" i="11"/>
  <c r="M84" i="11"/>
  <c r="J117" i="11"/>
  <c r="I113" i="11"/>
  <c r="J113" i="11"/>
  <c r="K113" i="11"/>
  <c r="L117" i="11"/>
  <c r="M117" i="11"/>
  <c r="L113" i="11"/>
  <c r="K117" i="11"/>
  <c r="I132" i="11"/>
  <c r="J131" i="11"/>
  <c r="K131" i="11" s="1"/>
  <c r="H24" i="11"/>
  <c r="H125" i="11"/>
  <c r="H126" i="11" s="1"/>
  <c r="H133" i="11"/>
  <c r="G150" i="11"/>
  <c r="H21" i="11"/>
  <c r="H22" i="11"/>
  <c r="G101" i="11"/>
  <c r="G103" i="11" s="1"/>
  <c r="H98" i="11"/>
  <c r="H97" i="11" s="1"/>
  <c r="J97" i="11" s="1"/>
  <c r="H77" i="11"/>
  <c r="H87" i="11" s="1"/>
  <c r="H59" i="11"/>
  <c r="H66" i="11" s="1"/>
  <c r="H36" i="11"/>
  <c r="H47" i="11"/>
  <c r="D47" i="11" s="1"/>
  <c r="H48" i="11"/>
  <c r="H9" i="11"/>
  <c r="I9" i="11" s="1"/>
  <c r="H44" i="11"/>
  <c r="H11" i="11"/>
  <c r="H138" i="11"/>
  <c r="I137" i="11" s="1"/>
  <c r="H51" i="11"/>
  <c r="D13" i="11"/>
  <c r="I13" i="11"/>
  <c r="L13" i="11"/>
  <c r="M13" i="11"/>
  <c r="H20" i="11"/>
  <c r="L20" i="11" s="1"/>
  <c r="J13" i="11"/>
  <c r="K13" i="11"/>
  <c r="F164" i="11"/>
  <c r="H107" i="11"/>
  <c r="H118" i="11" s="1"/>
  <c r="I27" i="11"/>
  <c r="H26" i="11"/>
  <c r="L26" i="11" s="1"/>
  <c r="L161" i="11" s="1"/>
  <c r="H147" i="11"/>
  <c r="H149" i="11" s="1"/>
  <c r="H17" i="11"/>
  <c r="J17" i="11" s="1"/>
  <c r="H8" i="11"/>
  <c r="J8" i="11" s="1"/>
  <c r="H19" i="11"/>
  <c r="M19" i="11" s="1"/>
  <c r="H33" i="11"/>
  <c r="H7" i="11"/>
  <c r="I6" i="11" s="1"/>
  <c r="H16" i="11"/>
  <c r="J16" i="11" s="1"/>
  <c r="J99" i="1"/>
  <c r="J72" i="1"/>
  <c r="J74" i="1" s="1"/>
  <c r="F101" i="1"/>
  <c r="G98" i="1"/>
  <c r="G100" i="1" s="1"/>
  <c r="F78" i="1"/>
  <c r="F80" i="1" s="1"/>
  <c r="G77" i="1"/>
  <c r="E78" i="1"/>
  <c r="E80" i="1" s="1"/>
  <c r="J20" i="11" l="1"/>
  <c r="K20" i="11"/>
  <c r="M20" i="11"/>
  <c r="I16" i="11"/>
  <c r="M16" i="11"/>
  <c r="L16" i="11"/>
  <c r="K16" i="11"/>
  <c r="I20" i="11"/>
  <c r="K9" i="11"/>
  <c r="M9" i="11"/>
  <c r="L9" i="11"/>
  <c r="J9" i="11"/>
  <c r="M7" i="11"/>
  <c r="K25" i="11"/>
  <c r="J25" i="11"/>
  <c r="D25" i="11"/>
  <c r="L25" i="11"/>
  <c r="I25" i="11"/>
  <c r="L97" i="11"/>
  <c r="K97" i="11"/>
  <c r="I97" i="11"/>
  <c r="M97" i="11"/>
  <c r="J21" i="11"/>
  <c r="D24" i="11"/>
  <c r="L131" i="11"/>
  <c r="M131" i="11" s="1"/>
  <c r="I24" i="11"/>
  <c r="J132" i="11"/>
  <c r="M15" i="11"/>
  <c r="K15" i="11"/>
  <c r="I15" i="11"/>
  <c r="L15" i="11"/>
  <c r="J15" i="11"/>
  <c r="K18" i="11"/>
  <c r="L18" i="11"/>
  <c r="I18" i="11"/>
  <c r="M18" i="11"/>
  <c r="J18" i="11"/>
  <c r="D23" i="11"/>
  <c r="M23" i="11"/>
  <c r="L23" i="11"/>
  <c r="I23" i="11"/>
  <c r="J23" i="11"/>
  <c r="D21" i="11"/>
  <c r="H150" i="11"/>
  <c r="I21" i="11"/>
  <c r="L21" i="11"/>
  <c r="M21" i="11"/>
  <c r="K21" i="11"/>
  <c r="L22" i="11"/>
  <c r="M22" i="11"/>
  <c r="D22" i="11"/>
  <c r="K22" i="11"/>
  <c r="I22" i="11"/>
  <c r="J22" i="11"/>
  <c r="H101" i="11"/>
  <c r="H103" i="11" s="1"/>
  <c r="G120" i="11"/>
  <c r="D36" i="11"/>
  <c r="D9" i="11"/>
  <c r="I10" i="11"/>
  <c r="D11" i="11"/>
  <c r="M11" i="11"/>
  <c r="I11" i="11"/>
  <c r="L11" i="11"/>
  <c r="J11" i="11"/>
  <c r="K11" i="11"/>
  <c r="I7" i="11"/>
  <c r="I31" i="11" s="1"/>
  <c r="E186" i="11" s="1"/>
  <c r="F120" i="11"/>
  <c r="E141" i="11"/>
  <c r="L10" i="11"/>
  <c r="D7" i="11"/>
  <c r="N13" i="11"/>
  <c r="O13" i="11" s="1"/>
  <c r="D20" i="11"/>
  <c r="D12" i="11"/>
  <c r="D8" i="11"/>
  <c r="L17" i="11"/>
  <c r="K17" i="11"/>
  <c r="I17" i="11"/>
  <c r="L19" i="11"/>
  <c r="K12" i="11"/>
  <c r="I19" i="11"/>
  <c r="K19" i="11"/>
  <c r="L12" i="11"/>
  <c r="M12" i="11"/>
  <c r="M17" i="11"/>
  <c r="J19" i="11"/>
  <c r="J12" i="11"/>
  <c r="M10" i="11"/>
  <c r="J10" i="11"/>
  <c r="K10" i="11"/>
  <c r="L8" i="11"/>
  <c r="I8" i="11"/>
  <c r="M8" i="11"/>
  <c r="K8" i="11"/>
  <c r="H160" i="11"/>
  <c r="J27" i="11"/>
  <c r="H98" i="1"/>
  <c r="H100" i="1" s="1"/>
  <c r="G101" i="1"/>
  <c r="G78" i="1"/>
  <c r="G80" i="1" s="1"/>
  <c r="H77" i="1"/>
  <c r="E192" i="11" l="1"/>
  <c r="I145" i="11"/>
  <c r="I154" i="11"/>
  <c r="I123" i="11" s="1"/>
  <c r="J7" i="11"/>
  <c r="I76" i="11"/>
  <c r="H162" i="11"/>
  <c r="H164" i="11" s="1"/>
  <c r="I85" i="11"/>
  <c r="I38" i="11"/>
  <c r="I73" i="11"/>
  <c r="K132" i="11"/>
  <c r="L132" i="11" s="1"/>
  <c r="I130" i="11"/>
  <c r="I133" i="11" s="1"/>
  <c r="J24" i="11"/>
  <c r="N18" i="11"/>
  <c r="I37" i="11"/>
  <c r="N11" i="11"/>
  <c r="F141" i="11"/>
  <c r="N12" i="11"/>
  <c r="O12" i="11" s="1"/>
  <c r="N8" i="11"/>
  <c r="O8" i="11" s="1"/>
  <c r="N10" i="11"/>
  <c r="O10" i="11" s="1"/>
  <c r="N19" i="11"/>
  <c r="O19" i="11" s="1"/>
  <c r="N17" i="11"/>
  <c r="O17" i="11" s="1"/>
  <c r="K7" i="11"/>
  <c r="L7" i="11"/>
  <c r="K27" i="11"/>
  <c r="G141" i="11"/>
  <c r="I77" i="1"/>
  <c r="H78" i="1"/>
  <c r="H80" i="1" s="1"/>
  <c r="H101" i="1"/>
  <c r="I98" i="1"/>
  <c r="I100" i="1" s="1"/>
  <c r="I160" i="11" l="1"/>
  <c r="I162" i="11" s="1"/>
  <c r="I78" i="11" s="1"/>
  <c r="K24" i="11"/>
  <c r="L24" i="11" s="1"/>
  <c r="M132" i="11"/>
  <c r="N9" i="11"/>
  <c r="I78" i="1"/>
  <c r="J77" i="1"/>
  <c r="J78" i="1" s="1"/>
  <c r="H120" i="11"/>
  <c r="J31" i="11"/>
  <c r="F186" i="11" s="1"/>
  <c r="F192" i="11" s="1"/>
  <c r="I32" i="11"/>
  <c r="N7" i="11"/>
  <c r="O7" i="11" s="1"/>
  <c r="L27" i="11"/>
  <c r="J98" i="1"/>
  <c r="J100" i="1" s="1"/>
  <c r="I101" i="1"/>
  <c r="J76" i="11" l="1"/>
  <c r="K31" i="11"/>
  <c r="I164" i="11"/>
  <c r="I39" i="11" s="1"/>
  <c r="I165" i="11" s="1"/>
  <c r="J160" i="11"/>
  <c r="J162" i="11" s="1"/>
  <c r="J78" i="11" s="1"/>
  <c r="J85" i="11"/>
  <c r="J38" i="11"/>
  <c r="J73" i="11"/>
  <c r="I148" i="11"/>
  <c r="I72" i="11"/>
  <c r="I40" i="11"/>
  <c r="I36" i="11" s="1"/>
  <c r="J130" i="11"/>
  <c r="J133" i="11" s="1"/>
  <c r="M24" i="11"/>
  <c r="I54" i="11"/>
  <c r="J37" i="11"/>
  <c r="I147" i="11"/>
  <c r="I71" i="11" s="1"/>
  <c r="I80" i="1"/>
  <c r="D137" i="1"/>
  <c r="H138" i="1"/>
  <c r="H139" i="1" s="1"/>
  <c r="D131" i="1" s="1"/>
  <c r="D132" i="1" s="1"/>
  <c r="H203" i="11"/>
  <c r="D175" i="11" s="1"/>
  <c r="I146" i="11"/>
  <c r="I55" i="11" s="1"/>
  <c r="J32" i="11"/>
  <c r="J72" i="11" s="1"/>
  <c r="J154" i="11"/>
  <c r="N16" i="11"/>
  <c r="O16" i="11" s="1"/>
  <c r="I33" i="11"/>
  <c r="J145" i="11"/>
  <c r="M27" i="11"/>
  <c r="J101" i="1"/>
  <c r="K98" i="1"/>
  <c r="K100" i="1" s="1"/>
  <c r="J49" i="1"/>
  <c r="J50" i="1" s="1"/>
  <c r="K76" i="11" l="1"/>
  <c r="G186" i="11"/>
  <c r="G192" i="11" s="1"/>
  <c r="N20" i="11"/>
  <c r="O20" i="11" s="1"/>
  <c r="J164" i="11"/>
  <c r="F188" i="11" s="1"/>
  <c r="K160" i="11"/>
  <c r="K162" i="11" s="1"/>
  <c r="K78" i="11" s="1"/>
  <c r="E188" i="11"/>
  <c r="K85" i="11"/>
  <c r="I41" i="11"/>
  <c r="K38" i="11"/>
  <c r="K73" i="11"/>
  <c r="I77" i="11"/>
  <c r="I87" i="11" s="1"/>
  <c r="D195" i="11"/>
  <c r="D196" i="11" s="1"/>
  <c r="I203" i="11"/>
  <c r="I149" i="11"/>
  <c r="I150" i="11" s="1"/>
  <c r="K130" i="11"/>
  <c r="K133" i="11" s="1"/>
  <c r="J123" i="11"/>
  <c r="J147" i="11"/>
  <c r="J71" i="11" s="1"/>
  <c r="J77" i="11" s="1"/>
  <c r="J87" i="11" s="1"/>
  <c r="J148" i="11"/>
  <c r="J54" i="11"/>
  <c r="J40" i="11"/>
  <c r="K37" i="11"/>
  <c r="K32" i="11"/>
  <c r="K72" i="11" s="1"/>
  <c r="K145" i="11"/>
  <c r="L31" i="11"/>
  <c r="K154" i="11"/>
  <c r="K123" i="11" s="1"/>
  <c r="H141" i="11"/>
  <c r="J33" i="11"/>
  <c r="J146" i="11"/>
  <c r="J55" i="11" s="1"/>
  <c r="J31" i="1"/>
  <c r="J32" i="1" s="1"/>
  <c r="E124" i="1"/>
  <c r="K49" i="1"/>
  <c r="K50" i="1" s="1"/>
  <c r="L98" i="1"/>
  <c r="L100" i="1" s="1"/>
  <c r="K101" i="1"/>
  <c r="J33" i="1"/>
  <c r="I116" i="11" l="1"/>
  <c r="L76" i="11"/>
  <c r="H186" i="11"/>
  <c r="H192" i="11" s="1"/>
  <c r="L160" i="11"/>
  <c r="L162" i="11" s="1"/>
  <c r="L164" i="11" s="1"/>
  <c r="H188" i="11" s="1"/>
  <c r="J39" i="11"/>
  <c r="J165" i="11" s="1"/>
  <c r="K164" i="11"/>
  <c r="G188" i="11" s="1"/>
  <c r="E187" i="11"/>
  <c r="I42" i="11"/>
  <c r="L85" i="11"/>
  <c r="L38" i="11"/>
  <c r="L73" i="11"/>
  <c r="J149" i="11"/>
  <c r="J150" i="11" s="1"/>
  <c r="L130" i="11"/>
  <c r="L133" i="11" s="1"/>
  <c r="K33" i="11"/>
  <c r="K148" i="11"/>
  <c r="K54" i="11"/>
  <c r="K40" i="11"/>
  <c r="L32" i="11"/>
  <c r="L72" i="11" s="1"/>
  <c r="L37" i="11"/>
  <c r="I45" i="11"/>
  <c r="I44" i="11" s="1"/>
  <c r="K146" i="11"/>
  <c r="K55" i="11" s="1"/>
  <c r="K147" i="11"/>
  <c r="K71" i="11" s="1"/>
  <c r="K77" i="11" s="1"/>
  <c r="K87" i="11" s="1"/>
  <c r="L154" i="11"/>
  <c r="L123" i="11" s="1"/>
  <c r="L145" i="11"/>
  <c r="M31" i="11"/>
  <c r="J35" i="1"/>
  <c r="J36" i="1" s="1"/>
  <c r="J62" i="1" s="1"/>
  <c r="J65" i="1" s="1"/>
  <c r="J76" i="1" s="1"/>
  <c r="E123" i="1"/>
  <c r="E125" i="1" s="1"/>
  <c r="K31" i="1"/>
  <c r="K32" i="1" s="1"/>
  <c r="K33" i="1" s="1"/>
  <c r="F124" i="1"/>
  <c r="L49" i="1"/>
  <c r="L50" i="1" s="1"/>
  <c r="M98" i="1"/>
  <c r="M100" i="1" s="1"/>
  <c r="L101" i="1"/>
  <c r="J116" i="11" l="1"/>
  <c r="F193" i="11"/>
  <c r="M76" i="11"/>
  <c r="I186" i="11"/>
  <c r="I192" i="11" s="1"/>
  <c r="K39" i="11"/>
  <c r="K165" i="11" s="1"/>
  <c r="L39" i="11"/>
  <c r="L165" i="11" s="1"/>
  <c r="J41" i="11"/>
  <c r="F187" i="11" s="1"/>
  <c r="L78" i="11"/>
  <c r="M160" i="11"/>
  <c r="M162" i="11" s="1"/>
  <c r="M164" i="11" s="1"/>
  <c r="I188" i="11" s="1"/>
  <c r="M85" i="11"/>
  <c r="M38" i="11"/>
  <c r="M73" i="11"/>
  <c r="K149" i="11"/>
  <c r="K150" i="11" s="1"/>
  <c r="M130" i="11"/>
  <c r="M133" i="11" s="1"/>
  <c r="L33" i="11"/>
  <c r="L148" i="11"/>
  <c r="L54" i="11"/>
  <c r="L40" i="11"/>
  <c r="L147" i="11"/>
  <c r="L71" i="11" s="1"/>
  <c r="L77" i="11" s="1"/>
  <c r="L146" i="11"/>
  <c r="L55" i="11" s="1"/>
  <c r="M32" i="11"/>
  <c r="M72" i="11" s="1"/>
  <c r="M37" i="11"/>
  <c r="I46" i="11"/>
  <c r="I91" i="11" s="1"/>
  <c r="M154" i="11"/>
  <c r="M145" i="11"/>
  <c r="K35" i="1"/>
  <c r="K36" i="1" s="1"/>
  <c r="K62" i="1" s="1"/>
  <c r="K65" i="1" s="1"/>
  <c r="K76" i="1" s="1"/>
  <c r="F123" i="1"/>
  <c r="F125" i="1" s="1"/>
  <c r="K77" i="1"/>
  <c r="J41" i="1"/>
  <c r="L31" i="1"/>
  <c r="L32" i="1" s="1"/>
  <c r="G124" i="1"/>
  <c r="E126" i="1"/>
  <c r="E130" i="1"/>
  <c r="E132" i="1" s="1"/>
  <c r="N98" i="1"/>
  <c r="N100" i="1" s="1"/>
  <c r="M49" i="1"/>
  <c r="M50" i="1" s="1"/>
  <c r="M101" i="1"/>
  <c r="L87" i="11" l="1"/>
  <c r="K116" i="11"/>
  <c r="G193" i="11"/>
  <c r="M78" i="11"/>
  <c r="M39" i="11"/>
  <c r="M165" i="11" s="1"/>
  <c r="K41" i="11"/>
  <c r="G187" i="11" s="1"/>
  <c r="L41" i="11"/>
  <c r="H187" i="11" s="1"/>
  <c r="J45" i="11"/>
  <c r="J44" i="11" s="1"/>
  <c r="M123" i="11"/>
  <c r="L149" i="11"/>
  <c r="L150" i="11" s="1"/>
  <c r="K78" i="1"/>
  <c r="M33" i="11"/>
  <c r="M148" i="11"/>
  <c r="M54" i="11"/>
  <c r="M40" i="11"/>
  <c r="M146" i="11"/>
  <c r="M55" i="11" s="1"/>
  <c r="I47" i="11"/>
  <c r="I48" i="11"/>
  <c r="M147" i="11"/>
  <c r="M71" i="11" s="1"/>
  <c r="M77" i="11" s="1"/>
  <c r="L33" i="1"/>
  <c r="M31" i="1"/>
  <c r="M32" i="1" s="1"/>
  <c r="M33" i="1" s="1"/>
  <c r="H124" i="1"/>
  <c r="L77" i="1"/>
  <c r="K41" i="1"/>
  <c r="K45" i="1" s="1"/>
  <c r="K53" i="1" s="1"/>
  <c r="K54" i="1" s="1"/>
  <c r="K55" i="1" s="1"/>
  <c r="K57" i="1" s="1"/>
  <c r="J80" i="1"/>
  <c r="J45" i="1"/>
  <c r="F126" i="1"/>
  <c r="F130" i="1" s="1"/>
  <c r="F132" i="1" s="1"/>
  <c r="N49" i="1"/>
  <c r="N50" i="1" s="1"/>
  <c r="N101" i="1"/>
  <c r="L116" i="11" l="1"/>
  <c r="H193" i="11"/>
  <c r="M87" i="11"/>
  <c r="M41" i="11"/>
  <c r="I187" i="11" s="1"/>
  <c r="K45" i="11"/>
  <c r="K44" i="11" s="1"/>
  <c r="L45" i="11"/>
  <c r="L44" i="11" s="1"/>
  <c r="J46" i="11"/>
  <c r="J91" i="11" s="1"/>
  <c r="M149" i="11"/>
  <c r="M150" i="11" s="1"/>
  <c r="K80" i="1"/>
  <c r="M35" i="1"/>
  <c r="M36" i="1" s="1"/>
  <c r="M62" i="1" s="1"/>
  <c r="M65" i="1" s="1"/>
  <c r="M76" i="1" s="1"/>
  <c r="H123" i="1"/>
  <c r="H125" i="1" s="1"/>
  <c r="L35" i="1"/>
  <c r="L36" i="1" s="1"/>
  <c r="L62" i="1" s="1"/>
  <c r="L65" i="1" s="1"/>
  <c r="L76" i="1" s="1"/>
  <c r="L78" i="1" s="1"/>
  <c r="G123" i="1"/>
  <c r="G125" i="1" s="1"/>
  <c r="N31" i="1"/>
  <c r="N32" i="1" s="1"/>
  <c r="N33" i="1" s="1"/>
  <c r="I124" i="1"/>
  <c r="J54" i="1"/>
  <c r="J55" i="1" s="1"/>
  <c r="J57" i="1" s="1"/>
  <c r="M116" i="11" l="1"/>
  <c r="I193" i="11"/>
  <c r="E193" i="11" s="1"/>
  <c r="M45" i="11"/>
  <c r="M44" i="11" s="1"/>
  <c r="K46" i="11"/>
  <c r="K91" i="11" s="1"/>
  <c r="L46" i="11"/>
  <c r="L47" i="11" s="1"/>
  <c r="J47" i="11"/>
  <c r="J48" i="11"/>
  <c r="N35" i="1"/>
  <c r="N36" i="1" s="1"/>
  <c r="N62" i="1" s="1"/>
  <c r="N65" i="1" s="1"/>
  <c r="N76" i="1" s="1"/>
  <c r="I123" i="1"/>
  <c r="I125" i="1" s="1"/>
  <c r="L41" i="1"/>
  <c r="L45" i="1" s="1"/>
  <c r="L53" i="1" s="1"/>
  <c r="L54" i="1" s="1"/>
  <c r="L55" i="1" s="1"/>
  <c r="L57" i="1" s="1"/>
  <c r="L80" i="1"/>
  <c r="G126" i="1"/>
  <c r="G130" i="1" s="1"/>
  <c r="G132" i="1" s="1"/>
  <c r="M77" i="1"/>
  <c r="N77" i="1" s="1"/>
  <c r="N78" i="1" s="1"/>
  <c r="N41" i="1" s="1"/>
  <c r="H126" i="1"/>
  <c r="H130" i="1"/>
  <c r="H132" i="1" s="1"/>
  <c r="M46" i="11" l="1"/>
  <c r="M47" i="11" s="1"/>
  <c r="L91" i="11"/>
  <c r="K48" i="11"/>
  <c r="K47" i="11"/>
  <c r="L48" i="11"/>
  <c r="N80" i="1"/>
  <c r="N45" i="1"/>
  <c r="N53" i="1" s="1"/>
  <c r="N54" i="1" s="1"/>
  <c r="N55" i="1" s="1"/>
  <c r="N57" i="1" s="1"/>
  <c r="M78" i="1"/>
  <c r="M41" i="1" s="1"/>
  <c r="I126" i="1"/>
  <c r="N120" i="1"/>
  <c r="I130" i="1"/>
  <c r="M91" i="11" l="1"/>
  <c r="M48" i="11"/>
  <c r="N46" i="11"/>
  <c r="N47" i="11"/>
  <c r="M80" i="1"/>
  <c r="M45" i="1"/>
  <c r="N119" i="1"/>
  <c r="N121" i="1" s="1"/>
  <c r="J131" i="1" s="1"/>
  <c r="J132" i="1" s="1"/>
  <c r="I132" i="1"/>
  <c r="D136" i="1" l="1"/>
  <c r="D139" i="1" s="1"/>
  <c r="D141" i="1" s="1"/>
  <c r="L136" i="1" s="1"/>
  <c r="L137" i="1"/>
  <c r="M53" i="1"/>
  <c r="M54" i="1" s="1"/>
  <c r="M55" i="1" s="1"/>
  <c r="M57" i="1" s="1"/>
  <c r="E189" i="11" l="1"/>
  <c r="E190" i="11" l="1"/>
  <c r="E197" i="11"/>
  <c r="I107" i="11"/>
  <c r="J107" i="11" l="1"/>
  <c r="K107" i="11" l="1"/>
  <c r="L107" i="11" l="1"/>
  <c r="M107" i="11" l="1"/>
  <c r="F156" i="11"/>
  <c r="G156" i="11" s="1"/>
  <c r="H156" i="11" s="1"/>
  <c r="I153" i="11" s="1"/>
  <c r="I155" i="11" s="1"/>
  <c r="I115" i="11" s="1"/>
  <c r="I118" i="11" s="1"/>
  <c r="I156" i="11" l="1"/>
  <c r="J153" i="11" s="1"/>
  <c r="J155" i="11" s="1"/>
  <c r="J115" i="11" s="1"/>
  <c r="J118" i="11" s="1"/>
  <c r="I60" i="11" l="1"/>
  <c r="J156" i="11"/>
  <c r="E191" i="11" l="1"/>
  <c r="E194" i="11" s="1"/>
  <c r="E196" i="11" s="1"/>
  <c r="K153" i="11"/>
  <c r="K155" i="11" s="1"/>
  <c r="K115" i="11" s="1"/>
  <c r="K118" i="11" s="1"/>
  <c r="J60" i="11"/>
  <c r="F191" i="11" l="1"/>
  <c r="J42" i="11" l="1"/>
  <c r="K156" i="11"/>
  <c r="K60" i="11" s="1"/>
  <c r="G191" i="11" l="1"/>
  <c r="J36" i="11"/>
  <c r="F189" i="11"/>
  <c r="F197" i="11" s="1"/>
  <c r="L153" i="11"/>
  <c r="L155" i="11" s="1"/>
  <c r="L115" i="11" s="1"/>
  <c r="L118" i="11" s="1"/>
  <c r="K42" i="11" l="1"/>
  <c r="F190" i="11"/>
  <c r="F194" i="11" s="1"/>
  <c r="F196" i="11" s="1"/>
  <c r="L156" i="11"/>
  <c r="K36" i="11" l="1"/>
  <c r="G189" i="11"/>
  <c r="G197" i="11" s="1"/>
  <c r="L60" i="11"/>
  <c r="M153" i="11"/>
  <c r="M155" i="11" s="1"/>
  <c r="M115" i="11" s="1"/>
  <c r="M118" i="11" s="1"/>
  <c r="H191" i="11" l="1"/>
  <c r="G190" i="11"/>
  <c r="G194" i="11" s="1"/>
  <c r="G196" i="11" s="1"/>
  <c r="L42" i="11" l="1"/>
  <c r="M156" i="11"/>
  <c r="M60" i="11" s="1"/>
  <c r="I191" i="11" l="1"/>
  <c r="L36" i="11"/>
  <c r="H189" i="11"/>
  <c r="H197" i="11" s="1"/>
  <c r="M42" i="11" l="1"/>
  <c r="H190" i="11"/>
  <c r="H194" i="11" s="1"/>
  <c r="H196" i="11" s="1"/>
  <c r="M36" i="11" l="1"/>
  <c r="I189" i="11"/>
  <c r="N184" i="11" l="1"/>
  <c r="I197" i="11"/>
  <c r="I190" i="11"/>
  <c r="I194" i="11" s="1"/>
  <c r="I196" i="11" s="1"/>
  <c r="N35" i="11"/>
  <c r="N36" i="11"/>
  <c r="N183" i="11" l="1"/>
  <c r="N185" i="11" s="1"/>
  <c r="J195" i="11" s="1"/>
  <c r="J196" i="11" s="1"/>
  <c r="D200" i="11" s="1"/>
  <c r="O185" i="11" l="1"/>
  <c r="O186" i="11" s="1"/>
  <c r="E200" i="11"/>
  <c r="L201" i="11"/>
  <c r="D203" i="11" l="1"/>
  <c r="D205" i="11" s="1"/>
  <c r="I125" i="11"/>
  <c r="I126" i="11" s="1"/>
  <c r="I136" i="11" s="1"/>
  <c r="I138" i="11" s="1"/>
  <c r="F126" i="11"/>
  <c r="L200" i="11" l="1"/>
  <c r="J137" i="11"/>
  <c r="I53" i="11"/>
  <c r="I59" i="11" s="1"/>
  <c r="I66" i="11" s="1"/>
  <c r="J125" i="11"/>
  <c r="I98" i="11" l="1"/>
  <c r="I101" i="11" s="1"/>
  <c r="I103" i="11" s="1"/>
  <c r="I141" i="11"/>
  <c r="K125" i="11"/>
  <c r="J126" i="11"/>
  <c r="J136" i="11" s="1"/>
  <c r="J138" i="11" s="1"/>
  <c r="L125" i="11" l="1"/>
  <c r="K126" i="11"/>
  <c r="K136" i="11" s="1"/>
  <c r="K137" i="11"/>
  <c r="J53" i="11"/>
  <c r="J59" i="11" s="1"/>
  <c r="J66" i="11" s="1"/>
  <c r="J98" i="11" l="1"/>
  <c r="J101" i="11" s="1"/>
  <c r="J103" i="11" s="1"/>
  <c r="K138" i="11"/>
  <c r="L137" i="11" s="1"/>
  <c r="L126" i="11"/>
  <c r="L136" i="11" s="1"/>
  <c r="M125" i="11"/>
  <c r="M126" i="11" s="1"/>
  <c r="M136" i="11" s="1"/>
  <c r="J141" i="11"/>
  <c r="K53" i="11" l="1"/>
  <c r="K59" i="11" s="1"/>
  <c r="K66" i="11" s="1"/>
  <c r="L138" i="11"/>
  <c r="M137" i="11" s="1"/>
  <c r="M138" i="11" s="1"/>
  <c r="K98" i="11" l="1"/>
  <c r="K101" i="11" s="1"/>
  <c r="K103" i="11" s="1"/>
  <c r="K141" i="11"/>
  <c r="L53" i="11"/>
  <c r="L59" i="11" s="1"/>
  <c r="L66" i="11" s="1"/>
  <c r="M53" i="11"/>
  <c r="M59" i="11" s="1"/>
  <c r="M66" i="11" s="1"/>
  <c r="M98" i="11" l="1"/>
  <c r="M101" i="11" s="1"/>
  <c r="M103" i="11" s="1"/>
  <c r="L98" i="11"/>
  <c r="L101" i="11" s="1"/>
  <c r="L103" i="11" s="1"/>
  <c r="L141" i="11"/>
  <c r="M1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Lutz PC</author>
  </authors>
  <commentList>
    <comment ref="A64" authorId="0" shapeId="0" xr:uid="{FFDDC9EF-C0C3-4C9F-AAD0-95A328D39A21}">
      <text>
        <r>
          <rPr>
            <b/>
            <sz val="9"/>
            <color indexed="81"/>
            <rFont val="Tahoma"/>
            <family val="2"/>
          </rPr>
          <t>Lutz PC:</t>
        </r>
        <r>
          <rPr>
            <sz val="9"/>
            <color indexed="81"/>
            <rFont val="Tahoma"/>
            <family val="2"/>
          </rPr>
          <t xml:space="preserve">
This may need further data to auto calculate or maybe is in the data pull already?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54DA25-6F4E-4F56-BA1F-454855A69DC7}" keepAlive="1" name="Query - AverageInflation" description="Connection to the 'AverageInflation' query in the workbook." type="5" refreshedVersion="8" background="1" saveData="1">
    <dbPr connection="Provider=Microsoft.Mashup.OleDb.1;Data Source=$Workbook$;Location=AverageInflation;Extended Properties=&quot;&quot;" command="SELECT * FROM [AverageInflation]"/>
  </connection>
  <connection id="2" xr16:uid="{D5B3C6E7-1911-416A-BD1C-4729C05508D3}" keepAlive="1" name="Query - BalanceSheet" description="Connection to the 'BalanceSheet' query in the workbook." type="5" refreshedVersion="8" background="1" saveData="1">
    <dbPr connection="Provider=Microsoft.Mashup.OleDb.1;Data Source=$Workbook$;Location=BalanceSheet;Extended Properties=&quot;&quot;" command="SELECT * FROM [BalanceSheet]"/>
  </connection>
  <connection id="3" xr16:uid="{D9D2B14C-56F2-4D08-8386-F7F7C49C3DC8}" keepAlive="1" name="Query - CashFlow" description="Connection to the 'CashFlow' query in the workbook." type="5" refreshedVersion="8" background="1" saveData="1">
    <dbPr connection="Provider=Microsoft.Mashup.OleDb.1;Data Source=$Workbook$;Location=CashFlow;Extended Properties=&quot;&quot;" command="SELECT * FROM [CashFlow]"/>
  </connection>
  <connection id="4" xr16:uid="{863B8CE3-4097-473D-98D1-6BF478D31676}" keepAlive="1" name="Query - IncomeStatement" description="Connection to the 'IncomeStatement' query in the workbook." type="5" refreshedVersion="8" background="1" saveData="1">
    <dbPr connection="Provider=Microsoft.Mashup.OleDb.1;Data Source=$Workbook$;Location=IncomeStatement;Extended Properties=&quot;&quot;" command="SELECT * FROM [IncomeStatement]"/>
  </connection>
  <connection id="5" xr16:uid="{5FD787E3-FF0D-48CD-8561-BBBDACF5EEF2}" keepAlive="1" name="Query - MetaData" description="Connection to the 'MetaData' query in the workbook." type="5" refreshedVersion="8" background="1" saveData="1">
    <dbPr connection="Provider=Microsoft.Mashup.OleDb.1;Data Source=$Workbook$;Location=MetaData;Extended Properties=&quot;&quot;" command="SELECT * FROM [MetaData]"/>
  </connection>
  <connection id="6" xr16:uid="{6017A29E-CF55-4876-A5F3-A72222A798F1}" keepAlive="1" name="Query - PriceData_GSPC" description="Connection to the 'PriceData_GSPC' query in the workbook." type="5" refreshedVersion="8" background="1" saveData="1">
    <dbPr connection="Provider=Microsoft.Mashup.OleDb.1;Data Source=$Workbook$;Location=PriceData_GSPC;Extended Properties=&quot;&quot;" command="SELECT * FROM [PriceData_GSPC]"/>
  </connection>
  <connection id="7" xr16:uid="{85087535-88C8-4AC0-AA21-7EFB06A671EF}" keepAlive="1" name="Query - PriceData_GSPC_AvgRate" description="Connection to the 'PriceData_GSPC_AvgRate' query in the workbook." type="5" refreshedVersion="8" background="1" saveData="1">
    <dbPr connection="Provider=Microsoft.Mashup.OleDb.1;Data Source=$Workbook$;Location=PriceData_GSPC_AvgRate;Extended Properties=&quot;&quot;" command="SELECT * FROM [PriceData_GSPC_AvgRate]"/>
  </connection>
  <connection id="8" xr16:uid="{B4132742-EC92-4D4F-925F-4369DC3084F2}" keepAlive="1" name="Query - PriceData_Ticker" description="Connection to the 'PriceData_Ticker' query in the workbook." type="5" refreshedVersion="8" background="1" saveData="1">
    <dbPr connection="Provider=Microsoft.Mashup.OleDb.1;Data Source=$Workbook$;Location=PriceData_Ticker;Extended Properties=&quot;&quot;" command="SELECT * FROM [PriceData_Ticker]"/>
  </connection>
  <connection id="9" xr16:uid="{41838C79-45DD-4990-B360-74482D5EFC95}" keepAlive="1" name="Query - PriceData_Ticker_AvgRate" description="Connection to the 'PriceData_Ticker_AvgRate' query in the workbook." type="5" refreshedVersion="8" background="1" saveData="1">
    <dbPr connection="Provider=Microsoft.Mashup.OleDb.1;Data Source=$Workbook$;Location=PriceData_Ticker_AvgRate;Extended Properties=&quot;&quot;" command="SELECT * FROM [PriceData_Ticker_AvgRate]"/>
  </connection>
  <connection id="10" xr16:uid="{CC77A1A5-53FD-4449-B824-76A9FAFED5E1}" keepAlive="1" name="Query - PriceData_TNX" description="Connection to the 'PriceData_TNX' query in the workbook." type="5" refreshedVersion="8" background="1" saveData="1">
    <dbPr connection="Provider=Microsoft.Mashup.OleDb.1;Data Source=$Workbook$;Location=PriceData_TNX;Extended Properties=&quot;&quot;" command="SELECT * FROM [PriceData_TNX]"/>
  </connection>
  <connection id="11" xr16:uid="{C2BDCCA7-C77C-479B-818F-9A8B0F87C353}" keepAlive="1" name="Query - PriceData_TNX_AvgRate" description="Connection to the 'PriceData_TNX_AvgRate' query in the workbook." type="5" refreshedVersion="8" background="1" saveData="1">
    <dbPr connection="Provider=Microsoft.Mashup.OleDb.1;Data Source=$Workbook$;Location=PriceData_TNX_AvgRate;Extended Properties=&quot;&quot;" command="SELECT * FROM [PriceData_TNX_AvgRate]"/>
  </connection>
  <connection id="12" xr16:uid="{9FCC92BE-1A3E-4D7E-B156-F518DF6AE6D3}" keepAlive="1" name="Query - Tickers" description="Connection to the 'Tickers' query in the workbook." type="5" refreshedVersion="8" background="1" saveData="1">
    <dbPr connection="Provider=Microsoft.Mashup.OleDb.1;Data Source=$Workbook$;Location=Tickers;Extended Properties=&quot;&quot;" command="SELECT * FROM [Tickers]"/>
  </connection>
  <connection id="13" xr16:uid="{0F4B5A61-8C62-43D6-8C2B-8029CB61E8E8}" keepAlive="1" name="Query - TickerYears" description="Connection to the 'TickerYears' query in the workbook." type="5" refreshedVersion="8" background="1" saveData="1">
    <dbPr connection="Provider=Microsoft.Mashup.OleDb.1;Data Source=$Workbook$;Location=TickerYears;Extended Properties=&quot;&quot;" command="SELECT * FROM [TickerYears]"/>
  </connection>
</connections>
</file>

<file path=xl/sharedStrings.xml><?xml version="1.0" encoding="utf-8"?>
<sst xmlns="http://schemas.openxmlformats.org/spreadsheetml/2006/main" count="3352" uniqueCount="694">
  <si>
    <t>Financial Statements</t>
  </si>
  <si>
    <t>Historical Results</t>
  </si>
  <si>
    <t>Forecast Period</t>
  </si>
  <si>
    <t>Balance Sheet Check</t>
  </si>
  <si>
    <t>Assumptions</t>
  </si>
  <si>
    <t>Income Statement</t>
  </si>
  <si>
    <t>Balance Sheet</t>
  </si>
  <si>
    <t>Cash Flow Statement</t>
  </si>
  <si>
    <t>Supporting Schedules</t>
  </si>
  <si>
    <t>DCF Model</t>
  </si>
  <si>
    <t>Charts and Graphs</t>
  </si>
  <si>
    <t>Revenue Growth (% Change)</t>
  </si>
  <si>
    <t>Cost of Goods Sold (% of Revenue)</t>
  </si>
  <si>
    <t>Salaries &amp; Benefits (% of Revenue)</t>
  </si>
  <si>
    <t>Rent and Overhead ($000's)</t>
  </si>
  <si>
    <t>Depreciation &amp; Amortization (% of PPE)</t>
  </si>
  <si>
    <t>Interest (% of Debt)</t>
  </si>
  <si>
    <t>Tax Rate (% of Earnings Before Tax)</t>
  </si>
  <si>
    <t>Accounts Receivable (Days)</t>
  </si>
  <si>
    <t>Inventory (Days)</t>
  </si>
  <si>
    <t>Accounts Payable (Days)</t>
  </si>
  <si>
    <t>Capital Expenditures ($000's)</t>
  </si>
  <si>
    <t>Debt Issuance (Repayment) ($000's)</t>
  </si>
  <si>
    <t>Equity Issued (Repaid) ($000's)</t>
  </si>
  <si>
    <t>Revenue</t>
  </si>
  <si>
    <t>Cost of Goods Sold</t>
  </si>
  <si>
    <t>Gross Profit</t>
  </si>
  <si>
    <t>Expenses</t>
  </si>
  <si>
    <t>Salaries &amp; Benefits</t>
  </si>
  <si>
    <t>Rent &amp; Overhead</t>
  </si>
  <si>
    <t>Depreciation &amp; Amortization</t>
  </si>
  <si>
    <t>Interest</t>
  </si>
  <si>
    <t>Total Expenses</t>
  </si>
  <si>
    <t>Earnings Before Tax</t>
  </si>
  <si>
    <t>Taxes</t>
  </si>
  <si>
    <t>Net Earnings</t>
  </si>
  <si>
    <t>Assets</t>
  </si>
  <si>
    <t>Cash</t>
  </si>
  <si>
    <t>Accounts Receivable</t>
  </si>
  <si>
    <t>Inventory</t>
  </si>
  <si>
    <t>Property &amp; Equipment</t>
  </si>
  <si>
    <t>Total Assets</t>
  </si>
  <si>
    <t>Liabilities</t>
  </si>
  <si>
    <t>Accounts Payable</t>
  </si>
  <si>
    <t>Debt</t>
  </si>
  <si>
    <t>Total Liabilities</t>
  </si>
  <si>
    <t>Shareholder's Equity</t>
  </si>
  <si>
    <t>Equity Capital</t>
  </si>
  <si>
    <t>Retained Earnings</t>
  </si>
  <si>
    <t>Total Liabilities &amp; Shareholder's Equity</t>
  </si>
  <si>
    <t>Check</t>
  </si>
  <si>
    <t>Operating Cash Flow</t>
  </si>
  <si>
    <t>Plus: Depreciation &amp; Amortization</t>
  </si>
  <si>
    <t>Less: Changes in Working Capital</t>
  </si>
  <si>
    <t>Cash from Operations</t>
  </si>
  <si>
    <t>Investing Cash Flow</t>
  </si>
  <si>
    <t>Investments in Property &amp; Equipment</t>
  </si>
  <si>
    <t>Cash from Investing</t>
  </si>
  <si>
    <t>Financing Cash Flow</t>
  </si>
  <si>
    <t>Issuance (repayment) of debt</t>
  </si>
  <si>
    <t>Issuance (repayment) of equity</t>
  </si>
  <si>
    <t>Cash from Financing</t>
  </si>
  <si>
    <t>Net Increase (decrease) in Cash</t>
  </si>
  <si>
    <t>Opening Cash Balance</t>
  </si>
  <si>
    <t>Closing Cash Balance</t>
  </si>
  <si>
    <t>Source</t>
  </si>
  <si>
    <t>https://www.youtube.com/watch?v=M8cuAJYYnTM</t>
  </si>
  <si>
    <t>Working Capital Schedule</t>
  </si>
  <si>
    <t>Change in NWC</t>
  </si>
  <si>
    <t>Net Working Capital (NWC)</t>
  </si>
  <si>
    <t>Depreciation Schedule</t>
  </si>
  <si>
    <t>PPE Opening</t>
  </si>
  <si>
    <t>Plus Capex</t>
  </si>
  <si>
    <t>Less Depreciation</t>
  </si>
  <si>
    <t>PPE Closing</t>
  </si>
  <si>
    <t>Debt &amp; Interest Schedule</t>
  </si>
  <si>
    <t>Debt Opening</t>
  </si>
  <si>
    <t>Issuance (repayment)</t>
  </si>
  <si>
    <t>Debt Closing</t>
  </si>
  <si>
    <t>Interest Expense</t>
  </si>
  <si>
    <t>Tax Rate</t>
  </si>
  <si>
    <t>Discount Rate</t>
  </si>
  <si>
    <t>Perpetual Growth Rate</t>
  </si>
  <si>
    <t>EV/EBITDA Multiple</t>
  </si>
  <si>
    <t>Transaction Date</t>
  </si>
  <si>
    <t>Current Price</t>
  </si>
  <si>
    <t>Shares Outstanding</t>
  </si>
  <si>
    <t>Discounted Cash Flow</t>
  </si>
  <si>
    <t>Entry</t>
  </si>
  <si>
    <t>Date</t>
  </si>
  <si>
    <t>Time Periods</t>
  </si>
  <si>
    <t>Year Fraction</t>
  </si>
  <si>
    <t>Exit</t>
  </si>
  <si>
    <t>EBT</t>
  </si>
  <si>
    <t>EBIT</t>
  </si>
  <si>
    <t>Less: Cash Taxes</t>
  </si>
  <si>
    <t>Plus: D&amp;A</t>
  </si>
  <si>
    <t>Less: Capex</t>
  </si>
  <si>
    <t>Less: Changes in NWC</t>
  </si>
  <si>
    <t>Unlevered FCF</t>
  </si>
  <si>
    <t>(Entry)/Exit</t>
  </si>
  <si>
    <t>Net FCF</t>
  </si>
  <si>
    <t>Terminal Value</t>
  </si>
  <si>
    <t>Perpetual Growth</t>
  </si>
  <si>
    <t>EV/EBITDA</t>
  </si>
  <si>
    <t>Average</t>
  </si>
  <si>
    <t>Intrinsic Value</t>
  </si>
  <si>
    <t>Enterprise Value</t>
  </si>
  <si>
    <t>Plus: Cash</t>
  </si>
  <si>
    <t>Less: Debt</t>
  </si>
  <si>
    <t>Equity Value</t>
  </si>
  <si>
    <t>Equity Value/Share</t>
  </si>
  <si>
    <t>Market Value</t>
  </si>
  <si>
    <t>Market Cap</t>
  </si>
  <si>
    <t>Plus: Debt</t>
  </si>
  <si>
    <t>Less: Cash</t>
  </si>
  <si>
    <t>Rate of Return</t>
  </si>
  <si>
    <t>Target Price Upside</t>
  </si>
  <si>
    <t>IRR</t>
  </si>
  <si>
    <t>Accounts Receivable Days</t>
  </si>
  <si>
    <t>Inventory Days</t>
  </si>
  <si>
    <t>Accounts Payable Days</t>
  </si>
  <si>
    <t>=Avg Accounts Receivable / Revenue * 365 Days</t>
  </si>
  <si>
    <t>=Avg Accounts Payable / COGS * 365 Days</t>
  </si>
  <si>
    <t>=Avg Inventory / COGS * 365 Days</t>
  </si>
  <si>
    <t>Metric</t>
  </si>
  <si>
    <t>Formula</t>
  </si>
  <si>
    <t>Accounts Receivable from AR Days</t>
  </si>
  <si>
    <t>= AR Days * (Revenue / 365)</t>
  </si>
  <si>
    <t>Inventory from Inventory Days</t>
  </si>
  <si>
    <t>= Inv Days * (COGS / 365)</t>
  </si>
  <si>
    <t>= AP Days * (COGS / 365)</t>
  </si>
  <si>
    <t>Accounts Payable from AP Days</t>
  </si>
  <si>
    <t>&lt;= Supporting Schedules</t>
  </si>
  <si>
    <t>&lt;= Assumptions</t>
  </si>
  <si>
    <t>&lt;= Cash Flow Statement</t>
  </si>
  <si>
    <t>&lt;= Income Statement</t>
  </si>
  <si>
    <t>&lt;=Today's Debt</t>
  </si>
  <si>
    <t>&lt;=Today's Cash</t>
  </si>
  <si>
    <t>id</t>
  </si>
  <si>
    <t>asOfDate</t>
  </si>
  <si>
    <t>periodType</t>
  </si>
  <si>
    <t>currencyCode</t>
  </si>
  <si>
    <t>AverageDilutionEarnings</t>
  </si>
  <si>
    <t>BasicAverageShares</t>
  </si>
  <si>
    <t>BasicEPS</t>
  </si>
  <si>
    <t>CostOfRevenue</t>
  </si>
  <si>
    <t>DepreciationAmortizationDepletionIncomeStatement</t>
  </si>
  <si>
    <t>DepreciationAndAmortizationInIncomeStatement</t>
  </si>
  <si>
    <t>DilutedAverageShares</t>
  </si>
  <si>
    <t>DilutedEPS</t>
  </si>
  <si>
    <t>DilutedNIAvailtoComStockholders</t>
  </si>
  <si>
    <t>EBITDA</t>
  </si>
  <si>
    <t>EarningsFromEquityInterestNetOfTax</t>
  </si>
  <si>
    <t>GainOnSaleOfBusiness</t>
  </si>
  <si>
    <t>GainOnSaleOfSecurity</t>
  </si>
  <si>
    <t>GeneralAndAdministrativeExpense</t>
  </si>
  <si>
    <t>GrossProfit</t>
  </si>
  <si>
    <t>InterestExpense</t>
  </si>
  <si>
    <t>InterestExpenseNonOperating</t>
  </si>
  <si>
    <t>InterestIncome</t>
  </si>
  <si>
    <t>InterestIncomeNonOperating</t>
  </si>
  <si>
    <t>MinorityInterests</t>
  </si>
  <si>
    <t>NetIncome</t>
  </si>
  <si>
    <t>NetIncomeCommonStockholders</t>
  </si>
  <si>
    <t>NetIncomeContinuousOperations</t>
  </si>
  <si>
    <t>NetIncomeFromContinuingAndDiscontinuedOperation</t>
  </si>
  <si>
    <t>NetIncomeFromContinuingOperationNetMinorityInterest</t>
  </si>
  <si>
    <t>NetIncomeIncludingNoncontrollingInterests</t>
  </si>
  <si>
    <t>NetInterestIncome</t>
  </si>
  <si>
    <t>NetNonOperatingInterestIncomeExpense</t>
  </si>
  <si>
    <t>NormalizedEBITDA</t>
  </si>
  <si>
    <t>NormalizedIncome</t>
  </si>
  <si>
    <t>OperatingExpense</t>
  </si>
  <si>
    <t>OperatingIncome</t>
  </si>
  <si>
    <t>OperatingRevenue</t>
  </si>
  <si>
    <t>OtherGandA</t>
  </si>
  <si>
    <t>OtherIncomeExpense</t>
  </si>
  <si>
    <t>OtherNonOperatingIncomeExpenses</t>
  </si>
  <si>
    <t>OtherOperatingExpenses</t>
  </si>
  <si>
    <t>OtherunderPreferredStockDividend</t>
  </si>
  <si>
    <t>PretaxIncome</t>
  </si>
  <si>
    <t>ReconciledCostOfRevenue</t>
  </si>
  <si>
    <t>ReconciledDepreciation</t>
  </si>
  <si>
    <t>ResearchAndDevelopment</t>
  </si>
  <si>
    <t>SellingAndMarketingExpense</t>
  </si>
  <si>
    <t>SellingGeneralAndAdministration</t>
  </si>
  <si>
    <t>SpecialIncomeCharges</t>
  </si>
  <si>
    <t>TaxEffectOfUnusualItems</t>
  </si>
  <si>
    <t>TaxProvision</t>
  </si>
  <si>
    <t>TaxRateForCalcs</t>
  </si>
  <si>
    <t>TotalExpenses</t>
  </si>
  <si>
    <t>TotalOperatingIncomeAsReported</t>
  </si>
  <si>
    <t>TotalRevenue</t>
  </si>
  <si>
    <t>TotalUnusualItems</t>
  </si>
  <si>
    <t>TotalUnusualItemsExcludingGoodwill</t>
  </si>
  <si>
    <t>WriteOff</t>
  </si>
  <si>
    <t>NetIncomeDiscontinuousOperations</t>
  </si>
  <si>
    <t>EarningsFromEquityInterest</t>
  </si>
  <si>
    <t>ImpairmentOfCapitalAssets</t>
  </si>
  <si>
    <t>PreferredStockDividends</t>
  </si>
  <si>
    <t>Amortization</t>
  </si>
  <si>
    <t>AmortizationOfIntangiblesIncomeStatement</t>
  </si>
  <si>
    <t>OtherSpecialCharges</t>
  </si>
  <si>
    <t>OtherTaxes</t>
  </si>
  <si>
    <t>RestructuringAndMergernAcquisition</t>
  </si>
  <si>
    <t>GainOnSaleOfPPE</t>
  </si>
  <si>
    <t>ProvisionForDoubtfulAccounts</t>
  </si>
  <si>
    <t>SalariesAndWages</t>
  </si>
  <si>
    <t>RentAndLandingFees</t>
  </si>
  <si>
    <t>RentExpenseSupplemental</t>
  </si>
  <si>
    <t>Ticker</t>
  </si>
  <si>
    <t>12M</t>
  </si>
  <si>
    <t>USD</t>
  </si>
  <si>
    <t>TTM</t>
  </si>
  <si>
    <t>AccountsPayable</t>
  </si>
  <si>
    <t>AccountsReceivable</t>
  </si>
  <si>
    <t>AccumulatedDepreciation</t>
  </si>
  <si>
    <t>AdditionalPaidInCapital</t>
  </si>
  <si>
    <t>AllowanceForDoubtfulAccountsReceivable</t>
  </si>
  <si>
    <t>AssetsHeldForSaleCurrent</t>
  </si>
  <si>
    <t>AvailableForSaleSecurities</t>
  </si>
  <si>
    <t>BuildingsAndImprovements</t>
  </si>
  <si>
    <t>CapitalLeaseObligations</t>
  </si>
  <si>
    <t>CapitalStock</t>
  </si>
  <si>
    <t>CashAndCashEquivalents</t>
  </si>
  <si>
    <t>CashCashEquivalentsAndShortTermInvestments</t>
  </si>
  <si>
    <t>CommonStock</t>
  </si>
  <si>
    <t>CommonStockEquity</t>
  </si>
  <si>
    <t>ConstructionInProgress</t>
  </si>
  <si>
    <t>CurrentAccruedExpenses</t>
  </si>
  <si>
    <t>CurrentAssets</t>
  </si>
  <si>
    <t>CurrentCapitalLeaseObligation</t>
  </si>
  <si>
    <t>CurrentDebt</t>
  </si>
  <si>
    <t>CurrentDebtAndCapitalLeaseObligation</t>
  </si>
  <si>
    <t>CurrentLiabilities</t>
  </si>
  <si>
    <t>CurrentProvisions</t>
  </si>
  <si>
    <t>GainsLossesNotAffectingRetainedEarnings</t>
  </si>
  <si>
    <t>Goodwill</t>
  </si>
  <si>
    <t>GoodwillAndOtherIntangibleAssets</t>
  </si>
  <si>
    <t>GrossAccountsReceivable</t>
  </si>
  <si>
    <t>GrossPPE</t>
  </si>
  <si>
    <t>HeldToMaturitySecurities</t>
  </si>
  <si>
    <t>IncomeTaxPayable</t>
  </si>
  <si>
    <t>InterestPayable</t>
  </si>
  <si>
    <t>InvestedCapital</t>
  </si>
  <si>
    <t>InvestmentinFinancialAssets</t>
  </si>
  <si>
    <t>InvestmentsAndAdvances</t>
  </si>
  <si>
    <t>LandAndImprovements</t>
  </si>
  <si>
    <t>Leases</t>
  </si>
  <si>
    <t>LongTermCapitalLeaseObligation</t>
  </si>
  <si>
    <t>LongTermDebt</t>
  </si>
  <si>
    <t>LongTermDebtAndCapitalLeaseObligation</t>
  </si>
  <si>
    <t>LongTermEquityInvestment</t>
  </si>
  <si>
    <t>LongTermProvisions</t>
  </si>
  <si>
    <t>MachineryFurnitureEquipment</t>
  </si>
  <si>
    <t>MinorityInterest</t>
  </si>
  <si>
    <t>NetDebt</t>
  </si>
  <si>
    <t>NetPPE</t>
  </si>
  <si>
    <t>NetTangibleAssets</t>
  </si>
  <si>
    <t>NonCurrentDeferredLiabilities</t>
  </si>
  <si>
    <t>NonCurrentDeferredTaxesLiabilities</t>
  </si>
  <si>
    <t>NonCurrentNoteReceivables</t>
  </si>
  <si>
    <t>OrdinarySharesNumber</t>
  </si>
  <si>
    <t>OtherCurrentAssets</t>
  </si>
  <si>
    <t>OtherCurrentBorrowings</t>
  </si>
  <si>
    <t>OtherCurrentLiabilities</t>
  </si>
  <si>
    <t>OtherEquityAdjustments</t>
  </si>
  <si>
    <t>OtherIntangibleAssets</t>
  </si>
  <si>
    <t>OtherNonCurrentAssets</t>
  </si>
  <si>
    <t>OtherNonCurrentLiabilities</t>
  </si>
  <si>
    <t>OtherPayable</t>
  </si>
  <si>
    <t>OtherProperties</t>
  </si>
  <si>
    <t>OtherReceivables</t>
  </si>
  <si>
    <t>OtherShortTermInvestments</t>
  </si>
  <si>
    <t>Payables</t>
  </si>
  <si>
    <t>PayablesAndAccruedExpenses</t>
  </si>
  <si>
    <t>PensionandOtherPostRetirementBenefitPlansCurrent</t>
  </si>
  <si>
    <t>PreferredSecuritiesOutsideStockEquity</t>
  </si>
  <si>
    <t>PrepaidAssets</t>
  </si>
  <si>
    <t>Properties</t>
  </si>
  <si>
    <t>Receivables</t>
  </si>
  <si>
    <t>RestrictedCash</t>
  </si>
  <si>
    <t>RetainedEarnings</t>
  </si>
  <si>
    <t>ShareIssued</t>
  </si>
  <si>
    <t>StockholdersEquity</t>
  </si>
  <si>
    <t>TangibleBookValue</t>
  </si>
  <si>
    <t>TotalAssets</t>
  </si>
  <si>
    <t>TotalCapitalization</t>
  </si>
  <si>
    <t>TotalDebt</t>
  </si>
  <si>
    <t>TotalEquityGrossMinorityInterest</t>
  </si>
  <si>
    <t>TotalLiabilitiesNetMinorityInterest</t>
  </si>
  <si>
    <t>TotalNonCurrentAssets</t>
  </si>
  <si>
    <t>TotalNonCurrentLiabilitiesNetMinorityInterest</t>
  </si>
  <si>
    <t>TotalTaxPayable</t>
  </si>
  <si>
    <t>TradeandOtherPayablesNonCurrent</t>
  </si>
  <si>
    <t>WorkingCapital</t>
  </si>
  <si>
    <t>CurrentDeferredLiabilities</t>
  </si>
  <si>
    <t>CurrentDeferredRevenue</t>
  </si>
  <si>
    <t>EmployeeBenefits</t>
  </si>
  <si>
    <t>FinishedGoods</t>
  </si>
  <si>
    <t>NonCurrentDeferredAssets</t>
  </si>
  <si>
    <t>NonCurrentDeferredTaxesAssets</t>
  </si>
  <si>
    <t>NonCurrentPensionAndOtherPostretirementBenefitPlans</t>
  </si>
  <si>
    <t>RawMaterials</t>
  </si>
  <si>
    <t>WorkInProcess</t>
  </si>
  <si>
    <t>CashEquivalents</t>
  </si>
  <si>
    <t>CashFinancial</t>
  </si>
  <si>
    <t>HedgingAssetsCurrent</t>
  </si>
  <si>
    <t>NonCurrentDeferredRevenue</t>
  </si>
  <si>
    <t>CommercialPaper</t>
  </si>
  <si>
    <t>CurrentNotesPayable</t>
  </si>
  <si>
    <t>DividendsPayable</t>
  </si>
  <si>
    <t>ForeignCurrencyTranslationAdjustments</t>
  </si>
  <si>
    <t>InvestmentsinAssociatesatCost</t>
  </si>
  <si>
    <t>LineOfCredit</t>
  </si>
  <si>
    <t>MinimumPensionLiabilities</t>
  </si>
  <si>
    <t>PreferredSharesNumber</t>
  </si>
  <si>
    <t>PreferredStock</t>
  </si>
  <si>
    <t>TreasurySharesNumber</t>
  </si>
  <si>
    <t>TreasuryStock</t>
  </si>
  <si>
    <t>UnrealizedGainLoss</t>
  </si>
  <si>
    <t>DefinedPensionBenefit</t>
  </si>
  <si>
    <t>NonCurrentAccountsReceivable</t>
  </si>
  <si>
    <t>OtherInventories</t>
  </si>
  <si>
    <t>OtherInvestments</t>
  </si>
  <si>
    <t>TaxesReceivable</t>
  </si>
  <si>
    <t>CurrentDeferredAssets</t>
  </si>
  <si>
    <t>DerivativeProductLiabilities</t>
  </si>
  <si>
    <t>FinancialAssets</t>
  </si>
  <si>
    <t>InvestmentsInOtherVenturesUnderEquityMethod</t>
  </si>
  <si>
    <t>LiabilitiesHeldforSaleNonCurrent</t>
  </si>
  <si>
    <t>NonCurrentAccruedExpenses</t>
  </si>
  <si>
    <t>NonCurrentPrepaidAssets</t>
  </si>
  <si>
    <t>OtherEquityInterest</t>
  </si>
  <si>
    <t>InventoriesAdjustmentsAllowances</t>
  </si>
  <si>
    <t>AssetImpairmentCharge</t>
  </si>
  <si>
    <t>BeginningCashPosition</t>
  </si>
  <si>
    <t>CapitalExpenditure</t>
  </si>
  <si>
    <t>CashFlowFromContinuingFinancingActivities</t>
  </si>
  <si>
    <t>CashFlowFromContinuingInvestingActivities</t>
  </si>
  <si>
    <t>CashFlowFromContinuingOperatingActivities</t>
  </si>
  <si>
    <t>ChangeInAccountPayable</t>
  </si>
  <si>
    <t>ChangeInAccruedExpense</t>
  </si>
  <si>
    <t>ChangeInCashSupplementalAsReported</t>
  </si>
  <si>
    <t>ChangeInOtherCurrentAssets</t>
  </si>
  <si>
    <t>ChangeInOtherCurrentLiabilities</t>
  </si>
  <si>
    <t>ChangeInOtherWorkingCapital</t>
  </si>
  <si>
    <t>ChangeInPayable</t>
  </si>
  <si>
    <t>ChangeInPayablesAndAccruedExpense</t>
  </si>
  <si>
    <t>ChangeInPrepaidAssets</t>
  </si>
  <si>
    <t>ChangeInReceivables</t>
  </si>
  <si>
    <t>ChangeInWorkingCapital</t>
  </si>
  <si>
    <t>ChangesInAccountReceivables</t>
  </si>
  <si>
    <t>ChangesInCash</t>
  </si>
  <si>
    <t>CommonStockIssuance</t>
  </si>
  <si>
    <t>CommonStockPayments</t>
  </si>
  <si>
    <t>DeferredIncomeTax</t>
  </si>
  <si>
    <t>DeferredTax</t>
  </si>
  <si>
    <t>DepreciationAmortizationDepletion</t>
  </si>
  <si>
    <t>DepreciationAndAmortization</t>
  </si>
  <si>
    <t>EarningsLossesFromEquityInvestments</t>
  </si>
  <si>
    <t>EffectOfExchangeRateChanges</t>
  </si>
  <si>
    <t>EndCashPosition</t>
  </si>
  <si>
    <t>FinancingCashFlow</t>
  </si>
  <si>
    <t>FreeCashFlow</t>
  </si>
  <si>
    <t>GainLossOnInvestmentSecurities</t>
  </si>
  <si>
    <t>GainLossOnSaleOfBusiness</t>
  </si>
  <si>
    <t>IncomeTaxPaidSupplementalData</t>
  </si>
  <si>
    <t>InterestPaidSupplementalData</t>
  </si>
  <si>
    <t>InvestingCashFlow</t>
  </si>
  <si>
    <t>IssuanceOfCapitalStock</t>
  </si>
  <si>
    <t>IssuanceOfDebt</t>
  </si>
  <si>
    <t>LongTermDebtIssuance</t>
  </si>
  <si>
    <t>LongTermDebtPayments</t>
  </si>
  <si>
    <t>NetBusinessPurchaseAndSale</t>
  </si>
  <si>
    <t>NetCommonStockIssuance</t>
  </si>
  <si>
    <t>NetForeignCurrencyExchangeGainLoss</t>
  </si>
  <si>
    <t>NetIncomeFromContinuingOperations</t>
  </si>
  <si>
    <t>NetInvestmentPurchaseAndSale</t>
  </si>
  <si>
    <t>NetIssuancePaymentsOfDebt</t>
  </si>
  <si>
    <t>NetLongTermDebtIssuance</t>
  </si>
  <si>
    <t>NetOtherFinancingCharges</t>
  </si>
  <si>
    <t>NetOtherInvestingChanges</t>
  </si>
  <si>
    <t>NetPPEPurchaseAndSale</t>
  </si>
  <si>
    <t>NetPreferredStockIssuance</t>
  </si>
  <si>
    <t>OperatingCashFlow</t>
  </si>
  <si>
    <t>OperatingGainsLosses</t>
  </si>
  <si>
    <t>OtherCashAdjustmentOutsideChangeinCash</t>
  </si>
  <si>
    <t>OtherNonCashItems</t>
  </si>
  <si>
    <t>PreferredStockIssuance</t>
  </si>
  <si>
    <t>ProceedsFromStockOptionExercised</t>
  </si>
  <si>
    <t>PurchaseOfBusiness</t>
  </si>
  <si>
    <t>PurchaseOfInvestment</t>
  </si>
  <si>
    <t>PurchaseOfPPE</t>
  </si>
  <si>
    <t>RepaymentOfDebt</t>
  </si>
  <si>
    <t>RepurchaseOfCapitalStock</t>
  </si>
  <si>
    <t>SaleOfBusiness</t>
  </si>
  <si>
    <t>SaleOfInvestment</t>
  </si>
  <si>
    <t>SaleOfPPE</t>
  </si>
  <si>
    <t>StockBasedCompensation</t>
  </si>
  <si>
    <t>UnrealizedGainLossOnInvestmentSecurities</t>
  </si>
  <si>
    <t>AmortizationCashFlow</t>
  </si>
  <si>
    <t>AmortizationOfIntangibles</t>
  </si>
  <si>
    <t>CapitalExpenditureReported</t>
  </si>
  <si>
    <t>CashDividendsPaid</t>
  </si>
  <si>
    <t>ChangeInIncomeTaxPayable</t>
  </si>
  <si>
    <t>ChangeInInventory</t>
  </si>
  <si>
    <t>ChangeInTaxPayable</t>
  </si>
  <si>
    <t>CommonStockDividendPaid</t>
  </si>
  <si>
    <t>Depreciation</t>
  </si>
  <si>
    <t>GainLossOnSaleOfPPE</t>
  </si>
  <si>
    <t>NetShortTermDebtIssuance</t>
  </si>
  <si>
    <t>PensionAndEmployeeBenefitExpense</t>
  </si>
  <si>
    <t>ShortTermDebtIssuance</t>
  </si>
  <si>
    <t>ShortTermDebtPayments</t>
  </si>
  <si>
    <t>CashFromDiscontinuedFinancingActivities</t>
  </si>
  <si>
    <t>CashFromDiscontinuedInvestingActivities</t>
  </si>
  <si>
    <t>CashFromDiscontinuedOperatingActivities</t>
  </si>
  <si>
    <t>DividendsReceivedCFI</t>
  </si>
  <si>
    <t>PreferredStockDividendPaid</t>
  </si>
  <si>
    <t>PreferredStockPayments</t>
  </si>
  <si>
    <t>ProvisionandWriteOffofAssets</t>
  </si>
  <si>
    <t>NetIntangiblesPurchaseAndSale</t>
  </si>
  <si>
    <t>PurchaseOfIntangibles</t>
  </si>
  <si>
    <t>fullTimeEmployees</t>
  </si>
  <si>
    <t>website</t>
  </si>
  <si>
    <t>industry</t>
  </si>
  <si>
    <t>sector</t>
  </si>
  <si>
    <t>longBusinessSummary</t>
  </si>
  <si>
    <t>debtToEquity</t>
  </si>
  <si>
    <t>totalDebt</t>
  </si>
  <si>
    <t>ebitda</t>
  </si>
  <si>
    <t>operatingMargins</t>
  </si>
  <si>
    <t>revenueGrowth</t>
  </si>
  <si>
    <t>totalCashPerShare</t>
  </si>
  <si>
    <t>revenuePerShare</t>
  </si>
  <si>
    <t>totalCash</t>
  </si>
  <si>
    <t>returnOnAssets</t>
  </si>
  <si>
    <t>profitMargins</t>
  </si>
  <si>
    <t>grossProfits</t>
  </si>
  <si>
    <t>earningsGrowth</t>
  </si>
  <si>
    <t>freeCashflow</t>
  </si>
  <si>
    <t>returnOnEquity</t>
  </si>
  <si>
    <t>quickRatio</t>
  </si>
  <si>
    <t>currentRatio</t>
  </si>
  <si>
    <t>operatingCashflow</t>
  </si>
  <si>
    <t>previousClose</t>
  </si>
  <si>
    <t>dividendRate</t>
  </si>
  <si>
    <t>dividendYield</t>
  </si>
  <si>
    <t>exDividendDate</t>
  </si>
  <si>
    <t>fiveYearAvgDividendYield</t>
  </si>
  <si>
    <t>beta</t>
  </si>
  <si>
    <t>trailingPE</t>
  </si>
  <si>
    <t>forwardPE</t>
  </si>
  <si>
    <t>averageVolume10days</t>
  </si>
  <si>
    <t>fiftyTwoWeekLow</t>
  </si>
  <si>
    <t>fiftyTwoWeekHigh</t>
  </si>
  <si>
    <t>priceToSalesTrailing12Months</t>
  </si>
  <si>
    <t>trailingAnnualDividendRate</t>
  </si>
  <si>
    <t>trailingAnnualDividendYield</t>
  </si>
  <si>
    <t>marketCap</t>
  </si>
  <si>
    <t>sharesOutstanding</t>
  </si>
  <si>
    <t>bookValue</t>
  </si>
  <si>
    <t>priceToBook</t>
  </si>
  <si>
    <t>lastFiscalYearEnd</t>
  </si>
  <si>
    <t>nextFiscalYearEnd</t>
  </si>
  <si>
    <t>mostRecentQuarter</t>
  </si>
  <si>
    <t>pegRatio</t>
  </si>
  <si>
    <t>Industrials</t>
  </si>
  <si>
    <t>Communication Services</t>
  </si>
  <si>
    <t>Need to add to python formulas kernel</t>
  </si>
  <si>
    <t>Status</t>
  </si>
  <si>
    <t>asOfDate_Min</t>
  </si>
  <si>
    <t>asOfDate_Max</t>
  </si>
  <si>
    <t>Year</t>
  </si>
  <si>
    <t>Ticker:</t>
  </si>
  <si>
    <t>EBITDA (Lookup)</t>
  </si>
  <si>
    <t>Net Income (Lookup)</t>
  </si>
  <si>
    <t>Total Assets (Lookup)</t>
  </si>
  <si>
    <t>Total Liabilities (Lookup)</t>
  </si>
  <si>
    <t>Shareholder's Equity (Lookup)</t>
  </si>
  <si>
    <t>Other Liabilities</t>
  </si>
  <si>
    <t>Other Equity</t>
  </si>
  <si>
    <t>Gross Profit (Lookup)</t>
  </si>
  <si>
    <t>Pretax Income (Lookup)</t>
  </si>
  <si>
    <t>Cash from Operations (Lookup)</t>
  </si>
  <si>
    <t>Cash from Investing (Lookup)</t>
  </si>
  <si>
    <t>Cash from Financing (Lookup)</t>
  </si>
  <si>
    <t>Closing Cash Balance (Lookup)</t>
  </si>
  <si>
    <t>Next Fiscal Year End</t>
  </si>
  <si>
    <t>Current Accrued Expenses</t>
  </si>
  <si>
    <t>Other Current Assets</t>
  </si>
  <si>
    <t>Other Current Liabilities</t>
  </si>
  <si>
    <t>Other Short Term Investments</t>
  </si>
  <si>
    <t>Market Value/Share</t>
  </si>
  <si>
    <t>Version</t>
  </si>
  <si>
    <t>Change Made</t>
  </si>
  <si>
    <t>0.1.2</t>
  </si>
  <si>
    <t>Removed duplicate starting years</t>
  </si>
  <si>
    <t>0.1.3</t>
  </si>
  <si>
    <t>Updates to metrics, removed lower level details not easily reconciled or forecasted</t>
  </si>
  <si>
    <t>Total Expenses (Lookup)</t>
  </si>
  <si>
    <t>Idea</t>
  </si>
  <si>
    <t>#</t>
  </si>
  <si>
    <t>Can I write a function that looks for any count &gt;2 where STDEV is smallest (Cash:EBIT example)</t>
  </si>
  <si>
    <t>Gross PPE (Lookup)</t>
  </si>
  <si>
    <t>Add in plowback ratio as a metric to use for forecasting</t>
  </si>
  <si>
    <t>Total Current Assets</t>
  </si>
  <si>
    <t>Total Current Liabilities</t>
  </si>
  <si>
    <t>Beginning Cash Position (Lookup)</t>
  </si>
  <si>
    <t>Net Increase (decrease) in Cash (Lookup)</t>
  </si>
  <si>
    <t>Less: Changes in Working Capital (Lookup)</t>
  </si>
  <si>
    <t>Operating Gains/Losses</t>
  </si>
  <si>
    <t>Cash Dividends Paid</t>
  </si>
  <si>
    <t>Investments in CAPEX/Property &amp; Equipment</t>
  </si>
  <si>
    <t>Other Investing Cash Impacts</t>
  </si>
  <si>
    <t>Less: Sale of Business</t>
  </si>
  <si>
    <t>Depreciation &amp; Amortization (% of Revenue)</t>
  </si>
  <si>
    <t>&lt;= Create function that determines which STDEV is closer to zero and utilize that average</t>
  </si>
  <si>
    <t>Operating Expense</t>
  </si>
  <si>
    <t>Taxes (Lookup)</t>
  </si>
  <si>
    <t>Calc Tax Rate</t>
  </si>
  <si>
    <t>Operating Expense (% of Revenue)</t>
  </si>
  <si>
    <t>Margin %</t>
  </si>
  <si>
    <t>Net Income YoY Growth</t>
  </si>
  <si>
    <t>Total Current Assets (Lookup)</t>
  </si>
  <si>
    <t>Total Current Liabilities (Lookup)</t>
  </si>
  <si>
    <t>Other Non-Current Assets</t>
  </si>
  <si>
    <t>Accumulated Depreciation</t>
  </si>
  <si>
    <t>Other Receivables</t>
  </si>
  <si>
    <t>Current Debt/Capital Leases</t>
  </si>
  <si>
    <t>Current Deferred Liabilities</t>
  </si>
  <si>
    <t>Capital Lease Obligations</t>
  </si>
  <si>
    <t>Non-Current Deferred Liabilities</t>
  </si>
  <si>
    <t>Long-Term Provisions</t>
  </si>
  <si>
    <t>Common Stock</t>
  </si>
  <si>
    <t>Additional Paid-In Capital</t>
  </si>
  <si>
    <t>Less: Treasury Stock</t>
  </si>
  <si>
    <t>Minority Interest</t>
  </si>
  <si>
    <t>Gains Losses Not Affecting Retained Earnings</t>
  </si>
  <si>
    <t>Employee Benefits</t>
  </si>
  <si>
    <t>Current Retirement Benefits</t>
  </si>
  <si>
    <t>Trade and Other Payables Non-Current</t>
  </si>
  <si>
    <t>Derivative Product Liabilities</t>
  </si>
  <si>
    <t>Non Current Accrued Expenses</t>
  </si>
  <si>
    <t>Non Current Deferred Assets</t>
  </si>
  <si>
    <t>Investments And Advances</t>
  </si>
  <si>
    <t>Pension And Employee Benefit Expense</t>
  </si>
  <si>
    <t>Deferred Income Tax</t>
  </si>
  <si>
    <t>Income Tax Paid Supplemental Data</t>
  </si>
  <si>
    <t>Other Non Cash Items</t>
  </si>
  <si>
    <t>Provision and Write Off of Assets</t>
  </si>
  <si>
    <t>Stock Based Compensation</t>
  </si>
  <si>
    <t>Change In Other Working Capital</t>
  </si>
  <si>
    <t>EBT (Pretax Income)</t>
  </si>
  <si>
    <t>EBIT (Pretax Income + Interest)</t>
  </si>
  <si>
    <t>0.1.4</t>
  </si>
  <si>
    <t>Updates to forecast metrics, need to better forecast NWC (how to formulate current assets/liab)</t>
  </si>
  <si>
    <t>how to forecast operating gains/losses</t>
  </si>
  <si>
    <t>Current Accrued Expenses (% of COGS)</t>
  </si>
  <si>
    <t>Current Debt (% of Revenue)</t>
  </si>
  <si>
    <t>Other Current Liabilities (% of Revenue)</t>
  </si>
  <si>
    <t>Other Current Assets (% of Revenue)</t>
  </si>
  <si>
    <t>BS Cash to Revenue Ratio</t>
  </si>
  <si>
    <t>&lt;= Average</t>
  </si>
  <si>
    <t>need to correct formulas to use table referencing</t>
  </si>
  <si>
    <t>Cash Dividends Paid (% of Revenue)</t>
  </si>
  <si>
    <t>price_date</t>
  </si>
  <si>
    <t>open</t>
  </si>
  <si>
    <t>high</t>
  </si>
  <si>
    <t>low</t>
  </si>
  <si>
    <t>close</t>
  </si>
  <si>
    <t>volume</t>
  </si>
  <si>
    <t>adjclose</t>
  </si>
  <si>
    <t>Pull_Date</t>
  </si>
  <si>
    <t>percent_return</t>
  </si>
  <si>
    <t>open_close_diff</t>
  </si>
  <si>
    <t>open_high_diff</t>
  </si>
  <si>
    <t>day_of_week</t>
  </si>
  <si>
    <t>price_date_year</t>
  </si>
  <si>
    <t>^GSPC</t>
  </si>
  <si>
    <t>Wednesday</t>
  </si>
  <si>
    <t>Saturday</t>
  </si>
  <si>
    <t>Sunday</t>
  </si>
  <si>
    <t>Friday</t>
  </si>
  <si>
    <t>Monday</t>
  </si>
  <si>
    <t>Tuesday</t>
  </si>
  <si>
    <t>Thursday</t>
  </si>
  <si>
    <t>AvgReturn</t>
  </si>
  <si>
    <t>Yearly Average Return</t>
  </si>
  <si>
    <t>^TNX</t>
  </si>
  <si>
    <t>^TNX20240617</t>
  </si>
  <si>
    <t>need to correct python script for stock prices so that percent return restarts every new stock ticker (see YouTube video)</t>
  </si>
  <si>
    <t>dividends</t>
  </si>
  <si>
    <t>splits</t>
  </si>
  <si>
    <t>change_in_price</t>
  </si>
  <si>
    <t>Beta</t>
  </si>
  <si>
    <t>Avg Ticker Annual Growth</t>
  </si>
  <si>
    <t>Discounted Cash Flow Breakdown</t>
  </si>
  <si>
    <t>avgInflation</t>
  </si>
  <si>
    <r>
      <t xml:space="preserve">Perpetual Growth Rate </t>
    </r>
    <r>
      <rPr>
        <sz val="8"/>
        <color theme="1"/>
        <rFont val="Calibri"/>
        <family val="2"/>
        <scheme val="minor"/>
      </rPr>
      <t>(Default to Inflation Rate)</t>
    </r>
  </si>
  <si>
    <t>Breakeven growth rate (what growth rate would get the DCF price/share === current market price/share)</t>
  </si>
  <si>
    <t>0.1.5</t>
  </si>
  <si>
    <r>
      <t xml:space="preserve">correct: </t>
    </r>
    <r>
      <rPr>
        <sz val="11"/>
        <color rgb="FFFF0000"/>
        <rFont val="Calibri"/>
        <family val="2"/>
        <scheme val="minor"/>
      </rPr>
      <t>I53</t>
    </r>
    <r>
      <rPr>
        <sz val="11"/>
        <color theme="1"/>
        <rFont val="Calibri"/>
        <family val="2"/>
        <scheme val="minor"/>
      </rPr>
      <t xml:space="preserve">, </t>
    </r>
    <r>
      <rPr>
        <strike/>
        <sz val="11"/>
        <color theme="1"/>
        <rFont val="Calibri"/>
        <family val="2"/>
        <scheme val="minor"/>
      </rPr>
      <t>I161</t>
    </r>
    <r>
      <rPr>
        <sz val="11"/>
        <color theme="1"/>
        <rFont val="Calibri"/>
        <family val="2"/>
        <scheme val="minor"/>
      </rPr>
      <t xml:space="preserve">, </t>
    </r>
    <r>
      <rPr>
        <strike/>
        <sz val="11"/>
        <color theme="1"/>
        <rFont val="Calibri"/>
        <family val="2"/>
        <scheme val="minor"/>
      </rPr>
      <t>I155</t>
    </r>
    <r>
      <rPr>
        <sz val="11"/>
        <color theme="1"/>
        <rFont val="Calibri"/>
        <family val="2"/>
        <scheme val="minor"/>
      </rPr>
      <t xml:space="preserve">, </t>
    </r>
    <r>
      <rPr>
        <strike/>
        <sz val="11"/>
        <color theme="1"/>
        <rFont val="Calibri"/>
        <family val="2"/>
        <scheme val="minor"/>
      </rPr>
      <t>I166</t>
    </r>
  </si>
  <si>
    <t>Enterprise Value?</t>
  </si>
  <si>
    <t>EV?</t>
  </si>
  <si>
    <t>Total Debt</t>
  </si>
  <si>
    <t>0.1.7</t>
  </si>
  <si>
    <t>Added Enterprise Value calculation and EV / EBITDA multiple</t>
  </si>
  <si>
    <t>0.2.0</t>
  </si>
  <si>
    <t>Test with live data (S&amp;P 500 Stocks)</t>
  </si>
  <si>
    <t>0.2.1</t>
  </si>
  <si>
    <t>Remove unneccessary data rows from model</t>
  </si>
  <si>
    <t>Net Working Capital</t>
  </si>
  <si>
    <t>Revisit Debt &amp; Interest Schedule (Supporting Schedules)</t>
  </si>
  <si>
    <t>Complete</t>
  </si>
  <si>
    <t>Revisit Employee Benefits in Balance Sheet calculation</t>
  </si>
  <si>
    <t>Employee Benefits (% of Revenue)</t>
  </si>
  <si>
    <t>Revisit retained earnings calculation</t>
  </si>
  <si>
    <t>&lt;= Set to Zero</t>
  </si>
  <si>
    <t>Update TickerYears to filter out null TotalRevenue before determining Ticker Years</t>
  </si>
  <si>
    <t>0.2.2</t>
  </si>
  <si>
    <t>asOfYear</t>
  </si>
  <si>
    <t>Capital Expenditures (% of Revenue)</t>
  </si>
  <si>
    <t>Fix Other Current Assets calculation, ratio, and forecast</t>
  </si>
  <si>
    <t>today</t>
  </si>
  <si>
    <t>Total Revenue</t>
  </si>
  <si>
    <t>Technology</t>
  </si>
  <si>
    <t>Consumer Cyclical</t>
  </si>
  <si>
    <t>Discount Rate (CAPM)</t>
  </si>
  <si>
    <t>x</t>
  </si>
  <si>
    <t>^GSPC20240723</t>
  </si>
  <si>
    <t>targetMeanPrice</t>
  </si>
  <si>
    <t>Healthcare</t>
  </si>
  <si>
    <t>AmortizationOfSecurities</t>
  </si>
  <si>
    <t>DuefromRelatedPartiesCurrent</t>
  </si>
  <si>
    <t>ROS</t>
  </si>
  <si>
    <t>ChangeInInterestPayable</t>
  </si>
  <si>
    <t>Biotechnology</t>
  </si>
  <si>
    <t>Software - Application</t>
  </si>
  <si>
    <t>DepreciationIncomeStatement</t>
  </si>
  <si>
    <t>INGN20240915</t>
  </si>
  <si>
    <t>INGN</t>
  </si>
  <si>
    <t>IGMS20240915</t>
  </si>
  <si>
    <t>IGMS</t>
  </si>
  <si>
    <t>KIND20240915</t>
  </si>
  <si>
    <t>KIND</t>
  </si>
  <si>
    <t>SNCY20240915</t>
  </si>
  <si>
    <t>SNCY</t>
  </si>
  <si>
    <t>CVCO20240915</t>
  </si>
  <si>
    <t>CVCO</t>
  </si>
  <si>
    <t>BKE20240915</t>
  </si>
  <si>
    <t>BKE</t>
  </si>
  <si>
    <t>ADEA20240915</t>
  </si>
  <si>
    <t>ADEA</t>
  </si>
  <si>
    <t>KALV20240915</t>
  </si>
  <si>
    <t>KALV</t>
  </si>
  <si>
    <t>ARTNA20240915</t>
  </si>
  <si>
    <t>ARTNA</t>
  </si>
  <si>
    <t>POWI20240915</t>
  </si>
  <si>
    <t>POWI</t>
  </si>
  <si>
    <t>LoansReceivable</t>
  </si>
  <si>
    <t>TradingSecurities</t>
  </si>
  <si>
    <t>AccruedInterestReceivable</t>
  </si>
  <si>
    <t>ReceivablesAdjustmentsAllowances</t>
  </si>
  <si>
    <t>https://www.inogen.com</t>
  </si>
  <si>
    <t>Medical Devices</t>
  </si>
  <si>
    <t>Inogen, Inc., a medical technology company, develops, manufactures, and markets portable oxygen concentrators to patients, physicians and other clinicians, and third-party payors in the United States and internationally. Its oxygen concentrators are used to deliver supplemental long-term oxygen therapy to patients suffering from chronic respiratory conditions. The company offers Inogen One, a portable device that concentrate the air around the patient to provide a source of supplemental oxygen; Inogen At Home stationary oxygen concentrators; Simeox airway clearance; batteries; and related accessories. It also rents its products directly to patients. Inogen, Inc. was incorporated in 2001 and is headquartered in Goleta, California.</t>
  </si>
  <si>
    <t>https://igmbio.com</t>
  </si>
  <si>
    <t>IGM Biosciences, Inc., a clinical-stage biotechnology company, develops Immunoglobulin M (IgM) antibodies for the treatment of cancer and autoimmune and inflammatory diseases. It develops Aplitabart, a Death Receptor 5 Agonist IgM antibody for the treatment of colorectal cancer; imvotamab, a CD20 x CD3 bispecific IgM antibody to treat myositis, as well as for the treatment of systemic lupus erythematosus and rheumatoid arthritis that is Phase Ib clinical trial; and IGM-2644, a bispecific T cell engaging IgM antibody targeting CD38 and CD3 proteins for the treatment of autoimmune diseases. IGM Biosciences, Inc. has a collaboration and license agreement with Genzyme Corporation to generate, develop, manufacture, and commercialize IgM antibodies. The company was formerly known as Palingen, Inc. and changed its name to IGM Biosciences, Inc. in 2010. IGM Biosciences, Inc. was incorporated in 1993 and is headquartered in Mountain View, California.</t>
  </si>
  <si>
    <t>https://www.nextdoor.com</t>
  </si>
  <si>
    <t>Internet Content &amp; Information</t>
  </si>
  <si>
    <t>Nextdoor Holdings, Inc. operates a neighborhood network that connects neighbors, businesses, and public services in the United States and internationally. The company enables neighbors and organizations to get information, give and get help, and build connections. It also offers advertising solutions, designs to generate value for businesses for connection and sales expansion. The company is headquartered in San Francisco, California.</t>
  </si>
  <si>
    <t>https://www.suncountry.com</t>
  </si>
  <si>
    <t>Airlines</t>
  </si>
  <si>
    <t>Sun Country Airlines Holdings, Inc., an air carrier company, operates scheduled passenger, air cargo, charter air transportation, and related services in the United States, Latin America, and internationally. It operates through two segments, Passenger and Cargo. The company also provides crew, maintenance, and insurance services through ad hoc, repeat, short-term, and long-term service contracts; and loyalty program rewards. As of December 31, 2023, its fleet consisted of 60 Boeing 737-NG aircraft, which includes 42 passenger fleet, 12 cargo, and 6 leased to unaffiliated airlines aircraft. The company serves leisure, and visiting friends and relatives passengers; charter and cargo customers; military branches; collegiate and professional sports teams; wholesale tour operators; schools; companies; and other individual entities through its website, call center, and travel agents. Sun Country Airlines Holdings, Inc. was founded in 1983 and is headquartered in Minneapolis, Minnesota.</t>
  </si>
  <si>
    <t>https://www.cavco.com</t>
  </si>
  <si>
    <t>Residential Construction</t>
  </si>
  <si>
    <t>Cavco Industries, Inc. designs, produces, and retails factory-built homes primarily in the United States. It operates in two segments, Factory-Built Housing and Financial Services. The company markets its factory-built homes under the Cavco, Fleetwood, Palm Harbor, Nationwide, Fairmont, Friendship, Chariot Eagle, Destiny, Commodore, Colony, Pennwest, R-Anell, Manorwood, MidCountry, and Solitaire brands. It produces park model RVs; vacation cabins; and factory-built commercial structures, including apartment buildings, condominiums, hotels, workforce housing, schools, and housing for the United States military troops. In addition, the company produces various modular homes, which include single and multi-section ranch, split-level, and Cape Cod style homes, as well as two- and three-story homes, and multi-family units. Further, it provides conforming and non-conforming mortgages and home-only loans to purchasers of various brands of factory-built homes sold by company-owned retail stores, as well as various independent distributors, builders, communities, and developers. Additionally, the company offers property and casualty insurance to owners of manufactured homes. It distributes its products through a network of independent and company-owned retailers, planned community operators, and residential developers. Cavco Industries, Inc. was founded in 1965 and is headquartered in Phoenix, Arizona.</t>
  </si>
  <si>
    <t>https://www.buckle.com</t>
  </si>
  <si>
    <t>Apparel Retail</t>
  </si>
  <si>
    <t>The Buckle, Inc. operates as a retailer of casual apparel, footwear, and accessories for young men and women in the United States. It markets a selection of brand name casual apparel, including denims, other casual bottoms, tops, sportswear, outerwear, accessories, and footwear, as well as private label merchandise primarily comprising BKE, Buckle Black, Salvage, Red by BKE, Daytrip, Gimmicks, Gilded Intent, FITZ + EDDI, Willow &amp; Root, Outpost Makers, Departwest, Sterling &amp; Stitch, Reclaim, BKE Vintage, Nova Industries, J.B. Holt, Modish Rebel, Maven Co-op, and Veece. The company provides services, such as hemming, gift-packaging, layaways, guest loyalty program, the Buckle private label credit card, and personalized stylist services, as well as special order system that allows stores to obtain requested merchandise from other company stores or its online order fulfillment center. The Buckle, Inc. also sells its products through its website, buckle.com. The company was formerly known as Mills Clothing, Inc. and changed its name to The Buckle, Inc. in April 1991.The Buckle, Inc. was incorporated in 1948 and is headquartered in Kearney, Nebraska.</t>
  </si>
  <si>
    <t>https://adeia.com</t>
  </si>
  <si>
    <t>Adeia Inc., together with its subsidiaries, operates as a media and semiconductor intellectual property licensing company in the United States, Canada, Asia, Europe, the Middle East, and internationally. The company licenses its patent portfolios across various markets, including multichannel video programming distributors comprising cable, satellite, and telecommunications television providers that aggregate and distribute linear content over networks, as well as television providers that aggregate and stream linear content over broadband networks; over-the-top video service providers and social media companies, such as subscription video-on-demand and advertising-supported streaming service providers, as well as content providers, networks, and media companies. It also licenses consumer electronics manufacturers, which includes producers of smart televisions, streaming media devices, video game consoles, mobile devices, content storage devices, and other connected media devices; semiconductors, including providers of sensors, radio frequency components, memory, and logic devices; and social media companies that allow users to stream and upload user-generated content. The company licenses its innovations under the Adeia brand name. Adeia Inc. was formerly known as Xperi Corporation and changed its name to Adeia Inc. in December 2019. The company was incorporated in 2019 and is headquartered in San Jose, California.</t>
  </si>
  <si>
    <t>https://www.kalvista.com</t>
  </si>
  <si>
    <t>KalVista Pharmaceuticals, Inc., a clinical stage pharmaceutical company, engages in the discovery, development, and commercialization of drug therapies inhibitors for diseases with unmet needs. The company's product candidate is Sebetralstat, a small molecule plasma kallikrein inhibitor targeting the disease of hereditary angioedema (HAE). It develops Factor XIIa, an oral inhibitor for the treatment of HAE which is in preclinical trial. In addition, the company is developing an orally disintegrating tablet formulation, including KONFIDENT-KID for pediatric use with HAE; KONFIDENT-S for adolescent and adult patients with type I or type II HAE; and KONFIDENT for a potential oral therapy for HAE attacks. The company is headquartered in Cambridge, Massachusetts.</t>
  </si>
  <si>
    <t>https://www.artesianwater.com</t>
  </si>
  <si>
    <t>Utilities - Regulated Water</t>
  </si>
  <si>
    <t>Utilities</t>
  </si>
  <si>
    <t>Artesian Resources Corporation, through its subsidiaries, provides water, wastewater, and other services in Delaware, Maryland, and Pennsylvania. The company distributes and sells water to residential, commercial, industrial, governmental, municipal, and utility customers, as well as for public and private fire protection in the states of Delaware, Maryland, and Pennsylvania; and offers wastewater collection, treatment infrastructure, and wastewater services to customers in Delaware. It also provides contract water and wastewater services; water, sewer, and internal service line protection plans; and wastewater management services, as well as design, construction, and engineering services. In addition, the company offers services to other water utilities, including operations and billing functions; owns real estate properties, including land for office buildings, a water treatment plant, and wastewater facility; and provides design, installation, maintenance, and repair services related to existing or proposed storm water management systems. As of December 31, 2023, it served approximately 95,900 customers in Delaware; 2,600 customers in Maryland; and 40 customers in Pennsylvania through 1,470 miles of transmission and distribution mains. Artesian Resources Corporation was founded in 1905 and is headquartered in Newark, Delaware.</t>
  </si>
  <si>
    <t>https://www.power.com</t>
  </si>
  <si>
    <t>Semiconductors</t>
  </si>
  <si>
    <t>Power Integrations, Inc. designs, develops, manufactures, and markets analog and mixed-signal integrated circuits (ICs), and other electronic components and circuitry used in high-voltage power conversion worldwide. The company provides a range of alternating current to direct current power conversion products that address power supply ranging from less than one watt of output to approximately 500 watts of output for mobile-device chargers, consumer appliances, utility meters, LCD monitors, main and standby power supplies for desktop computers and TVs, LED lighting, and various other consumer and industrial applications, as well as power conversion in high-power applications comprising industrial motors, solar and wind-power systems, electric vehicles, and high-voltage DC transmission systems. It also offers high-voltage diodes; InnoSwitch IC for electric vehicles; high-voltage gate-driver products used to operate high-voltage switches, such as insulated-gate bipolar transistors and silicon-carbide MOSFETs under the SCALE and SCALE-2 product-family names; and SCALE-iDriver for use in powertrain and charging applications for electric vehicles. In addition, the company provides motor-driver ICs for use in refrigerator compressors, ceiling fans, and air purifiers, as well as pumps, fans, and blowers used in consumer appliances, such as dishwashers and laundry machines. It serves communications, computer, consumer, and industrial markets. The company sells its products to original equipment manufacturers and merchant power supply manufacturers through direct sales staff, as well as a network of independent sales representatives and distributors. Power Integrations, Inc. was incorporated in 1988 and is headquartered in San Jose,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</si>
</sst>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_(* #,##0.0000_);_(* \(#,##0.0000\);_(* &quot;-&quot;??_);_(@_)"/>
    <numFmt numFmtId="169" formatCode="0.000"/>
    <numFmt numFmtId="170" formatCode="0.0000"/>
    <numFmt numFmtId="171" formatCode="0.000%"/>
    <numFmt numFmtId="172" formatCode="_(* #,##0.000000_);_(* \(#,##0.000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6"/>
      <color theme="0"/>
      <name val="Calibri"/>
      <family val="2"/>
      <scheme val="minor"/>
    </font>
    <font>
      <sz val="9"/>
      <color theme="1"/>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sz val="8"/>
      <color theme="1"/>
      <name val="Calibri"/>
      <family val="2"/>
      <scheme val="minor"/>
    </font>
    <font>
      <sz val="11"/>
      <color rgb="FFFF0000"/>
      <name val="Calibri"/>
      <family val="2"/>
      <scheme val="minor"/>
    </font>
    <font>
      <i/>
      <sz val="11"/>
      <color rgb="FFFF0000"/>
      <name val="Calibri"/>
      <family val="2"/>
      <scheme val="minor"/>
    </font>
    <font>
      <sz val="12"/>
      <color theme="0"/>
      <name val="Calibri"/>
      <family val="2"/>
      <scheme val="minor"/>
    </font>
    <font>
      <sz val="16"/>
      <name val="Calibri"/>
      <family val="2"/>
      <scheme val="minor"/>
    </font>
    <font>
      <sz val="11"/>
      <name val="Calibri"/>
      <family val="2"/>
      <scheme val="minor"/>
    </font>
    <font>
      <sz val="8"/>
      <color rgb="FFFF0000"/>
      <name val="Calibri"/>
      <family val="2"/>
      <scheme val="minor"/>
    </font>
    <font>
      <b/>
      <sz val="11"/>
      <name val="Calibri"/>
      <family val="2"/>
      <scheme val="minor"/>
    </font>
    <font>
      <b/>
      <sz val="11"/>
      <color rgb="FFFF0000"/>
      <name val="Calibri"/>
      <family val="2"/>
      <scheme val="minor"/>
    </font>
    <font>
      <i/>
      <sz val="11"/>
      <name val="Calibri"/>
      <family val="2"/>
      <scheme val="minor"/>
    </font>
    <font>
      <sz val="11"/>
      <color theme="0"/>
      <name val="Calibri"/>
      <family val="2"/>
      <scheme val="minor"/>
    </font>
    <font>
      <strike/>
      <sz val="11"/>
      <color theme="1"/>
      <name val="Calibri"/>
      <family val="2"/>
      <scheme val="minor"/>
    </font>
    <font>
      <sz val="11"/>
      <color rgb="FF7030A0"/>
      <name val="Calibri"/>
      <family val="2"/>
      <scheme val="minor"/>
    </font>
  </fonts>
  <fills count="15">
    <fill>
      <patternFill patternType="none"/>
    </fill>
    <fill>
      <patternFill patternType="gray125"/>
    </fill>
    <fill>
      <patternFill patternType="solid">
        <fgColor rgb="FF00306C"/>
        <bgColor indexed="64"/>
      </patternFill>
    </fill>
    <fill>
      <patternFill patternType="solid">
        <fgColor rgb="FF009999"/>
        <bgColor indexed="64"/>
      </patternFill>
    </fill>
    <fill>
      <patternFill patternType="solid">
        <fgColor theme="5"/>
        <bgColor indexed="64"/>
      </patternFill>
    </fill>
    <fill>
      <patternFill patternType="solid">
        <fgColor theme="2"/>
        <bgColor indexed="64"/>
      </patternFill>
    </fill>
    <fill>
      <patternFill patternType="solid">
        <fgColor theme="7" tint="0.79998168889431442"/>
        <bgColor indexed="64"/>
      </patternFill>
    </fill>
    <fill>
      <patternFill patternType="solid">
        <fgColor rgb="FFC0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rgb="FF00B050"/>
        <bgColor indexed="64"/>
      </patternFill>
    </fill>
    <fill>
      <patternFill patternType="solid">
        <fgColor rgb="FFFFC00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6">
    <xf numFmtId="0" fontId="0" fillId="0" borderId="0" xfId="0"/>
    <xf numFmtId="0" fontId="6" fillId="0" borderId="1" xfId="0" applyFont="1" applyBorder="1"/>
    <xf numFmtId="0" fontId="2" fillId="4" borderId="0" xfId="0" applyFont="1" applyFill="1"/>
    <xf numFmtId="0" fontId="3" fillId="0" borderId="0" xfId="0" applyFont="1"/>
    <xf numFmtId="0" fontId="0" fillId="0" borderId="2" xfId="0" applyBorder="1"/>
    <xf numFmtId="0" fontId="3" fillId="0" borderId="3" xfId="0" applyFont="1" applyBorder="1"/>
    <xf numFmtId="0" fontId="3" fillId="0" borderId="1" xfId="0" applyFont="1" applyBorder="1"/>
    <xf numFmtId="0" fontId="7" fillId="0" borderId="0" xfId="0" applyFont="1"/>
    <xf numFmtId="164" fontId="0" fillId="0" borderId="0" xfId="1" applyNumberFormat="1" applyFont="1"/>
    <xf numFmtId="165" fontId="6" fillId="0" borderId="1" xfId="1" applyNumberFormat="1" applyFont="1" applyBorder="1"/>
    <xf numFmtId="165" fontId="0" fillId="0" borderId="0" xfId="1" applyNumberFormat="1" applyFont="1"/>
    <xf numFmtId="165" fontId="2" fillId="4" borderId="0" xfId="1" applyNumberFormat="1" applyFont="1" applyFill="1"/>
    <xf numFmtId="165" fontId="3" fillId="0" borderId="0" xfId="1" applyNumberFormat="1" applyFont="1"/>
    <xf numFmtId="165" fontId="0" fillId="0" borderId="2" xfId="1" applyNumberFormat="1" applyFont="1" applyBorder="1"/>
    <xf numFmtId="165" fontId="3" fillId="0" borderId="3" xfId="1" applyNumberFormat="1" applyFont="1" applyBorder="1"/>
    <xf numFmtId="165" fontId="3" fillId="0" borderId="1" xfId="1" applyNumberFormat="1" applyFont="1" applyBorder="1"/>
    <xf numFmtId="165" fontId="7" fillId="0" borderId="0" xfId="1" applyNumberFormat="1" applyFont="1"/>
    <xf numFmtId="165" fontId="0" fillId="5" borderId="0" xfId="1" applyNumberFormat="1" applyFont="1" applyFill="1"/>
    <xf numFmtId="165" fontId="0" fillId="5" borderId="2" xfId="1" applyNumberFormat="1" applyFont="1" applyFill="1" applyBorder="1"/>
    <xf numFmtId="0" fontId="10" fillId="0" borderId="0" xfId="2"/>
    <xf numFmtId="9" fontId="0" fillId="0" borderId="0" xfId="0" applyNumberFormat="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0" fontId="0" fillId="0" borderId="0" xfId="1" applyNumberFormat="1" applyFont="1"/>
    <xf numFmtId="164" fontId="0" fillId="5" borderId="0" xfId="1" applyNumberFormat="1" applyFont="1" applyFill="1"/>
    <xf numFmtId="14" fontId="0" fillId="5" borderId="0" xfId="0" applyNumberFormat="1" applyFill="1"/>
    <xf numFmtId="0" fontId="2" fillId="3" borderId="0" xfId="1" applyNumberFormat="1" applyFont="1" applyFill="1"/>
    <xf numFmtId="0" fontId="2" fillId="2" borderId="0" xfId="1" applyNumberFormat="1" applyFont="1" applyFill="1"/>
    <xf numFmtId="166" fontId="0" fillId="6" borderId="0" xfId="3" applyNumberFormat="1" applyFont="1" applyFill="1"/>
    <xf numFmtId="165" fontId="0" fillId="6" borderId="0" xfId="1" applyNumberFormat="1" applyFont="1" applyFill="1"/>
    <xf numFmtId="0" fontId="3" fillId="0" borderId="2" xfId="0" applyFont="1" applyBorder="1"/>
    <xf numFmtId="9" fontId="0" fillId="0" borderId="0" xfId="3" applyFont="1" applyAlignment="1">
      <alignment horizontal="center"/>
    </xf>
    <xf numFmtId="165" fontId="3" fillId="0" borderId="2" xfId="1" applyNumberFormat="1" applyFont="1" applyBorder="1"/>
    <xf numFmtId="165" fontId="0" fillId="0" borderId="0" xfId="0" applyNumberFormat="1"/>
    <xf numFmtId="0" fontId="2" fillId="2" borderId="4" xfId="0" applyFont="1" applyFill="1" applyBorder="1"/>
    <xf numFmtId="0" fontId="0" fillId="0" borderId="4" xfId="0" applyBorder="1"/>
    <xf numFmtId="0" fontId="0" fillId="0" borderId="4" xfId="0" quotePrefix="1" applyBorder="1"/>
    <xf numFmtId="165" fontId="0" fillId="6" borderId="2" xfId="1" applyNumberFormat="1" applyFont="1" applyFill="1" applyBorder="1"/>
    <xf numFmtId="165" fontId="0" fillId="0" borderId="2" xfId="0" applyNumberFormat="1" applyBorder="1"/>
    <xf numFmtId="43" fontId="0" fillId="0" borderId="0" xfId="1" applyFont="1"/>
    <xf numFmtId="167" fontId="0" fillId="0" borderId="0" xfId="1" applyNumberFormat="1" applyFont="1"/>
    <xf numFmtId="165" fontId="11" fillId="0" borderId="0" xfId="1" applyNumberFormat="1" applyFont="1"/>
    <xf numFmtId="44" fontId="0" fillId="0" borderId="0" xfId="4" applyFont="1"/>
    <xf numFmtId="22" fontId="0" fillId="0" borderId="0" xfId="0" applyNumberFormat="1"/>
    <xf numFmtId="0" fontId="13" fillId="0" borderId="0" xfId="0" applyFont="1"/>
    <xf numFmtId="166" fontId="0" fillId="5" borderId="0" xfId="3" applyNumberFormat="1" applyFont="1" applyFill="1"/>
    <xf numFmtId="165" fontId="0" fillId="0" borderId="0" xfId="1" applyNumberFormat="1" applyFont="1" applyFill="1"/>
    <xf numFmtId="0" fontId="2" fillId="7" borderId="0" xfId="0" applyFont="1" applyFill="1" applyAlignment="1">
      <alignment horizontal="center"/>
    </xf>
    <xf numFmtId="0" fontId="14" fillId="2" borderId="0" xfId="0" applyFont="1" applyFill="1" applyAlignment="1">
      <alignment horizontal="center" vertical="center"/>
    </xf>
    <xf numFmtId="0" fontId="0" fillId="8" borderId="0" xfId="0" applyFill="1"/>
    <xf numFmtId="0" fontId="3" fillId="5" borderId="1" xfId="0" applyFont="1" applyFill="1" applyBorder="1"/>
    <xf numFmtId="165" fontId="3" fillId="5" borderId="1" xfId="1" applyNumberFormat="1" applyFont="1" applyFill="1" applyBorder="1"/>
    <xf numFmtId="165" fontId="3" fillId="0" borderId="0" xfId="1" applyNumberFormat="1" applyFont="1" applyBorder="1"/>
    <xf numFmtId="0" fontId="16" fillId="0" borderId="0" xfId="0" applyFont="1"/>
    <xf numFmtId="0" fontId="3" fillId="0" borderId="7" xfId="0" applyFont="1" applyBorder="1"/>
    <xf numFmtId="165" fontId="3" fillId="0" borderId="7" xfId="1" applyNumberFormat="1" applyFont="1" applyBorder="1"/>
    <xf numFmtId="0" fontId="0" fillId="9" borderId="0" xfId="0" applyFill="1"/>
    <xf numFmtId="165" fontId="0" fillId="0" borderId="0" xfId="1" applyNumberFormat="1" applyFont="1" applyBorder="1"/>
    <xf numFmtId="165" fontId="0" fillId="9" borderId="0" xfId="1" applyNumberFormat="1" applyFont="1" applyFill="1" applyBorder="1"/>
    <xf numFmtId="0" fontId="3" fillId="9" borderId="0" xfId="0" applyFont="1" applyFill="1"/>
    <xf numFmtId="166" fontId="12" fillId="5" borderId="0" xfId="3" applyNumberFormat="1" applyFont="1" applyFill="1"/>
    <xf numFmtId="165" fontId="12" fillId="5" borderId="0" xfId="1" applyNumberFormat="1" applyFont="1" applyFill="1"/>
    <xf numFmtId="165" fontId="12" fillId="6" borderId="0" xfId="1" applyNumberFormat="1" applyFont="1" applyFill="1"/>
    <xf numFmtId="165" fontId="12" fillId="0" borderId="0" xfId="1" applyNumberFormat="1" applyFont="1"/>
    <xf numFmtId="165" fontId="12" fillId="0" borderId="0" xfId="1" applyNumberFormat="1" applyFont="1" applyFill="1"/>
    <xf numFmtId="0" fontId="12" fillId="0" borderId="0" xfId="0" applyFont="1"/>
    <xf numFmtId="166" fontId="16" fillId="5" borderId="0" xfId="3" applyNumberFormat="1" applyFont="1" applyFill="1"/>
    <xf numFmtId="14" fontId="16" fillId="0" borderId="0" xfId="0" applyNumberFormat="1" applyFont="1"/>
    <xf numFmtId="166" fontId="16" fillId="0" borderId="0" xfId="3" applyNumberFormat="1" applyFont="1"/>
    <xf numFmtId="8" fontId="16" fillId="0" borderId="0" xfId="0" applyNumberFormat="1" applyFont="1"/>
    <xf numFmtId="3" fontId="16" fillId="0" borderId="0" xfId="0" applyNumberFormat="1" applyFont="1"/>
    <xf numFmtId="165" fontId="0" fillId="5" borderId="0" xfId="1" applyNumberFormat="1" applyFont="1" applyFill="1" applyBorder="1"/>
    <xf numFmtId="0" fontId="0" fillId="0" borderId="8" xfId="0" applyBorder="1"/>
    <xf numFmtId="165" fontId="0" fillId="0" borderId="8" xfId="1" applyNumberFormat="1" applyFont="1" applyBorder="1"/>
    <xf numFmtId="43" fontId="0" fillId="0" borderId="0" xfId="0" applyNumberFormat="1"/>
    <xf numFmtId="0" fontId="17" fillId="0" borderId="0" xfId="0" applyFont="1"/>
    <xf numFmtId="166" fontId="0" fillId="0" borderId="0" xfId="3" applyNumberFormat="1" applyFont="1"/>
    <xf numFmtId="10" fontId="0" fillId="0" borderId="0" xfId="3" applyNumberFormat="1" applyFont="1"/>
    <xf numFmtId="0" fontId="0" fillId="0" borderId="0" xfId="0" applyAlignment="1">
      <alignment horizontal="center"/>
    </xf>
    <xf numFmtId="166" fontId="16" fillId="6" borderId="0" xfId="3" applyNumberFormat="1" applyFont="1" applyFill="1"/>
    <xf numFmtId="165" fontId="1" fillId="0" borderId="0" xfId="1" applyNumberFormat="1" applyFont="1"/>
    <xf numFmtId="164" fontId="16" fillId="6" borderId="0" xfId="1" applyNumberFormat="1" applyFont="1" applyFill="1"/>
    <xf numFmtId="168" fontId="0" fillId="0" borderId="0" xfId="1" applyNumberFormat="1" applyFont="1"/>
    <xf numFmtId="165" fontId="16" fillId="0" borderId="0" xfId="1" applyNumberFormat="1" applyFont="1"/>
    <xf numFmtId="169" fontId="0" fillId="0" borderId="0" xfId="0" applyNumberFormat="1"/>
    <xf numFmtId="165" fontId="12" fillId="5" borderId="0" xfId="1" applyNumberFormat="1" applyFont="1" applyFill="1" applyBorder="1"/>
    <xf numFmtId="165" fontId="19" fillId="0" borderId="7" xfId="1" applyNumberFormat="1" applyFont="1" applyBorder="1"/>
    <xf numFmtId="165" fontId="3" fillId="9" borderId="0" xfId="1" applyNumberFormat="1" applyFont="1" applyFill="1" applyBorder="1"/>
    <xf numFmtId="165" fontId="3" fillId="0" borderId="0" xfId="1" applyNumberFormat="1" applyFont="1" applyFill="1" applyBorder="1"/>
    <xf numFmtId="10" fontId="7" fillId="0" borderId="0" xfId="3" applyNumberFormat="1" applyFont="1"/>
    <xf numFmtId="10" fontId="3" fillId="0" borderId="0" xfId="3" applyNumberFormat="1" applyFont="1"/>
    <xf numFmtId="165" fontId="18" fillId="0" borderId="0" xfId="1" applyNumberFormat="1" applyFont="1"/>
    <xf numFmtId="165" fontId="16" fillId="0" borderId="0" xfId="1" applyNumberFormat="1" applyFont="1" applyBorder="1"/>
    <xf numFmtId="165" fontId="18" fillId="0" borderId="1" xfId="1" applyNumberFormat="1" applyFont="1" applyBorder="1"/>
    <xf numFmtId="165" fontId="18" fillId="5" borderId="1" xfId="1" applyNumberFormat="1" applyFont="1" applyFill="1" applyBorder="1"/>
    <xf numFmtId="165" fontId="18" fillId="0" borderId="0" xfId="1" applyNumberFormat="1" applyFont="1" applyFill="1" applyBorder="1"/>
    <xf numFmtId="10" fontId="20" fillId="0" borderId="0" xfId="3" applyNumberFormat="1" applyFont="1"/>
    <xf numFmtId="170" fontId="0" fillId="0" borderId="0" xfId="0" applyNumberFormat="1"/>
    <xf numFmtId="0" fontId="18" fillId="0" borderId="3" xfId="0" applyFont="1" applyBorder="1"/>
    <xf numFmtId="165" fontId="18" fillId="0" borderId="3" xfId="1" applyNumberFormat="1" applyFont="1" applyFill="1" applyBorder="1"/>
    <xf numFmtId="0" fontId="0" fillId="0" borderId="3" xfId="0" applyBorder="1"/>
    <xf numFmtId="165" fontId="0" fillId="0" borderId="3" xfId="1" applyNumberFormat="1" applyFont="1" applyBorder="1"/>
    <xf numFmtId="165" fontId="0" fillId="3" borderId="0" xfId="1" applyNumberFormat="1" applyFont="1" applyFill="1"/>
    <xf numFmtId="0" fontId="3" fillId="0" borderId="0" xfId="0" applyFont="1" applyAlignment="1">
      <alignment horizontal="right"/>
    </xf>
    <xf numFmtId="165" fontId="12" fillId="0" borderId="0" xfId="0" applyNumberFormat="1" applyFont="1"/>
    <xf numFmtId="165" fontId="21" fillId="0" borderId="0" xfId="1" applyNumberFormat="1" applyFont="1"/>
    <xf numFmtId="165" fontId="0" fillId="0" borderId="0" xfId="1" applyNumberFormat="1" applyFont="1" applyFill="1" applyBorder="1"/>
    <xf numFmtId="0" fontId="3" fillId="8" borderId="7" xfId="0" applyFont="1" applyFill="1" applyBorder="1"/>
    <xf numFmtId="165" fontId="3" fillId="8" borderId="7" xfId="1" applyNumberFormat="1" applyFont="1" applyFill="1" applyBorder="1"/>
    <xf numFmtId="165" fontId="16" fillId="0" borderId="0" xfId="1" applyNumberFormat="1" applyFont="1" applyFill="1" applyBorder="1"/>
    <xf numFmtId="165" fontId="19" fillId="0" borderId="0" xfId="1" applyNumberFormat="1" applyFont="1" applyBorder="1"/>
    <xf numFmtId="165" fontId="16" fillId="5" borderId="0" xfId="1" applyNumberFormat="1" applyFont="1" applyFill="1"/>
    <xf numFmtId="0" fontId="11" fillId="0" borderId="0" xfId="0" applyFont="1"/>
    <xf numFmtId="165" fontId="0" fillId="0" borderId="2" xfId="1" applyNumberFormat="1" applyFont="1" applyFill="1" applyBorder="1"/>
    <xf numFmtId="171" fontId="0" fillId="0" borderId="0" xfId="3" applyNumberFormat="1" applyFont="1"/>
    <xf numFmtId="0" fontId="18" fillId="11" borderId="0" xfId="0" applyFont="1" applyFill="1"/>
    <xf numFmtId="165" fontId="18" fillId="11" borderId="0" xfId="1" applyNumberFormat="1" applyFont="1" applyFill="1"/>
    <xf numFmtId="10" fontId="16" fillId="0" borderId="0" xfId="0" applyNumberFormat="1" applyFont="1"/>
    <xf numFmtId="0" fontId="2" fillId="12" borderId="0" xfId="1" applyNumberFormat="1" applyFont="1" applyFill="1"/>
    <xf numFmtId="0" fontId="22" fillId="0" borderId="0" xfId="0" applyFont="1"/>
    <xf numFmtId="0" fontId="22" fillId="0" borderId="0" xfId="0" applyFont="1" applyAlignment="1">
      <alignment wrapText="1"/>
    </xf>
    <xf numFmtId="169" fontId="12" fillId="8" borderId="0" xfId="0" applyNumberFormat="1" applyFont="1" applyFill="1" applyAlignment="1">
      <alignment horizontal="right"/>
    </xf>
    <xf numFmtId="1" fontId="0" fillId="0" borderId="0" xfId="1" applyNumberFormat="1" applyFont="1"/>
    <xf numFmtId="0" fontId="0" fillId="0" borderId="1" xfId="0" applyBorder="1"/>
    <xf numFmtId="165" fontId="12" fillId="0" borderId="1" xfId="1" applyNumberFormat="1" applyFont="1" applyFill="1" applyBorder="1"/>
    <xf numFmtId="165" fontId="0" fillId="0" borderId="1" xfId="1" applyNumberFormat="1" applyFont="1" applyFill="1" applyBorder="1"/>
    <xf numFmtId="165" fontId="0" fillId="0" borderId="1" xfId="1" applyNumberFormat="1" applyFont="1" applyBorder="1"/>
    <xf numFmtId="165" fontId="0" fillId="8" borderId="0" xfId="1" applyNumberFormat="1" applyFont="1" applyFill="1"/>
    <xf numFmtId="0" fontId="0" fillId="13" borderId="0" xfId="0" applyFill="1"/>
    <xf numFmtId="0" fontId="23" fillId="10" borderId="0" xfId="0" applyFont="1" applyFill="1"/>
    <xf numFmtId="166" fontId="16" fillId="14" borderId="0" xfId="3" applyNumberFormat="1" applyFont="1" applyFill="1"/>
    <xf numFmtId="165" fontId="1" fillId="0" borderId="0" xfId="1" applyNumberFormat="1" applyFont="1" applyBorder="1"/>
    <xf numFmtId="0" fontId="0" fillId="10" borderId="0" xfId="0" applyFill="1"/>
    <xf numFmtId="165" fontId="12" fillId="14" borderId="0" xfId="1" applyNumberFormat="1" applyFont="1" applyFill="1"/>
    <xf numFmtId="164" fontId="16" fillId="5" borderId="0" xfId="1" applyNumberFormat="1" applyFont="1" applyFill="1"/>
    <xf numFmtId="165" fontId="0" fillId="13" borderId="0" xfId="1" applyNumberFormat="1" applyFont="1" applyFill="1"/>
    <xf numFmtId="172" fontId="0" fillId="5" borderId="0" xfId="1" applyNumberFormat="1" applyFont="1" applyFill="1"/>
    <xf numFmtId="171" fontId="16" fillId="0" borderId="0" xfId="0" applyNumberFormat="1" applyFont="1"/>
    <xf numFmtId="166" fontId="0" fillId="0" borderId="0" xfId="3" applyNumberFormat="1" applyFont="1" applyFill="1"/>
    <xf numFmtId="167" fontId="0" fillId="0" borderId="0" xfId="1" applyNumberFormat="1" applyFont="1" applyFill="1"/>
    <xf numFmtId="166" fontId="0" fillId="0" borderId="0" xfId="3" applyNumberFormat="1" applyFont="1" applyFill="1" applyAlignment="1">
      <alignment horizontal="center"/>
    </xf>
    <xf numFmtId="165" fontId="11" fillId="0" borderId="0" xfId="1" applyNumberFormat="1" applyFont="1" applyFill="1"/>
    <xf numFmtId="44" fontId="0" fillId="0" borderId="0" xfId="4" applyFont="1" applyFill="1"/>
    <xf numFmtId="44" fontId="0" fillId="6" borderId="0" xfId="4" applyFont="1" applyFill="1"/>
    <xf numFmtId="167" fontId="12" fillId="8" borderId="0" xfId="1" applyNumberFormat="1" applyFont="1" applyFill="1"/>
    <xf numFmtId="0" fontId="7" fillId="11" borderId="0" xfId="0" applyFont="1" applyFill="1" applyAlignment="1">
      <alignment horizontal="right"/>
    </xf>
    <xf numFmtId="166" fontId="7" fillId="11" borderId="0" xfId="3" applyNumberFormat="1" applyFont="1" applyFill="1"/>
    <xf numFmtId="165" fontId="2" fillId="3" borderId="0" xfId="1" applyNumberFormat="1" applyFont="1" applyFill="1" applyAlignment="1">
      <alignment horizontal="center"/>
    </xf>
    <xf numFmtId="165" fontId="2" fillId="2" borderId="0" xfId="1" applyNumberFormat="1" applyFont="1" applyFill="1" applyAlignment="1">
      <alignment horizontal="center"/>
    </xf>
    <xf numFmtId="0" fontId="5" fillId="2" borderId="2" xfId="0" applyFont="1" applyFill="1" applyBorder="1" applyAlignment="1">
      <alignment horizontal="center"/>
    </xf>
    <xf numFmtId="0" fontId="15" fillId="6" borderId="5" xfId="0" applyFont="1" applyFill="1" applyBorder="1" applyAlignment="1">
      <alignment horizontal="center" vertical="center"/>
    </xf>
    <xf numFmtId="0" fontId="15" fillId="6" borderId="3" xfId="0" applyFont="1" applyFill="1" applyBorder="1" applyAlignment="1">
      <alignment horizontal="center" vertical="center"/>
    </xf>
    <xf numFmtId="0" fontId="15" fillId="6" borderId="6" xfId="0" applyFont="1" applyFill="1" applyBorder="1" applyAlignment="1">
      <alignment horizontal="center" vertical="center"/>
    </xf>
    <xf numFmtId="0" fontId="5" fillId="2" borderId="0" xfId="0" applyFont="1" applyFill="1" applyAlignment="1">
      <alignment horizontal="center"/>
    </xf>
  </cellXfs>
  <cellStyles count="5">
    <cellStyle name="Comma" xfId="1" builtinId="3"/>
    <cellStyle name="Currency" xfId="4" builtinId="4"/>
    <cellStyle name="Hyperlink" xfId="2" builtinId="8"/>
    <cellStyle name="Normal" xfId="0" builtinId="0"/>
    <cellStyle name="Percent" xfId="3" builtinId="5"/>
  </cellStyles>
  <dxfs count="355">
    <dxf>
      <numFmt numFmtId="19" formatCode="m/d/yyyy"/>
    </dxf>
    <dxf>
      <numFmt numFmtId="19" formatCode="m/d/yyyy"/>
    </dxf>
    <dxf>
      <numFmt numFmtId="19" formatCode="m/d/yyyy"/>
    </dxf>
    <dxf>
      <numFmt numFmtId="19" formatCode="m/d/yyyy"/>
    </dxf>
    <dxf>
      <numFmt numFmtId="19" formatCode="m/d/yyyy"/>
    </dxf>
    <dxf>
      <numFmt numFmtId="19" formatCode="m/d/yyyy"/>
    </dxf>
    <dxf>
      <fill>
        <patternFill>
          <bgColor theme="9" tint="0.79998168889431442"/>
        </patternFill>
      </fill>
    </dxf>
    <dxf>
      <fill>
        <patternFill>
          <bgColor rgb="FFFFCCCC"/>
        </patternFill>
      </fill>
    </dxf>
    <dxf>
      <font>
        <color rgb="FF9C0006"/>
      </font>
      <fill>
        <patternFill>
          <bgColor rgb="FFFFC7CE"/>
        </patternFill>
      </fill>
    </dxf>
    <dxf>
      <font>
        <color rgb="FF006100"/>
      </font>
      <fill>
        <patternFill>
          <bgColor rgb="FFC6EFCE"/>
        </patternFill>
      </fill>
    </dxf>
    <dxf>
      <numFmt numFmtId="0" formatCode="General"/>
    </dxf>
    <dxf>
      <numFmt numFmtId="171" formatCode="0.000%"/>
    </dxf>
    <dxf>
      <numFmt numFmtId="171" formatCode="0.000%"/>
    </dxf>
    <dxf>
      <numFmt numFmtId="171" formatCode="0.000%"/>
    </dxf>
    <dxf>
      <numFmt numFmtId="171" formatCode="0.000%"/>
    </dxf>
    <dxf>
      <numFmt numFmtId="171" formatCode="0.000%"/>
    </dxf>
    <dxf>
      <numFmt numFmtId="19" formatCode="m/d/yyyy"/>
    </dxf>
    <dxf>
      <numFmt numFmtId="19" formatCode="m/d/yyyy"/>
    </dxf>
    <dxf>
      <numFmt numFmtId="19" formatCode="m/d/yyyy"/>
    </dxf>
    <dxf>
      <numFmt numFmtId="27" formatCode="m/d/yyyy\ h:mm"/>
    </dxf>
    <dxf>
      <numFmt numFmtId="27" formatCode="m/d/yyyy\ h:mm"/>
    </dxf>
    <dxf>
      <numFmt numFmtId="27" formatCode="m/d/yyyy\ h:mm"/>
    </dxf>
    <dxf>
      <numFmt numFmtId="165" formatCode="_(* #,##0_);_(* \(#,##0\);_(* &quot;-&quot;??_);_(@_)"/>
    </dxf>
    <dxf>
      <numFmt numFmtId="27" formatCode="m/d/yyyy\ h:mm"/>
    </dxf>
    <dxf>
      <numFmt numFmtId="166" formatCode="0.0%"/>
    </dxf>
    <dxf>
      <numFmt numFmtId="166" formatCode="0.0%"/>
    </dxf>
    <dxf>
      <numFmt numFmtId="165" formatCode="_(* #,##0_);_(* \(#,##0\);_(* &quot;-&quot;??_);_(@_)"/>
    </dxf>
    <dxf>
      <numFmt numFmtId="166" formatCode="0.0%"/>
    </dxf>
    <dxf>
      <numFmt numFmtId="166" formatCode="0.0%"/>
    </dxf>
    <dxf>
      <numFmt numFmtId="166" formatCode="0.0%"/>
    </dxf>
    <dxf>
      <numFmt numFmtId="166" formatCode="0.0%"/>
    </dxf>
    <dxf>
      <numFmt numFmtId="166" formatCode="0.0%"/>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9" formatCode="m/d/yyyy"/>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35" formatCode="_(* #,##0.00_);_(* \(#,##0.00\);_(* &quot;-&quot;??_);_(@_)"/>
    </dxf>
    <dxf>
      <numFmt numFmtId="165" formatCode="_(* #,##0_);_(* \(#,##0\);_(* &quot;-&quot;??_);_(@_)"/>
    </dxf>
    <dxf>
      <numFmt numFmtId="165" formatCode="_(* #,##0_);_(* \(#,##0\);_(* &quot;-&quot;??_);_(@_)"/>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colors>
    <mruColors>
      <color rgb="FFFFCCCC"/>
      <color rgb="FF009999"/>
      <color rgb="FF0C78C2"/>
      <color rgb="FF0030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1219200</xdr:colOff>
      <xdr:row>1</xdr:row>
      <xdr:rowOff>158750</xdr:rowOff>
    </xdr:from>
    <xdr:to>
      <xdr:col>5</xdr:col>
      <xdr:colOff>171450</xdr:colOff>
      <xdr:row>9</xdr:row>
      <xdr:rowOff>101600</xdr:rowOff>
    </xdr:to>
    <xdr:sp macro="" textlink="">
      <xdr:nvSpPr>
        <xdr:cNvPr id="2" name="Rectangle: Folded Corner 1">
          <a:extLst>
            <a:ext uri="{FF2B5EF4-FFF2-40B4-BE49-F238E27FC236}">
              <a16:creationId xmlns:a16="http://schemas.microsoft.com/office/drawing/2014/main" id="{A3DE1741-C796-B8E7-ED82-BA158D21AC55}"/>
            </a:ext>
          </a:extLst>
        </xdr:cNvPr>
        <xdr:cNvSpPr/>
      </xdr:nvSpPr>
      <xdr:spPr>
        <a:xfrm>
          <a:off x="2609850" y="342900"/>
          <a:ext cx="1689100" cy="1416050"/>
        </a:xfrm>
        <a:prstGeom prst="foldedCorner">
          <a:avLst>
            <a:gd name="adj" fmla="val 11734"/>
          </a:avLst>
        </a:prstGeom>
        <a:solidFill>
          <a:schemeClr val="accent4">
            <a:lumMod val="40000"/>
            <a:lumOff val="60000"/>
          </a:schemeClr>
        </a:solidFill>
        <a:ln>
          <a:solidFill>
            <a:schemeClr val="bg2">
              <a:lumMod val="9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Treasuries are already reflected</a:t>
          </a:r>
          <a:r>
            <a:rPr lang="en-US" sz="1100" baseline="0">
              <a:solidFill>
                <a:sysClr val="windowText" lastClr="000000"/>
              </a:solidFill>
            </a:rPr>
            <a:t> as annual rate returns, so no need to normalize for yearly return.</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0</xdr:row>
      <xdr:rowOff>0</xdr:rowOff>
    </xdr:from>
    <xdr:to>
      <xdr:col>9</xdr:col>
      <xdr:colOff>30124</xdr:colOff>
      <xdr:row>18</xdr:row>
      <xdr:rowOff>90374</xdr:rowOff>
    </xdr:to>
    <xdr:pic>
      <xdr:nvPicPr>
        <xdr:cNvPr id="2" name="Picture 1">
          <a:extLst>
            <a:ext uri="{FF2B5EF4-FFF2-40B4-BE49-F238E27FC236}">
              <a16:creationId xmlns:a16="http://schemas.microsoft.com/office/drawing/2014/main" id="{2EEB15A9-D2ED-48E1-97B1-A6613D8FA49C}"/>
            </a:ext>
          </a:extLst>
        </xdr:cNvPr>
        <xdr:cNvPicPr>
          <a:picLocks noChangeAspect="1"/>
        </xdr:cNvPicPr>
      </xdr:nvPicPr>
      <xdr:blipFill>
        <a:blip xmlns:r="http://schemas.openxmlformats.org/officeDocument/2006/relationships" r:embed="rId1"/>
        <a:stretch>
          <a:fillRect/>
        </a:stretch>
      </xdr:blipFill>
      <xdr:spPr>
        <a:xfrm>
          <a:off x="50800" y="0"/>
          <a:ext cx="5465724" cy="3405074"/>
        </a:xfrm>
        <a:prstGeom prst="rect">
          <a:avLst/>
        </a:prstGeom>
      </xdr:spPr>
    </xdr:pic>
    <xdr:clientData/>
  </xdr:twoCellAnchor>
  <xdr:twoCellAnchor editAs="oneCell">
    <xdr:from>
      <xdr:col>1</xdr:col>
      <xdr:colOff>44450</xdr:colOff>
      <xdr:row>5</xdr:row>
      <xdr:rowOff>101600</xdr:rowOff>
    </xdr:from>
    <xdr:to>
      <xdr:col>13</xdr:col>
      <xdr:colOff>338112</xdr:colOff>
      <xdr:row>16</xdr:row>
      <xdr:rowOff>125272</xdr:rowOff>
    </xdr:to>
    <xdr:pic>
      <xdr:nvPicPr>
        <xdr:cNvPr id="4" name="Picture 3">
          <a:extLst>
            <a:ext uri="{FF2B5EF4-FFF2-40B4-BE49-F238E27FC236}">
              <a16:creationId xmlns:a16="http://schemas.microsoft.com/office/drawing/2014/main" id="{641EFEF9-CF5C-4AAF-8B9B-EE9D0EBF693D}"/>
            </a:ext>
          </a:extLst>
        </xdr:cNvPr>
        <xdr:cNvPicPr>
          <a:picLocks noChangeAspect="1"/>
        </xdr:cNvPicPr>
      </xdr:nvPicPr>
      <xdr:blipFill>
        <a:blip xmlns:r="http://schemas.openxmlformats.org/officeDocument/2006/relationships" r:embed="rId2"/>
        <a:stretch>
          <a:fillRect/>
        </a:stretch>
      </xdr:blipFill>
      <xdr:spPr>
        <a:xfrm>
          <a:off x="654050" y="1022350"/>
          <a:ext cx="7608862" cy="2049322"/>
        </a:xfrm>
        <a:prstGeom prst="rect">
          <a:avLst/>
        </a:prstGeom>
      </xdr:spPr>
    </xdr:pic>
    <xdr:clientData/>
  </xdr:twoCellAnchor>
  <xdr:twoCellAnchor editAs="oneCell">
    <xdr:from>
      <xdr:col>3</xdr:col>
      <xdr:colOff>463550</xdr:colOff>
      <xdr:row>11</xdr:row>
      <xdr:rowOff>41479</xdr:rowOff>
    </xdr:from>
    <xdr:to>
      <xdr:col>13</xdr:col>
      <xdr:colOff>141238</xdr:colOff>
      <xdr:row>23</xdr:row>
      <xdr:rowOff>15183</xdr:rowOff>
    </xdr:to>
    <xdr:pic>
      <xdr:nvPicPr>
        <xdr:cNvPr id="3" name="Picture 2">
          <a:extLst>
            <a:ext uri="{FF2B5EF4-FFF2-40B4-BE49-F238E27FC236}">
              <a16:creationId xmlns:a16="http://schemas.microsoft.com/office/drawing/2014/main" id="{469883BB-79EF-4DE2-84AA-C2A5F6A9631F}"/>
            </a:ext>
          </a:extLst>
        </xdr:cNvPr>
        <xdr:cNvPicPr>
          <a:picLocks noChangeAspect="1"/>
        </xdr:cNvPicPr>
      </xdr:nvPicPr>
      <xdr:blipFill>
        <a:blip xmlns:r="http://schemas.openxmlformats.org/officeDocument/2006/relationships" r:embed="rId3"/>
        <a:stretch>
          <a:fillRect/>
        </a:stretch>
      </xdr:blipFill>
      <xdr:spPr>
        <a:xfrm>
          <a:off x="2292350" y="2067129"/>
          <a:ext cx="5773688" cy="2183504"/>
        </a:xfrm>
        <a:prstGeom prst="rect">
          <a:avLst/>
        </a:prstGeom>
      </xdr:spPr>
    </xdr:pic>
    <xdr:clientData/>
  </xdr:twoCellAnchor>
  <xdr:twoCellAnchor editAs="oneCell">
    <xdr:from>
      <xdr:col>5</xdr:col>
      <xdr:colOff>82550</xdr:colOff>
      <xdr:row>13</xdr:row>
      <xdr:rowOff>76200</xdr:rowOff>
    </xdr:from>
    <xdr:to>
      <xdr:col>16</xdr:col>
      <xdr:colOff>359367</xdr:colOff>
      <xdr:row>29</xdr:row>
      <xdr:rowOff>43762</xdr:rowOff>
    </xdr:to>
    <xdr:pic>
      <xdr:nvPicPr>
        <xdr:cNvPr id="5" name="Picture 4">
          <a:extLst>
            <a:ext uri="{FF2B5EF4-FFF2-40B4-BE49-F238E27FC236}">
              <a16:creationId xmlns:a16="http://schemas.microsoft.com/office/drawing/2014/main" id="{E4B35652-40FF-4D47-A602-490C8525FA28}"/>
            </a:ext>
          </a:extLst>
        </xdr:cNvPr>
        <xdr:cNvPicPr>
          <a:picLocks noChangeAspect="1"/>
        </xdr:cNvPicPr>
      </xdr:nvPicPr>
      <xdr:blipFill>
        <a:blip xmlns:r="http://schemas.openxmlformats.org/officeDocument/2006/relationships" r:embed="rId4"/>
        <a:stretch>
          <a:fillRect/>
        </a:stretch>
      </xdr:blipFill>
      <xdr:spPr>
        <a:xfrm>
          <a:off x="3130550" y="2470150"/>
          <a:ext cx="6982417" cy="2913962"/>
        </a:xfrm>
        <a:prstGeom prst="rect">
          <a:avLst/>
        </a:prstGeom>
      </xdr:spPr>
    </xdr:pic>
    <xdr:clientData/>
  </xdr:twoCellAnchor>
  <xdr:twoCellAnchor editAs="oneCell">
    <xdr:from>
      <xdr:col>6</xdr:col>
      <xdr:colOff>368300</xdr:colOff>
      <xdr:row>15</xdr:row>
      <xdr:rowOff>142185</xdr:rowOff>
    </xdr:from>
    <xdr:to>
      <xdr:col>18</xdr:col>
      <xdr:colOff>360286</xdr:colOff>
      <xdr:row>29</xdr:row>
      <xdr:rowOff>67763</xdr:rowOff>
    </xdr:to>
    <xdr:pic>
      <xdr:nvPicPr>
        <xdr:cNvPr id="6" name="Picture 5">
          <a:extLst>
            <a:ext uri="{FF2B5EF4-FFF2-40B4-BE49-F238E27FC236}">
              <a16:creationId xmlns:a16="http://schemas.microsoft.com/office/drawing/2014/main" id="{D5451A44-6DF1-4108-9303-E48CEE7A91A4}"/>
            </a:ext>
          </a:extLst>
        </xdr:cNvPr>
        <xdr:cNvPicPr>
          <a:picLocks noChangeAspect="1"/>
        </xdr:cNvPicPr>
      </xdr:nvPicPr>
      <xdr:blipFill>
        <a:blip xmlns:r="http://schemas.openxmlformats.org/officeDocument/2006/relationships" r:embed="rId5"/>
        <a:stretch>
          <a:fillRect/>
        </a:stretch>
      </xdr:blipFill>
      <xdr:spPr>
        <a:xfrm>
          <a:off x="4025900" y="2904435"/>
          <a:ext cx="7307186" cy="2503678"/>
        </a:xfrm>
        <a:prstGeom prst="rect">
          <a:avLst/>
        </a:prstGeom>
      </xdr:spPr>
    </xdr:pic>
    <xdr:clientData/>
  </xdr:twoCellAnchor>
  <xdr:twoCellAnchor editAs="oneCell">
    <xdr:from>
      <xdr:col>7</xdr:col>
      <xdr:colOff>431800</xdr:colOff>
      <xdr:row>19</xdr:row>
      <xdr:rowOff>19050</xdr:rowOff>
    </xdr:from>
    <xdr:to>
      <xdr:col>22</xdr:col>
      <xdr:colOff>190606</xdr:colOff>
      <xdr:row>45</xdr:row>
      <xdr:rowOff>149375</xdr:rowOff>
    </xdr:to>
    <xdr:pic>
      <xdr:nvPicPr>
        <xdr:cNvPr id="7" name="Picture 6">
          <a:extLst>
            <a:ext uri="{FF2B5EF4-FFF2-40B4-BE49-F238E27FC236}">
              <a16:creationId xmlns:a16="http://schemas.microsoft.com/office/drawing/2014/main" id="{6DA88D8E-15B4-4EED-8800-74424C9D0DBF}"/>
            </a:ext>
          </a:extLst>
        </xdr:cNvPr>
        <xdr:cNvPicPr>
          <a:picLocks noChangeAspect="1"/>
        </xdr:cNvPicPr>
      </xdr:nvPicPr>
      <xdr:blipFill>
        <a:blip xmlns:r="http://schemas.openxmlformats.org/officeDocument/2006/relationships" r:embed="rId6"/>
        <a:stretch>
          <a:fillRect/>
        </a:stretch>
      </xdr:blipFill>
      <xdr:spPr>
        <a:xfrm>
          <a:off x="4699000" y="3517900"/>
          <a:ext cx="8902806" cy="4918225"/>
        </a:xfrm>
        <a:prstGeom prst="rect">
          <a:avLst/>
        </a:prstGeom>
      </xdr:spPr>
    </xdr:pic>
    <xdr:clientData/>
  </xdr:twoCellAnchor>
  <xdr:twoCellAnchor editAs="oneCell">
    <xdr:from>
      <xdr:col>17</xdr:col>
      <xdr:colOff>0</xdr:colOff>
      <xdr:row>31</xdr:row>
      <xdr:rowOff>162770</xdr:rowOff>
    </xdr:from>
    <xdr:to>
      <xdr:col>29</xdr:col>
      <xdr:colOff>76483</xdr:colOff>
      <xdr:row>38</xdr:row>
      <xdr:rowOff>168953</xdr:rowOff>
    </xdr:to>
    <xdr:pic>
      <xdr:nvPicPr>
        <xdr:cNvPr id="8" name="Picture 7">
          <a:extLst>
            <a:ext uri="{FF2B5EF4-FFF2-40B4-BE49-F238E27FC236}">
              <a16:creationId xmlns:a16="http://schemas.microsoft.com/office/drawing/2014/main" id="{FD9EE252-A504-4C7D-94E8-B3E6CC939367}"/>
            </a:ext>
          </a:extLst>
        </xdr:cNvPr>
        <xdr:cNvPicPr>
          <a:picLocks noChangeAspect="1"/>
        </xdr:cNvPicPr>
      </xdr:nvPicPr>
      <xdr:blipFill>
        <a:blip xmlns:r="http://schemas.openxmlformats.org/officeDocument/2006/relationships" r:embed="rId7"/>
        <a:stretch>
          <a:fillRect/>
        </a:stretch>
      </xdr:blipFill>
      <xdr:spPr>
        <a:xfrm>
          <a:off x="10363200" y="5832050"/>
          <a:ext cx="7391683" cy="1286343"/>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795076A-FB03-45AA-81D0-944F0914ACEB}" autoFormatId="16" applyNumberFormats="0" applyBorderFormats="0" applyFontFormats="0" applyPatternFormats="0" applyAlignmentFormats="0" applyWidthHeightFormats="0">
  <queryTableRefresh nextId="370">
    <queryTableFields count="77">
      <queryTableField id="1" name="id" tableColumnId="1"/>
      <queryTableField id="2" name="asOfDate" tableColumnId="2"/>
      <queryTableField id="75" name="Year" tableColumnId="75"/>
      <queryTableField id="3" name="periodType" tableColumnId="3"/>
      <queryTableField id="4" name="currencyCode" tableColumnId="4"/>
      <queryTableField id="5" name="AverageDilutionEarnings" tableColumnId="5"/>
      <queryTableField id="6" name="BasicAverageShares" tableColumnId="6"/>
      <queryTableField id="7" name="BasicEPS" tableColumnId="7"/>
      <queryTableField id="8" name="CostOfRevenue" tableColumnId="8"/>
      <queryTableField id="9" name="DepreciationAmortizationDepletionIncomeStatement" tableColumnId="9"/>
      <queryTableField id="10" name="DepreciationAndAmortizationInIncomeStatement" tableColumnId="10"/>
      <queryTableField id="11" name="DilutedAverageShares" tableColumnId="11"/>
      <queryTableField id="12" name="DilutedEPS" tableColumnId="12"/>
      <queryTableField id="13" name="DilutedNIAvailtoComStockholders" tableColumnId="13"/>
      <queryTableField id="14" name="EBIT" tableColumnId="14"/>
      <queryTableField id="15" name="EBITDA" tableColumnId="15"/>
      <queryTableField id="16" name="EarningsFromEquityInterestNetOfTax" tableColumnId="16"/>
      <queryTableField id="17" name="GainOnSaleOfBusiness" tableColumnId="17"/>
      <queryTableField id="18" name="GainOnSaleOfSecurity" tableColumnId="18"/>
      <queryTableField id="19" name="GeneralAndAdministrativeExpense" tableColumnId="19"/>
      <queryTableField id="20" name="GrossProfit" tableColumnId="20"/>
      <queryTableField id="21" name="InterestExpense" tableColumnId="21"/>
      <queryTableField id="22" name="InterestExpenseNonOperating" tableColumnId="22"/>
      <queryTableField id="23" name="InterestIncome" tableColumnId="23"/>
      <queryTableField id="24" name="InterestIncomeNonOperating" tableColumnId="24"/>
      <queryTableField id="25" name="MinorityInterests" tableColumnId="25"/>
      <queryTableField id="26" name="NetIncome" tableColumnId="26"/>
      <queryTableField id="27" name="NetIncomeCommonStockholders" tableColumnId="27"/>
      <queryTableField id="28" name="NetIncomeContinuousOperations" tableColumnId="28"/>
      <queryTableField id="29" name="NetIncomeFromContinuingAndDiscontinuedOperation" tableColumnId="29"/>
      <queryTableField id="30" name="NetIncomeFromContinuingOperationNetMinorityInterest" tableColumnId="30"/>
      <queryTableField id="31" name="NetIncomeIncludingNoncontrollingInterests" tableColumnId="31"/>
      <queryTableField id="32" name="NetInterestIncome" tableColumnId="32"/>
      <queryTableField id="33" name="NetNonOperatingInterestIncomeExpense" tableColumnId="33"/>
      <queryTableField id="34" name="NormalizedEBITDA" tableColumnId="34"/>
      <queryTableField id="35" name="NormalizedIncome" tableColumnId="35"/>
      <queryTableField id="36" name="OperatingExpense" tableColumnId="36"/>
      <queryTableField id="37" name="OperatingIncome" tableColumnId="37"/>
      <queryTableField id="38" name="OperatingRevenue" tableColumnId="38"/>
      <queryTableField id="39" name="OtherGandA" tableColumnId="39"/>
      <queryTableField id="40" name="OtherIncomeExpense" tableColumnId="40"/>
      <queryTableField id="41" name="OtherNonOperatingIncomeExpenses" tableColumnId="41"/>
      <queryTableField id="42" name="OtherOperatingExpenses" tableColumnId="42"/>
      <queryTableField id="43" name="OtherunderPreferredStockDividend" tableColumnId="43"/>
      <queryTableField id="44" name="PretaxIncome" tableColumnId="44"/>
      <queryTableField id="45" name="ReconciledCostOfRevenue" tableColumnId="45"/>
      <queryTableField id="46" name="ReconciledDepreciation" tableColumnId="46"/>
      <queryTableField id="47" name="ResearchAndDevelopment" tableColumnId="47"/>
      <queryTableField id="48" name="SellingAndMarketingExpense" tableColumnId="48"/>
      <queryTableField id="49" name="SellingGeneralAndAdministration" tableColumnId="49"/>
      <queryTableField id="50" name="SpecialIncomeCharges" tableColumnId="50"/>
      <queryTableField id="51" name="TaxEffectOfUnusualItems" tableColumnId="51"/>
      <queryTableField id="52" name="TaxProvision" tableColumnId="52"/>
      <queryTableField id="53" name="TaxRateForCalcs" tableColumnId="53"/>
      <queryTableField id="54" name="TotalExpenses" tableColumnId="54"/>
      <queryTableField id="55" name="TotalOperatingIncomeAsReported" tableColumnId="55"/>
      <queryTableField id="56" name="TotalRevenue" tableColumnId="56"/>
      <queryTableField id="57" name="TotalUnusualItems" tableColumnId="57"/>
      <queryTableField id="58" name="TotalUnusualItemsExcludingGoodwill" tableColumnId="58"/>
      <queryTableField id="59" name="WriteOff" tableColumnId="59"/>
      <queryTableField id="60" name="NetIncomeDiscontinuousOperations" tableColumnId="60"/>
      <queryTableField id="367" name="DepreciationIncomeStatement" tableColumnId="76"/>
      <queryTableField id="61" name="EarningsFromEquityInterest" tableColumnId="61"/>
      <queryTableField id="62" name="ImpairmentOfCapitalAssets" tableColumnId="62"/>
      <queryTableField id="63" name="PreferredStockDividends" tableColumnId="63"/>
      <queryTableField id="94" name="asOfYear" tableColumnId="79"/>
      <queryTableField id="64" name="Amortization" tableColumnId="64"/>
      <queryTableField id="65" name="AmortizationOfIntangiblesIncomeStatement" tableColumnId="65"/>
      <queryTableField id="66" name="OtherSpecialCharges" tableColumnId="66"/>
      <queryTableField id="67" name="OtherTaxes" tableColumnId="67"/>
      <queryTableField id="68" name="RestructuringAndMergernAcquisition" tableColumnId="68"/>
      <queryTableField id="69" name="GainOnSaleOfPPE" tableColumnId="69"/>
      <queryTableField id="70" name="ProvisionForDoubtfulAccounts" tableColumnId="70"/>
      <queryTableField id="71" name="SalariesAndWages" tableColumnId="71"/>
      <queryTableField id="72" name="RentAndLandingFees" tableColumnId="72"/>
      <queryTableField id="73" name="RentExpenseSupplemental" tableColumnId="73"/>
      <queryTableField id="74" name="Ticker" tableColumnId="7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9" connectionId="9" xr16:uid="{9EEBB807-2C9A-4427-B9B7-43AFF5738DF3}" autoFormatId="16" applyNumberFormats="0" applyBorderFormats="0" applyFontFormats="0" applyPatternFormats="0" applyAlignmentFormats="0" applyWidthHeightFormats="0">
  <queryTableRefresh nextId="4">
    <queryTableFields count="3">
      <queryTableField id="1" name="Ticker" tableColumnId="1"/>
      <queryTableField id="2" name="AvgReturn" tableColumnId="2"/>
      <queryTableField id="3" name="Yearly Average Return"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8" connectionId="8" xr16:uid="{59C94676-6847-4D38-B9A4-D52B1B5A3EE6}" autoFormatId="16" applyNumberFormats="0" applyBorderFormats="0" applyFontFormats="0" applyPatternFormats="0" applyAlignmentFormats="0" applyWidthHeightFormats="0">
  <queryTableRefresh nextId="69">
    <queryTableFields count="18">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dividends" tableColumnId="11"/>
      <queryTableField id="12" name="splits" tableColumnId="12"/>
      <queryTableField id="13" name="change_in_price" tableColumnId="13"/>
      <queryTableField id="14" name="percent_return" tableColumnId="14"/>
      <queryTableField id="15" name="open_close_diff" tableColumnId="15"/>
      <queryTableField id="16" name="open_high_diff" tableColumnId="16"/>
      <queryTableField id="17" name="day_of_week" tableColumnId="17"/>
      <queryTableField id="18" name="price_date_year" tableColumnId="1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connectionId="10" xr16:uid="{50366EC1-FCB6-46DD-B6AE-715C670F413A}"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 connectionId="6" xr16:uid="{524516A8-4794-4862-95D7-E04BF323F6E2}" autoFormatId="16" applyNumberFormats="0" applyBorderFormats="0" applyFontFormats="0" applyPatternFormats="0" applyAlignmentFormats="0" applyWidthHeightFormats="0">
  <queryTableRefresh nextId="16">
    <queryTableFields count="15">
      <queryTableField id="1" name="Ticker" tableColumnId="1"/>
      <queryTableField id="2" name="price_date" tableColumnId="2"/>
      <queryTableField id="3" name="open" tableColumnId="3"/>
      <queryTableField id="4" name="high" tableColumnId="4"/>
      <queryTableField id="5" name="low" tableColumnId="5"/>
      <queryTableField id="6" name="close" tableColumnId="6"/>
      <queryTableField id="7" name="volume" tableColumnId="7"/>
      <queryTableField id="8" name="adjclose" tableColumnId="8"/>
      <queryTableField id="9" name="id" tableColumnId="9"/>
      <queryTableField id="10" name="Pull_Date" tableColumnId="10"/>
      <queryTableField id="11" name="percent_return" tableColumnId="11"/>
      <queryTableField id="12" name="open_close_diff" tableColumnId="12"/>
      <queryTableField id="13" name="open_high_diff" tableColumnId="13"/>
      <queryTableField id="14" name="day_of_week" tableColumnId="14"/>
      <queryTableField id="15" name="price_date_yea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D52B8CD5-81BA-452A-8DEC-A243B48C8F49}" autoFormatId="16" applyNumberFormats="0" applyBorderFormats="0" applyFontFormats="0" applyPatternFormats="0" applyAlignmentFormats="0" applyWidthHeightFormats="0">
  <queryTableRefresh nextId="561">
    <queryTableFields count="134">
      <queryTableField id="1" name="id" tableColumnId="1"/>
      <queryTableField id="2" name="asOfDate" tableColumnId="2"/>
      <queryTableField id="128" name="Year" tableColumnId="128"/>
      <queryTableField id="3" name="periodType" tableColumnId="3"/>
      <queryTableField id="4" name="currencyCode" tableColumnId="4"/>
      <queryTableField id="5" name="AccountsPayable" tableColumnId="5"/>
      <queryTableField id="6" name="AccountsReceivable" tableColumnId="6"/>
      <queryTableField id="7" name="AccumulatedDepreciation" tableColumnId="7"/>
      <queryTableField id="8" name="AdditionalPaidInCapital" tableColumnId="8"/>
      <queryTableField id="9" name="AllowanceForDoubtfulAccountsReceivable" tableColumnId="9"/>
      <queryTableField id="10" name="AssetsHeldForSaleCurrent" tableColumnId="10"/>
      <queryTableField id="11" name="AvailableForSaleSecurities" tableColumnId="11"/>
      <queryTableField id="12" name="BuildingsAndImprovements" tableColumnId="12"/>
      <queryTableField id="13" name="CapitalLeaseObligations" tableColumnId="13"/>
      <queryTableField id="14" name="CapitalStock" tableColumnId="14"/>
      <queryTableField id="15" name="CashAndCashEquivalents" tableColumnId="15"/>
      <queryTableField id="16" name="CashCashEquivalentsAndShortTermInvestments" tableColumnId="16"/>
      <queryTableField id="17" name="CommonStock" tableColumnId="17"/>
      <queryTableField id="18" name="CommonStockEquity" tableColumnId="18"/>
      <queryTableField id="19" name="ConstructionInProgress" tableColumnId="19"/>
      <queryTableField id="20" name="CurrentAccruedExpenses" tableColumnId="20"/>
      <queryTableField id="21" name="CurrentAssets" tableColumnId="21"/>
      <queryTableField id="22" name="CurrentCapitalLeaseObligation" tableColumnId="22"/>
      <queryTableField id="23" name="CurrentDebt" tableColumnId="23"/>
      <queryTableField id="24" name="CurrentDebtAndCapitalLeaseObligation" tableColumnId="24"/>
      <queryTableField id="25" name="CurrentLiabilities" tableColumnId="25"/>
      <queryTableField id="26" name="CurrentProvisions" tableColumnId="26"/>
      <queryTableField id="27" name="GainsLossesNotAffectingRetainedEarnings" tableColumnId="27"/>
      <queryTableField id="28" name="Goodwill" tableColumnId="28"/>
      <queryTableField id="29" name="GoodwillAndOtherIntangibleAssets" tableColumnId="29"/>
      <queryTableField id="30" name="GrossAccountsReceivable" tableColumnId="30"/>
      <queryTableField id="31" name="GrossPPE" tableColumnId="31"/>
      <queryTableField id="32" name="HeldToMaturitySecurities" tableColumnId="32"/>
      <queryTableField id="33" name="IncomeTaxPayable" tableColumnId="33"/>
      <queryTableField id="34" name="InterestPayable" tableColumnId="34"/>
      <queryTableField id="35" name="InvestedCapital" tableColumnId="35"/>
      <queryTableField id="36" name="InvestmentinFinancialAssets" tableColumnId="36"/>
      <queryTableField id="37" name="InvestmentsAndAdvances" tableColumnId="37"/>
      <queryTableField id="38" name="LandAndImprovements" tableColumnId="38"/>
      <queryTableField id="39" name="Leases" tableColumnId="39"/>
      <queryTableField id="40" name="LongTermCapitalLeaseObligation" tableColumnId="40"/>
      <queryTableField id="41" name="LongTermDebt" tableColumnId="41"/>
      <queryTableField id="42" name="LongTermDebtAndCapitalLeaseObligation" tableColumnId="42"/>
      <queryTableField id="43" name="LongTermEquityInvestment" tableColumnId="43"/>
      <queryTableField id="44" name="LongTermProvisions" tableColumnId="44"/>
      <queryTableField id="45" name="MachineryFurnitureEquipment" tableColumnId="45"/>
      <queryTableField id="46" name="MinorityInterest" tableColumnId="46"/>
      <queryTableField id="47" name="NetDebt" tableColumnId="47"/>
      <queryTableField id="48" name="NetPPE" tableColumnId="48"/>
      <queryTableField id="49" name="NetTangibleAssets" tableColumnId="49"/>
      <queryTableField id="50" name="NonCurrentDeferredLiabilities" tableColumnId="50"/>
      <queryTableField id="51" name="NonCurrentDeferredTaxesLiabilities" tableColumnId="51"/>
      <queryTableField id="52" name="NonCurrentNoteReceivables" tableColumnId="52"/>
      <queryTableField id="53" name="OrdinarySharesNumber" tableColumnId="53"/>
      <queryTableField id="54" name="OtherCurrentAssets" tableColumnId="54"/>
      <queryTableField id="55" name="OtherCurrentBorrowings" tableColumnId="55"/>
      <queryTableField id="56" name="OtherCurrentLiabilities" tableColumnId="56"/>
      <queryTableField id="57" name="OtherEquityAdjustments" tableColumnId="57"/>
      <queryTableField id="58" name="OtherIntangibleAssets" tableColumnId="58"/>
      <queryTableField id="59" name="OtherNonCurrentAssets" tableColumnId="59"/>
      <queryTableField id="60" name="OtherNonCurrentLiabilities" tableColumnId="60"/>
      <queryTableField id="61" name="OtherPayable" tableColumnId="61"/>
      <queryTableField id="62" name="OtherProperties" tableColumnId="62"/>
      <queryTableField id="63" name="OtherReceivables" tableColumnId="63"/>
      <queryTableField id="64" name="OtherShortTermInvestments" tableColumnId="64"/>
      <queryTableField id="65" name="Payables" tableColumnId="65"/>
      <queryTableField id="66" name="PayablesAndAccruedExpenses" tableColumnId="66"/>
      <queryTableField id="67" name="PensionandOtherPostRetirementBenefitPlansCurrent" tableColumnId="67"/>
      <queryTableField id="68" name="PreferredSecuritiesOutsideStockEquity" tableColumnId="68"/>
      <queryTableField id="69" name="PrepaidAssets" tableColumnId="69"/>
      <queryTableField id="70" name="Properties" tableColumnId="70"/>
      <queryTableField id="71" name="Receivables" tableColumnId="71"/>
      <queryTableField id="72" name="RestrictedCash" tableColumnId="72"/>
      <queryTableField id="73" name="RetainedEarnings" tableColumnId="73"/>
      <queryTableField id="74" name="ShareIssued" tableColumnId="74"/>
      <queryTableField id="75" name="StockholdersEquity" tableColumnId="75"/>
      <queryTableField id="76" name="TangibleBookValue" tableColumnId="76"/>
      <queryTableField id="77" name="TotalAssets" tableColumnId="77"/>
      <queryTableField id="78" name="TotalCapitalization" tableColumnId="78"/>
      <queryTableField id="79" name="TotalDebt" tableColumnId="79"/>
      <queryTableField id="80" name="TotalEquityGrossMinorityInterest" tableColumnId="80"/>
      <queryTableField id="81" name="TotalLiabilitiesNetMinorityInterest" tableColumnId="81"/>
      <queryTableField id="82" name="TotalNonCurrentAssets" tableColumnId="82"/>
      <queryTableField id="83" name="TotalNonCurrentLiabilitiesNetMinorityInterest" tableColumnId="83"/>
      <queryTableField id="84" name="TotalTaxPayable" tableColumnId="84"/>
      <queryTableField id="85" name="TradeandOtherPayablesNonCurrent" tableColumnId="85"/>
      <queryTableField id="86" name="WorkingCapital" tableColumnId="86"/>
      <queryTableField id="87" name="CurrentDeferredLiabilities" tableColumnId="87"/>
      <queryTableField id="88" name="CurrentDeferredRevenue" tableColumnId="88"/>
      <queryTableField id="89" name="EmployeeBenefits" tableColumnId="89"/>
      <queryTableField id="90" name="FinishedGoods" tableColumnId="90"/>
      <queryTableField id="91" name="Inventory" tableColumnId="91"/>
      <queryTableField id="92" name="NonCurrentDeferredAssets" tableColumnId="92"/>
      <queryTableField id="93" name="NonCurrentDeferredTaxesAssets" tableColumnId="93"/>
      <queryTableField id="94" name="NonCurrentPensionAndOtherPostretirementBenefitPlans" tableColumnId="94"/>
      <queryTableField id="536" name="LoansReceivable" tableColumnId="129"/>
      <queryTableField id="95" name="RawMaterials" tableColumnId="95"/>
      <queryTableField id="96" name="WorkInProcess" tableColumnId="96"/>
      <queryTableField id="97" name="CashEquivalents" tableColumnId="97"/>
      <queryTableField id="98" name="CashFinancial" tableColumnId="98"/>
      <queryTableField id="537" name="TradingSecurities" tableColumnId="130"/>
      <queryTableField id="99" name="HedgingAssetsCurrent" tableColumnId="99"/>
      <queryTableField id="100" name="NonCurrentDeferredRevenue" tableColumnId="100"/>
      <queryTableField id="101" name="CommercialPaper" tableColumnId="101"/>
      <queryTableField id="538" name="AccruedInterestReceivable" tableColumnId="131"/>
      <queryTableField id="524" name="DuefromRelatedPartiesCurrent" tableColumnId="137"/>
      <queryTableField id="102" name="CurrentNotesPayable" tableColumnId="102"/>
      <queryTableField id="103" name="DividendsPayable" tableColumnId="103"/>
      <queryTableField id="104" name="ForeignCurrencyTranslationAdjustments" tableColumnId="104"/>
      <queryTableField id="539" name="ReceivablesAdjustmentsAllowances" tableColumnId="132"/>
      <queryTableField id="105" name="InvestmentsinAssociatesatCost" tableColumnId="105"/>
      <queryTableField id="218" name="asOfYear" tableColumnId="144"/>
      <queryTableField id="106" name="LineOfCredit" tableColumnId="106"/>
      <queryTableField id="107" name="MinimumPensionLiabilities" tableColumnId="107"/>
      <queryTableField id="108" name="PreferredSharesNumber" tableColumnId="108"/>
      <queryTableField id="109" name="PreferredStock" tableColumnId="109"/>
      <queryTableField id="110" name="TreasurySharesNumber" tableColumnId="110"/>
      <queryTableField id="111" name="TreasuryStock" tableColumnId="111"/>
      <queryTableField id="112" name="UnrealizedGainLoss" tableColumnId="112"/>
      <queryTableField id="113" name="DefinedPensionBenefit" tableColumnId="113"/>
      <queryTableField id="114" name="NonCurrentAccountsReceivable" tableColumnId="114"/>
      <queryTableField id="115" name="OtherInventories" tableColumnId="115"/>
      <queryTableField id="116" name="OtherInvestments" tableColumnId="116"/>
      <queryTableField id="117" name="TaxesReceivable" tableColumnId="117"/>
      <queryTableField id="118" name="CurrentDeferredAssets" tableColumnId="118"/>
      <queryTableField id="119" name="DerivativeProductLiabilities" tableColumnId="119"/>
      <queryTableField id="120" name="FinancialAssets" tableColumnId="120"/>
      <queryTableField id="121" name="InvestmentsInOtherVenturesUnderEquityMethod" tableColumnId="121"/>
      <queryTableField id="122" name="LiabilitiesHeldforSaleNonCurrent" tableColumnId="122"/>
      <queryTableField id="123" name="NonCurrentAccruedExpenses" tableColumnId="123"/>
      <queryTableField id="124" name="NonCurrentPrepaidAssets" tableColumnId="124"/>
      <queryTableField id="125" name="OtherEquityInterest" tableColumnId="125"/>
      <queryTableField id="126" name="InventoriesAdjustmentsAllowances" tableColumnId="126"/>
      <queryTableField id="127" name="Ticker" tableColumnId="12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D7FE9735-03D2-41BF-851B-EF337C0502DB}" autoFormatId="16" applyNumberFormats="0" applyBorderFormats="0" applyFontFormats="0" applyPatternFormats="0" applyAlignmentFormats="0" applyWidthHeightFormats="0">
  <queryTableRefresh nextId="778">
    <queryTableFields count="99">
      <queryTableField id="1" name="id" tableColumnId="1"/>
      <queryTableField id="2" name="asOfDate" tableColumnId="2"/>
      <queryTableField id="96" name="Year" tableColumnId="96"/>
      <queryTableField id="3" name="periodType" tableColumnId="3"/>
      <queryTableField id="4" name="currencyCode" tableColumnId="4"/>
      <queryTableField id="5" name="AssetImpairmentCharge" tableColumnId="5"/>
      <queryTableField id="6" name="BeginningCashPosition" tableColumnId="6"/>
      <queryTableField id="7" name="CapitalExpenditure" tableColumnId="7"/>
      <queryTableField id="8" name="CashFlowFromContinuingFinancingActivities" tableColumnId="8"/>
      <queryTableField id="9" name="CashFlowFromContinuingInvestingActivities" tableColumnId="9"/>
      <queryTableField id="10" name="CashFlowFromContinuingOperatingActivities" tableColumnId="10"/>
      <queryTableField id="11" name="ChangeInAccountPayable" tableColumnId="11"/>
      <queryTableField id="12" name="ChangeInAccruedExpense" tableColumnId="12"/>
      <queryTableField id="13" name="ChangeInCashSupplementalAsReported" tableColumnId="13"/>
      <queryTableField id="14" name="ChangeInOtherCurrentAssets" tableColumnId="14"/>
      <queryTableField id="15" name="ChangeInOtherCurrentLiabilities" tableColumnId="15"/>
      <queryTableField id="16" name="ChangeInOtherWorkingCapital" tableColumnId="16"/>
      <queryTableField id="17" name="ChangeInPayable" tableColumnId="17"/>
      <queryTableField id="18" name="ChangeInPayablesAndAccruedExpense" tableColumnId="18"/>
      <queryTableField id="19" name="ChangeInPrepaidAssets" tableColumnId="19"/>
      <queryTableField id="20" name="ChangeInReceivables" tableColumnId="20"/>
      <queryTableField id="21" name="ChangeInWorkingCapital" tableColumnId="21"/>
      <queryTableField id="22" name="ChangesInAccountReceivables" tableColumnId="22"/>
      <queryTableField id="23" name="ChangesInCash" tableColumnId="23"/>
      <queryTableField id="24" name="CommonStockIssuance" tableColumnId="24"/>
      <queryTableField id="25" name="CommonStockPayments" tableColumnId="25"/>
      <queryTableField id="26" name="DeferredIncomeTax" tableColumnId="26"/>
      <queryTableField id="27" name="DeferredTax" tableColumnId="27"/>
      <queryTableField id="28" name="DepreciationAmortizationDepletion" tableColumnId="28"/>
      <queryTableField id="29" name="DepreciationAndAmortization" tableColumnId="29"/>
      <queryTableField id="30" name="EarningsLossesFromEquityInvestments" tableColumnId="30"/>
      <queryTableField id="31" name="EffectOfExchangeRateChanges" tableColumnId="31"/>
      <queryTableField id="32" name="EndCashPosition" tableColumnId="32"/>
      <queryTableField id="33" name="FinancingCashFlow" tableColumnId="33"/>
      <queryTableField id="34" name="FreeCashFlow" tableColumnId="34"/>
      <queryTableField id="35" name="GainLossOnInvestmentSecurities" tableColumnId="35"/>
      <queryTableField id="36" name="GainLossOnSaleOfBusiness" tableColumnId="36"/>
      <queryTableField id="37" name="IncomeTaxPaidSupplementalData" tableColumnId="37"/>
      <queryTableField id="38" name="InterestPaidSupplementalData" tableColumnId="38"/>
      <queryTableField id="39" name="InvestingCashFlow" tableColumnId="39"/>
      <queryTableField id="40" name="IssuanceOfCapitalStock" tableColumnId="40"/>
      <queryTableField id="41" name="IssuanceOfDebt" tableColumnId="41"/>
      <queryTableField id="42" name="LongTermDebtIssuance" tableColumnId="42"/>
      <queryTableField id="43" name="LongTermDebtPayments" tableColumnId="43"/>
      <queryTableField id="44" name="NetBusinessPurchaseAndSale" tableColumnId="44"/>
      <queryTableField id="45" name="NetCommonStockIssuance" tableColumnId="45"/>
      <queryTableField id="46" name="NetForeignCurrencyExchangeGainLoss" tableColumnId="46"/>
      <queryTableField id="47" name="NetIncome" tableColumnId="47"/>
      <queryTableField id="48" name="NetIncomeFromContinuingOperations" tableColumnId="48"/>
      <queryTableField id="49" name="NetInvestmentPurchaseAndSale" tableColumnId="49"/>
      <queryTableField id="50" name="NetIssuancePaymentsOfDebt" tableColumnId="50"/>
      <queryTableField id="51" name="NetLongTermDebtIssuance" tableColumnId="51"/>
      <queryTableField id="52" name="NetOtherFinancingCharges" tableColumnId="52"/>
      <queryTableField id="53" name="NetOtherInvestingChanges" tableColumnId="53"/>
      <queryTableField id="54" name="NetPPEPurchaseAndSale" tableColumnId="54"/>
      <queryTableField id="55" name="NetPreferredStockIssuance" tableColumnId="55"/>
      <queryTableField id="732" name="AmortizationOfSecurities" tableColumnId="107"/>
      <queryTableField id="56" name="OperatingCashFlow" tableColumnId="56"/>
      <queryTableField id="57" name="OperatingGainsLosses" tableColumnId="57"/>
      <queryTableField id="58" name="OtherCashAdjustmentOutsideChangeinCash" tableColumnId="58"/>
      <queryTableField id="59" name="OtherNonCashItems" tableColumnId="59"/>
      <queryTableField id="60" name="PreferredStockIssuance" tableColumnId="60"/>
      <queryTableField id="61" name="ProceedsFromStockOptionExercised" tableColumnId="61"/>
      <queryTableField id="62" name="PurchaseOfBusiness" tableColumnId="62"/>
      <queryTableField id="63" name="PurchaseOfInvestment" tableColumnId="63"/>
      <queryTableField id="64" name="PurchaseOfPPE" tableColumnId="64"/>
      <queryTableField id="65" name="RepaymentOfDebt" tableColumnId="65"/>
      <queryTableField id="66" name="RepurchaseOfCapitalStock" tableColumnId="66"/>
      <queryTableField id="67" name="SaleOfBusiness" tableColumnId="67"/>
      <queryTableField id="68" name="SaleOfInvestment" tableColumnId="68"/>
      <queryTableField id="69" name="SaleOfPPE" tableColumnId="69"/>
      <queryTableField id="70" name="StockBasedCompensation" tableColumnId="70"/>
      <queryTableField id="71" name="UnrealizedGainLossOnInvestmentSecurities" tableColumnId="71"/>
      <queryTableField id="72" name="AmortizationCashFlow" tableColumnId="72"/>
      <queryTableField id="73" name="AmortizationOfIntangibles" tableColumnId="73"/>
      <queryTableField id="74" name="CapitalExpenditureReported" tableColumnId="74"/>
      <queryTableField id="75" name="CashDividendsPaid" tableColumnId="75"/>
      <queryTableField id="76" name="ChangeInIncomeTaxPayable" tableColumnId="76"/>
      <queryTableField id="77" name="ChangeInInventory" tableColumnId="77"/>
      <queryTableField id="78" name="ChangeInTaxPayable" tableColumnId="78"/>
      <queryTableField id="79" name="CommonStockDividendPaid" tableColumnId="79"/>
      <queryTableField id="80" name="Depreciation" tableColumnId="80"/>
      <queryTableField id="81" name="GainLossOnSaleOfPPE" tableColumnId="81"/>
      <queryTableField id="82" name="NetShortTermDebtIssuance" tableColumnId="82"/>
      <queryTableField id="83" name="PensionAndEmployeeBenefitExpense" tableColumnId="83"/>
      <queryTableField id="731" name="ChangeInInterestPayable" tableColumnId="106"/>
      <queryTableField id="84" name="ShortTermDebtIssuance" tableColumnId="84"/>
      <queryTableField id="85" name="ShortTermDebtPayments" tableColumnId="85"/>
      <queryTableField id="138" name="asOfYear" tableColumnId="110"/>
      <queryTableField id="86" name="CashFromDiscontinuedFinancingActivities" tableColumnId="86"/>
      <queryTableField id="87" name="CashFromDiscontinuedInvestingActivities" tableColumnId="87"/>
      <queryTableField id="88" name="CashFromDiscontinuedOperatingActivities" tableColumnId="88"/>
      <queryTableField id="89" name="DividendsReceivedCFI" tableColumnId="89"/>
      <queryTableField id="90" name="PreferredStockDividendPaid" tableColumnId="90"/>
      <queryTableField id="91" name="PreferredStockPayments" tableColumnId="91"/>
      <queryTableField id="92" name="ProvisionandWriteOffofAssets" tableColumnId="92"/>
      <queryTableField id="93" name="NetIntangiblesPurchaseAndSale" tableColumnId="93"/>
      <queryTableField id="94" name="PurchaseOfIntangibles" tableColumnId="94"/>
      <queryTableField id="95" name="Ticker" tableColumnId="9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22547689-D4EB-4E95-BEB0-BBA3C4F81E6F}" autoFormatId="16" applyNumberFormats="0" applyBorderFormats="0" applyFontFormats="0" applyPatternFormats="0" applyAlignmentFormats="0" applyWidthHeightFormats="0">
  <queryTableRefresh nextId="50">
    <queryTableFields count="48">
      <queryTableField id="1" name="id" tableColumnId="1"/>
      <queryTableField id="2" name="fullTimeEmployees" tableColumnId="2"/>
      <queryTableField id="3" name="website" tableColumnId="3"/>
      <queryTableField id="4" name="industry" tableColumnId="4"/>
      <queryTableField id="5" name="sector" tableColumnId="5"/>
      <queryTableField id="6" name="longBusinessSummary" tableColumnId="6"/>
      <queryTableField id="7" name="Date" tableColumnId="7"/>
      <queryTableField id="8" name="debtToEquity" tableColumnId="8"/>
      <queryTableField id="9" name="totalDebt" tableColumnId="9"/>
      <queryTableField id="10" name="ebitda" tableColumnId="10"/>
      <queryTableField id="11" name="operatingMargins" tableColumnId="11"/>
      <queryTableField id="12" name="revenueGrowth" tableColumnId="12"/>
      <queryTableField id="13" name="totalCashPerShare" tableColumnId="13"/>
      <queryTableField id="14" name="revenuePerShare" tableColumnId="14"/>
      <queryTableField id="15" name="totalCash" tableColumnId="15"/>
      <queryTableField id="16" name="returnOnAssets" tableColumnId="16"/>
      <queryTableField id="17" name="profitMargins" tableColumnId="17"/>
      <queryTableField id="18" name="grossProfits" tableColumnId="18"/>
      <queryTableField id="19" name="earningsGrowth" tableColumnId="19"/>
      <queryTableField id="20" name="freeCashflow" tableColumnId="20"/>
      <queryTableField id="21" name="returnOnEquity" tableColumnId="21"/>
      <queryTableField id="22" name="quickRatio" tableColumnId="22"/>
      <queryTableField id="23" name="currentRatio" tableColumnId="23"/>
      <queryTableField id="24" name="operatingCashflow" tableColumnId="24"/>
      <queryTableField id="48" name="targetMeanPrice" tableColumnId="48"/>
      <queryTableField id="25" name="previousClose" tableColumnId="25"/>
      <queryTableField id="26" name="dividendRate" tableColumnId="26"/>
      <queryTableField id="27" name="dividendYield" tableColumnId="27"/>
      <queryTableField id="28" name="exDividendDate" tableColumnId="28"/>
      <queryTableField id="29" name="fiveYearAvgDividendYield" tableColumnId="29"/>
      <queryTableField id="30" name="beta" tableColumnId="30"/>
      <queryTableField id="31" name="trailingPE" tableColumnId="31"/>
      <queryTableField id="32" name="forwardPE" tableColumnId="32"/>
      <queryTableField id="33" name="averageVolume10days" tableColumnId="33"/>
      <queryTableField id="34" name="fiftyTwoWeekLow" tableColumnId="34"/>
      <queryTableField id="35" name="fiftyTwoWeekHigh" tableColumnId="35"/>
      <queryTableField id="36" name="priceToSalesTrailing12Months" tableColumnId="36"/>
      <queryTableField id="37" name="trailingAnnualDividendRate" tableColumnId="37"/>
      <queryTableField id="38" name="trailingAnnualDividendYield" tableColumnId="38"/>
      <queryTableField id="39" name="marketCap" tableColumnId="39"/>
      <queryTableField id="40" name="sharesOutstanding" tableColumnId="40"/>
      <queryTableField id="41" name="bookValue" tableColumnId="41"/>
      <queryTableField id="42" name="priceToBook" tableColumnId="42"/>
      <queryTableField id="43" name="lastFiscalYearEnd" tableColumnId="43"/>
      <queryTableField id="44" name="nextFiscalYearEnd" tableColumnId="44"/>
      <queryTableField id="45" name="mostRecentQuarter" tableColumnId="45"/>
      <queryTableField id="46" name="pegRatio" tableColumnId="46"/>
      <queryTableField id="47" name="Ticker" tableColumnId="4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12" xr16:uid="{B5686E67-314D-4EF7-A556-2BB8B8499AA2}" autoFormatId="16" applyNumberFormats="0" applyBorderFormats="0" applyFontFormats="0" applyPatternFormats="0" applyAlignmentFormats="0" applyWidthHeightFormats="0">
  <queryTableRefresh nextId="2">
    <queryTableFields count="1">
      <queryTableField id="1" name="Ticker"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3" xr16:uid="{260DA0D6-9285-4A9E-8BC3-B7F40131760B}" autoFormatId="16" applyNumberFormats="0" applyBorderFormats="0" applyFontFormats="0" applyPatternFormats="0" applyAlignmentFormats="0" applyWidthHeightFormats="0">
  <queryTableRefresh nextId="6">
    <queryTableFields count="5">
      <queryTableField id="1" name="Ticker" tableColumnId="1"/>
      <queryTableField id="2" name="asOfDate" tableColumnId="2"/>
      <queryTableField id="3" name="asOfDate_Min" tableColumnId="3"/>
      <queryTableField id="4" name="asOfDate_Max" tableColumnId="4"/>
      <queryTableField id="5" name="Year"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23674D13-011C-444F-A907-11D21D989326}" autoFormatId="16" applyNumberFormats="0" applyBorderFormats="0" applyFontFormats="0" applyPatternFormats="0" applyAlignmentFormats="0" applyWidthHeightFormats="0">
  <queryTableRefresh nextId="2">
    <queryTableFields count="1">
      <queryTableField id="1" name="avgInflation"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11" xr16:uid="{5AB1ED09-1E81-4CD6-BA01-109505E7246E}" autoFormatId="16" applyNumberFormats="0" applyBorderFormats="0" applyFontFormats="0" applyPatternFormats="0" applyAlignmentFormats="0" applyWidthHeightFormats="0">
  <queryTableRefresh nextId="4">
    <queryTableFields count="2">
      <queryTableField id="1" name="Ticker" tableColumnId="1"/>
      <queryTableField id="2" name="AvgReturn"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6" connectionId="7" xr16:uid="{D30B0C3E-1C4F-4FAC-BF11-2756A564A321}" autoFormatId="16" applyNumberFormats="0" applyBorderFormats="0" applyFontFormats="0" applyPatternFormats="0" applyAlignmentFormats="0" applyWidthHeightFormats="0">
  <queryTableRefresh nextId="5">
    <queryTableFields count="3">
      <queryTableField id="1" name="Ticker" tableColumnId="1"/>
      <queryTableField id="2" name="AvgReturn" tableColumnId="2"/>
      <queryTableField id="4" name="Yearly Average Return" tableColumnId="4"/>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20B4FC-A92E-4C19-8CED-84EDC2D48FD0}" name="Table7" displayName="Table7" ref="A1:C16" totalsRowShown="0">
  <autoFilter ref="A1:C16" xr:uid="{C220B4FC-A92E-4C19-8CED-84EDC2D48FD0}"/>
  <sortState xmlns:xlrd2="http://schemas.microsoft.com/office/spreadsheetml/2017/richdata2" ref="A2:C15">
    <sortCondition ref="A2:A15"/>
    <sortCondition ref="C2:C15"/>
  </sortState>
  <tableColumns count="3">
    <tableColumn id="1" xr3:uid="{112B079B-E411-4FD8-843D-7FE91ECF5F4D}" name="Version"/>
    <tableColumn id="2" xr3:uid="{8B94A2E0-7B56-41F0-80A8-4D444911805C}" name="Change Made"/>
    <tableColumn id="3" xr3:uid="{B43B9509-FEF2-47BF-953C-9BAFD6969207}" name="Statu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5579D-9862-40B8-8A03-541ACC176DC4}" name="PriceData_TNX_AvgRate" displayName="PriceData_TNX_AvgRate" ref="A1:B2" tableType="queryTable" totalsRowShown="0">
  <autoFilter ref="A1:B2" xr:uid="{F365579D-9862-40B8-8A03-541ACC176DC4}"/>
  <tableColumns count="2">
    <tableColumn id="1" xr3:uid="{8C3FBB6B-15BC-446F-B36D-9492B80905A1}" uniqueName="1" name="Ticker" queryTableFieldId="1" dataDxfId="333"/>
    <tableColumn id="2" xr3:uid="{EB65CE58-76AB-4221-BF81-3E949A8134B7}" uniqueName="2" name="AvgReturn" queryTableFieldId="2" dataDxfId="15" dataCellStyle="Percent"/>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D06DAF-448C-4009-9B15-07CFCD473134}" name="PriceData_GSPC_AvgRate" displayName="PriceData_GSPC_AvgRate" ref="A1:C2" tableType="queryTable" totalsRowShown="0">
  <autoFilter ref="A1:C2" xr:uid="{00D06DAF-448C-4009-9B15-07CFCD473134}"/>
  <tableColumns count="3">
    <tableColumn id="1" xr3:uid="{95B01681-1A2B-44F1-913A-EDE6BE697B1B}" uniqueName="1" name="Ticker" queryTableFieldId="1" dataDxfId="332"/>
    <tableColumn id="2" xr3:uid="{47C28AA4-9D08-45A2-8466-4412C70D8910}" uniqueName="2" name="AvgReturn" queryTableFieldId="2" dataDxfId="14" dataCellStyle="Percent"/>
    <tableColumn id="4" xr3:uid="{40F09CFD-F841-46AF-8C74-67B5625E5554}" uniqueName="4" name="Yearly Average Return" queryTableFieldId="4" dataDxfId="13" dataCellStyle="Percent"/>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9794AF-BD60-4CAB-8E89-E8B188B656C9}" name="PriceData_Ticker_AvgRate" displayName="PriceData_Ticker_AvgRate" ref="A1:C11" tableType="queryTable" totalsRowShown="0">
  <autoFilter ref="A1:C11" xr:uid="{629794AF-BD60-4CAB-8E89-E8B188B656C9}"/>
  <sortState xmlns:xlrd2="http://schemas.microsoft.com/office/spreadsheetml/2017/richdata2" ref="A2:C11">
    <sortCondition ref="A1:A11"/>
  </sortState>
  <tableColumns count="3">
    <tableColumn id="1" xr3:uid="{AB8A4B54-6FEA-4AE4-84F4-5128781E87DE}" uniqueName="1" name="Ticker" queryTableFieldId="1" dataDxfId="331"/>
    <tableColumn id="2" xr3:uid="{C6AF1529-F766-4811-82A9-BF2B2FCD5B84}" uniqueName="2" name="AvgReturn" queryTableFieldId="2" dataDxfId="12" dataCellStyle="Percent"/>
    <tableColumn id="3" xr3:uid="{70AE33BD-4908-4906-A18B-EC30AE22A38A}" uniqueName="3" name="Yearly Average Return" queryTableFieldId="3" dataDxfId="11" dataCellStyle="Percent"/>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C77C9E-B87D-43DA-862E-FC847C954ED2}" name="PriceData_Ticker" displayName="PriceData_Ticker" ref="A1:R431" tableType="queryTable" totalsRowShown="0">
  <autoFilter ref="A1:R431" xr:uid="{56C77C9E-B87D-43DA-862E-FC847C954ED2}">
    <filterColumn colId="0">
      <filters>
        <filter val="VLTO"/>
      </filters>
    </filterColumn>
  </autoFilter>
  <tableColumns count="18">
    <tableColumn id="1" xr3:uid="{35FBBFB3-9A1A-4B4E-B49E-95AA94B5B0D9}" uniqueName="1" name="Ticker" queryTableFieldId="1" dataDxfId="330"/>
    <tableColumn id="2" xr3:uid="{1E0BC823-5EA3-4186-8532-37FA306C5195}" uniqueName="2" name="price_date" queryTableFieldId="2" dataDxfId="5"/>
    <tableColumn id="3" xr3:uid="{74DF9E03-F29C-43C0-AADF-D1A267935FA1}" uniqueName="3" name="open" queryTableFieldId="3"/>
    <tableColumn id="4" xr3:uid="{573C41BC-6286-4470-8291-7583F76E3649}" uniqueName="4" name="high" queryTableFieldId="4"/>
    <tableColumn id="5" xr3:uid="{56DB6E30-1DF5-4583-972E-86A049713946}" uniqueName="5" name="low" queryTableFieldId="5"/>
    <tableColumn id="6" xr3:uid="{FFF2267D-6D6B-4CEF-9F04-ACB08421D2F9}" uniqueName="6" name="close" queryTableFieldId="6"/>
    <tableColumn id="7" xr3:uid="{9EDFE602-CB84-4319-8687-30BCDFDA30F0}" uniqueName="7" name="volume" queryTableFieldId="7"/>
    <tableColumn id="8" xr3:uid="{9A64D76E-18A6-4973-97F2-F2682AEB0841}" uniqueName="8" name="adjclose" queryTableFieldId="8"/>
    <tableColumn id="9" xr3:uid="{BA69500B-6E82-4F54-BFD9-C4CD7D140CEC}" uniqueName="9" name="id" queryTableFieldId="9" dataDxfId="10"/>
    <tableColumn id="10" xr3:uid="{7D3E080C-6433-4EA6-8D49-C343FF747A09}" uniqueName="10" name="Pull_Date" queryTableFieldId="10" dataDxfId="4"/>
    <tableColumn id="11" xr3:uid="{68FAB0EE-809F-4FE3-B4EF-D0EF690C7E0C}" uniqueName="11" name="dividends" queryTableFieldId="11"/>
    <tableColumn id="12" xr3:uid="{9CAEA129-F987-459C-BF10-A3ECAF1AB112}" uniqueName="12" name="splits" queryTableFieldId="12"/>
    <tableColumn id="13" xr3:uid="{58BA5805-D8B7-462F-A18B-3C876C7F3091}" uniqueName="13" name="change_in_price" queryTableFieldId="13"/>
    <tableColumn id="14" xr3:uid="{5B4AF425-30A0-40AA-B191-1787B234BF55}" uniqueName="14" name="percent_return" queryTableFieldId="14"/>
    <tableColumn id="15" xr3:uid="{B447A333-E92A-44C2-9E41-1D2E77C1283E}" uniqueName="15" name="open_close_diff" queryTableFieldId="15"/>
    <tableColumn id="16" xr3:uid="{DF3C07F7-547E-4A74-92D5-1A6FBA9E3B4C}" uniqueName="16" name="open_high_diff" queryTableFieldId="16"/>
    <tableColumn id="17" xr3:uid="{63A13637-4C58-4BF4-9FD5-F7EFD2C7FEA2}" uniqueName="17" name="day_of_week" queryTableFieldId="17" dataDxfId="329"/>
    <tableColumn id="18" xr3:uid="{3842E5A3-1394-438E-BF4D-421DB35821E3}" uniqueName="18" name="price_date_year" queryTableFieldId="18"/>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286AD66-B3E4-46A4-B4BB-312819BFA693}" name="PriceData_TNX" displayName="PriceData_TNX" ref="A1:O49" tableType="queryTable" totalsRowShown="0">
  <autoFilter ref="A1:O49" xr:uid="{5286AD66-B3E4-46A4-B4BB-312819BFA693}"/>
  <tableColumns count="15">
    <tableColumn id="1" xr3:uid="{F03AFBF2-8E71-40FC-8C35-57635D854FD3}" uniqueName="1" name="Ticker" queryTableFieldId="1" dataDxfId="328"/>
    <tableColumn id="2" xr3:uid="{C832C61D-CB86-4953-9818-DCED0626074B}" uniqueName="2" name="price_date" queryTableFieldId="2" dataDxfId="3"/>
    <tableColumn id="3" xr3:uid="{E20867D5-59CA-4D0D-B68D-19271EF57081}" uniqueName="3" name="open" queryTableFieldId="3"/>
    <tableColumn id="4" xr3:uid="{1ACABFDA-FC94-4DAF-99FE-10C64FBA1D29}" uniqueName="4" name="high" queryTableFieldId="4"/>
    <tableColumn id="5" xr3:uid="{CC568CB7-871E-43EC-8B99-91CE33B6885D}" uniqueName="5" name="low" queryTableFieldId="5"/>
    <tableColumn id="6" xr3:uid="{87B900E3-F990-49AC-A6B4-F2906ADCA596}" uniqueName="6" name="close" queryTableFieldId="6"/>
    <tableColumn id="7" xr3:uid="{892929FF-49B8-4F85-BB03-AFB8E77CABAB}" uniqueName="7" name="volume" queryTableFieldId="7"/>
    <tableColumn id="8" xr3:uid="{09E309C2-C17C-422A-BEB0-A1591277370D}" uniqueName="8" name="adjclose" queryTableFieldId="8"/>
    <tableColumn id="9" xr3:uid="{67797AB9-6B6F-4E77-B627-F35722D20E8F}" uniqueName="9" name="id" queryTableFieldId="9" dataDxfId="327"/>
    <tableColumn id="10" xr3:uid="{3C8C4FB1-FE11-43AD-89E5-0E3B1353CC1A}" uniqueName="10" name="Pull_Date" queryTableFieldId="10" dataDxfId="2"/>
    <tableColumn id="11" xr3:uid="{4ABB603A-6620-47A7-82DB-39555B755B34}" uniqueName="11" name="percent_return" queryTableFieldId="11"/>
    <tableColumn id="12" xr3:uid="{5EA9EEC5-A6CF-4C51-92D3-4C36054B0A39}" uniqueName="12" name="open_close_diff" queryTableFieldId="12"/>
    <tableColumn id="13" xr3:uid="{9E4381F7-0AAA-422D-BC33-ECFBF734D64F}" uniqueName="13" name="open_high_diff" queryTableFieldId="13"/>
    <tableColumn id="14" xr3:uid="{617D4392-2DB1-408E-8632-CAB906E8C00D}" uniqueName="14" name="day_of_week" queryTableFieldId="14" dataDxfId="326"/>
    <tableColumn id="15" xr3:uid="{E7844A20-052D-4980-AB96-E4C8B179657A}" uniqueName="15" name="price_date_year" queryTableFieldId="1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95596E-35ED-4B0B-AF5E-1C29388352FA}" name="PriceData_GSPC" displayName="PriceData_GSPC" ref="A1:O49" tableType="queryTable" totalsRowShown="0">
  <autoFilter ref="A1:O49" xr:uid="{5695596E-35ED-4B0B-AF5E-1C29388352FA}"/>
  <tableColumns count="15">
    <tableColumn id="1" xr3:uid="{476EC5B9-A384-45D0-AB38-988EC2FA4763}" uniqueName="1" name="Ticker" queryTableFieldId="1" dataDxfId="325"/>
    <tableColumn id="2" xr3:uid="{59C9CE97-E0C9-4F8F-8947-D10E81E32854}" uniqueName="2" name="price_date" queryTableFieldId="2" dataDxfId="1"/>
    <tableColumn id="3" xr3:uid="{C2150377-0143-452F-9765-DC42A50A10E4}" uniqueName="3" name="open" queryTableFieldId="3"/>
    <tableColumn id="4" xr3:uid="{EE55D843-75B7-427E-AE6B-FEF024555FBB}" uniqueName="4" name="high" queryTableFieldId="4"/>
    <tableColumn id="5" xr3:uid="{ACEDC5AA-B799-4F6E-8544-A0EFC6ED3E45}" uniqueName="5" name="low" queryTableFieldId="5"/>
    <tableColumn id="6" xr3:uid="{379C6F9E-2F99-4CC5-B9DE-76CE560516B0}" uniqueName="6" name="close" queryTableFieldId="6"/>
    <tableColumn id="7" xr3:uid="{16623B10-1C80-47CE-AF91-FFEBE632D9C7}" uniqueName="7" name="volume" queryTableFieldId="7"/>
    <tableColumn id="8" xr3:uid="{C49DBE65-3B38-4404-9785-99C0D4F0EFE2}" uniqueName="8" name="adjclose" queryTableFieldId="8"/>
    <tableColumn id="9" xr3:uid="{9B75DB78-580A-43A1-8FAA-32407C1E68ED}" uniqueName="9" name="id" queryTableFieldId="9" dataDxfId="324"/>
    <tableColumn id="10" xr3:uid="{FB90863A-225C-454D-A772-F435B90710A6}" uniqueName="10" name="Pull_Date" queryTableFieldId="10" dataDxfId="0"/>
    <tableColumn id="11" xr3:uid="{12E70A42-6A71-4DFA-9C56-D6E6755B9C90}" uniqueName="11" name="percent_return" queryTableFieldId="11"/>
    <tableColumn id="12" xr3:uid="{F647C59F-07C9-4CAB-BA79-F95C6D787522}" uniqueName="12" name="open_close_diff" queryTableFieldId="12"/>
    <tableColumn id="13" xr3:uid="{CF515FB3-B241-4B07-A277-CD1CE9F5788F}" uniqueName="13" name="open_high_diff" queryTableFieldId="13"/>
    <tableColumn id="14" xr3:uid="{B7C3F0C2-15BB-476F-84F0-3C296BF1FA04}" uniqueName="14" name="day_of_week" queryTableFieldId="14" dataDxfId="323"/>
    <tableColumn id="15" xr3:uid="{3852E20C-3595-45DF-A441-9F426EEEA405}" uniqueName="15" name="price_date_year"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D284A8-1370-4A2F-B382-6D9782DC6DA8}" name="Table8" displayName="Table8" ref="E1:F4" totalsRowShown="0">
  <autoFilter ref="E1:F4" xr:uid="{21D284A8-1370-4A2F-B382-6D9782DC6DA8}"/>
  <tableColumns count="2">
    <tableColumn id="1" xr3:uid="{7820A706-A586-4ABA-ADAE-5091AF7F78EA}" name="#" dataDxfId="354"/>
    <tableColumn id="2" xr3:uid="{879532C5-9FC3-416C-B1A0-596EC4E5F040}" name="Ide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1F55-C9D6-474F-9932-7DF1D592F1B3}" name="IncomeStatement" displayName="IncomeStatement" ref="A1:BY85" tableType="queryTable" totalsRowShown="0">
  <autoFilter ref="A1:BY85" xr:uid="{96E61F55-C9D6-474F-9932-7DF1D592F1B3}">
    <filterColumn colId="3">
      <filters>
        <filter val="12M"/>
      </filters>
    </filterColumn>
  </autoFilter>
  <tableColumns count="77">
    <tableColumn id="1" xr3:uid="{17854FD5-DA44-4BBC-B637-C893F020EF95}" uniqueName="1" name="id" queryTableFieldId="1" dataDxfId="353"/>
    <tableColumn id="2" xr3:uid="{A31D2101-F390-4F70-BBAA-BDC4C684BAC3}" uniqueName="2" name="asOfDate" queryTableFieldId="2" dataDxfId="322"/>
    <tableColumn id="75" xr3:uid="{0BE83C99-E5E5-4E6F-8936-15373194439E}" uniqueName="75" name="Year" queryTableFieldId="75"/>
    <tableColumn id="3" xr3:uid="{FE7EAECF-9660-4115-9E1B-DE22802F35F7}" uniqueName="3" name="periodType" queryTableFieldId="3" dataDxfId="352"/>
    <tableColumn id="4" xr3:uid="{EED1BAC0-A38A-4B28-A7BA-33C9E570D384}" uniqueName="4" name="currencyCode" queryTableFieldId="4" dataDxfId="351"/>
    <tableColumn id="5" xr3:uid="{74AEDA20-0BBC-47DC-8932-457185418876}" uniqueName="5" name="AverageDilutionEarnings" queryTableFieldId="5" dataDxfId="321" dataCellStyle="Comma"/>
    <tableColumn id="6" xr3:uid="{81E828FF-AC8E-4DFD-AD74-0D9E3C221630}" uniqueName="6" name="BasicAverageShares" queryTableFieldId="6" dataDxfId="320" dataCellStyle="Comma"/>
    <tableColumn id="7" xr3:uid="{A6765C95-D5A4-4787-88DA-D17AFE7C2A7D}" uniqueName="7" name="BasicEPS" queryTableFieldId="7" dataDxfId="319" dataCellStyle="Comma"/>
    <tableColumn id="8" xr3:uid="{0162BF3A-125A-4E86-A784-C889C4F38CBD}" uniqueName="8" name="CostOfRevenue" queryTableFieldId="8" dataDxfId="318" dataCellStyle="Comma"/>
    <tableColumn id="9" xr3:uid="{EA42CB82-08EC-4452-AD7E-8B52D7DE3C57}" uniqueName="9" name="DepreciationAmortizationDepletionIncomeStatement" queryTableFieldId="9" dataDxfId="317" dataCellStyle="Comma"/>
    <tableColumn id="10" xr3:uid="{544FF0BA-B15C-42EF-9376-D8836A8B8ED0}" uniqueName="10" name="DepreciationAndAmortizationInIncomeStatement" queryTableFieldId="10" dataDxfId="316" dataCellStyle="Comma"/>
    <tableColumn id="11" xr3:uid="{8E85930D-BB84-451B-A83C-B8D97E41F737}" uniqueName="11" name="DilutedAverageShares" queryTableFieldId="11" dataDxfId="315" dataCellStyle="Comma"/>
    <tableColumn id="12" xr3:uid="{495157F7-2E56-4F82-93A5-743251DA51F7}" uniqueName="12" name="DilutedEPS" queryTableFieldId="12" dataDxfId="314" dataCellStyle="Comma"/>
    <tableColumn id="13" xr3:uid="{714D63CA-2983-4EC0-8454-63567C9D8860}" uniqueName="13" name="DilutedNIAvailtoComStockholders" queryTableFieldId="13" dataDxfId="313" dataCellStyle="Comma"/>
    <tableColumn id="14" xr3:uid="{C262F41E-BBB7-4B32-ACAD-882D22024DDB}" uniqueName="14" name="EBIT" queryTableFieldId="14" dataDxfId="312" dataCellStyle="Comma"/>
    <tableColumn id="15" xr3:uid="{38106D96-12D3-4C3D-9468-5CFADE77577A}" uniqueName="15" name="EBITDA" queryTableFieldId="15" dataDxfId="311" dataCellStyle="Comma"/>
    <tableColumn id="16" xr3:uid="{CAAED31E-D0BA-476E-AF24-327A274D8BFD}" uniqueName="16" name="EarningsFromEquityInterestNetOfTax" queryTableFieldId="16" dataDxfId="310" dataCellStyle="Comma"/>
    <tableColumn id="17" xr3:uid="{699059D6-2673-4242-9CE2-7F45EB12AB34}" uniqueName="17" name="GainOnSaleOfBusiness" queryTableFieldId="17" dataDxfId="309" dataCellStyle="Comma"/>
    <tableColumn id="18" xr3:uid="{97CF692C-E10A-44CF-BCEE-641FB14BD22F}" uniqueName="18" name="GainOnSaleOfSecurity" queryTableFieldId="18" dataDxfId="308" dataCellStyle="Comma"/>
    <tableColumn id="19" xr3:uid="{DE67067D-7ACD-406A-996A-3C9702233B39}" uniqueName="19" name="GeneralAndAdministrativeExpense" queryTableFieldId="19" dataDxfId="307" dataCellStyle="Comma"/>
    <tableColumn id="20" xr3:uid="{FD74E4FC-9814-47EF-8F69-E2F1E74A4014}" uniqueName="20" name="GrossProfit" queryTableFieldId="20" dataDxfId="306" dataCellStyle="Comma"/>
    <tableColumn id="21" xr3:uid="{316D7B18-7CE5-4A0C-BC82-A74582A65BFD}" uniqueName="21" name="InterestExpense" queryTableFieldId="21" dataDxfId="305" dataCellStyle="Comma"/>
    <tableColumn id="22" xr3:uid="{8A85C14F-BA03-4195-A0A8-AC962EF5CC8E}" uniqueName="22" name="InterestExpenseNonOperating" queryTableFieldId="22" dataDxfId="304" dataCellStyle="Comma"/>
    <tableColumn id="23" xr3:uid="{5FCCD228-BB7D-49A6-8318-580D7B569B31}" uniqueName="23" name="InterestIncome" queryTableFieldId="23" dataDxfId="303" dataCellStyle="Comma"/>
    <tableColumn id="24" xr3:uid="{BC2E2514-748B-4348-B055-8B8830E00F0F}" uniqueName="24" name="InterestIncomeNonOperating" queryTableFieldId="24" dataDxfId="302" dataCellStyle="Comma"/>
    <tableColumn id="25" xr3:uid="{71ED8086-C6F2-4472-9FE1-6D2A300A0A68}" uniqueName="25" name="MinorityInterests" queryTableFieldId="25" dataDxfId="301" dataCellStyle="Comma"/>
    <tableColumn id="26" xr3:uid="{CF5706E8-DA3B-4B85-AD9C-5EF45FAA1BBC}" uniqueName="26" name="NetIncome" queryTableFieldId="26" dataDxfId="300" dataCellStyle="Comma"/>
    <tableColumn id="27" xr3:uid="{14260D7D-2222-4A11-9558-45BC8E546D67}" uniqueName="27" name="NetIncomeCommonStockholders" queryTableFieldId="27" dataDxfId="299" dataCellStyle="Comma"/>
    <tableColumn id="28" xr3:uid="{67EFF183-BA7E-45B6-880B-8D7B5B558481}" uniqueName="28" name="NetIncomeContinuousOperations" queryTableFieldId="28" dataDxfId="298" dataCellStyle="Comma"/>
    <tableColumn id="29" xr3:uid="{B1F0D07A-CBD1-407E-886B-C9BB1E213A76}" uniqueName="29" name="NetIncomeFromContinuingAndDiscontinuedOperation" queryTableFieldId="29" dataDxfId="297" dataCellStyle="Comma"/>
    <tableColumn id="30" xr3:uid="{7C076902-BFC3-48A4-A004-5496088FFC1D}" uniqueName="30" name="NetIncomeFromContinuingOperationNetMinorityInterest" queryTableFieldId="30" dataDxfId="296" dataCellStyle="Comma"/>
    <tableColumn id="31" xr3:uid="{BC5C9E26-848F-42BF-A1ED-A9178351C71E}" uniqueName="31" name="NetIncomeIncludingNoncontrollingInterests" queryTableFieldId="31" dataDxfId="295" dataCellStyle="Comma"/>
    <tableColumn id="32" xr3:uid="{832A07CD-380D-454E-9193-A7B13E1329E4}" uniqueName="32" name="NetInterestIncome" queryTableFieldId="32" dataDxfId="294" dataCellStyle="Comma"/>
    <tableColumn id="33" xr3:uid="{326F97B8-CAAA-43DB-BAA6-988C0DCC8B17}" uniqueName="33" name="NetNonOperatingInterestIncomeExpense" queryTableFieldId="33" dataDxfId="293" dataCellStyle="Comma"/>
    <tableColumn id="34" xr3:uid="{D1CD8E56-E57E-4A7A-8012-69940D742B87}" uniqueName="34" name="NormalizedEBITDA" queryTableFieldId="34" dataDxfId="292" dataCellStyle="Comma"/>
    <tableColumn id="35" xr3:uid="{E5992184-22AD-4F6E-9185-DF2FB3759434}" uniqueName="35" name="NormalizedIncome" queryTableFieldId="35" dataDxfId="291" dataCellStyle="Comma"/>
    <tableColumn id="36" xr3:uid="{D073B15F-F677-49A8-8E36-843CAE9653C2}" uniqueName="36" name="OperatingExpense" queryTableFieldId="36" dataDxfId="290" dataCellStyle="Comma"/>
    <tableColumn id="37" xr3:uid="{9D3A348A-8564-49FD-9AC2-1399686DF6A4}" uniqueName="37" name="OperatingIncome" queryTableFieldId="37" dataDxfId="289" dataCellStyle="Comma"/>
    <tableColumn id="38" xr3:uid="{2C65600A-4FFF-4D31-AEA7-3A586C958442}" uniqueName="38" name="OperatingRevenue" queryTableFieldId="38" dataDxfId="288" dataCellStyle="Comma"/>
    <tableColumn id="39" xr3:uid="{0EDE01F4-1B2D-40E4-8806-580B41F76FE3}" uniqueName="39" name="OtherGandA" queryTableFieldId="39" dataDxfId="287" dataCellStyle="Comma"/>
    <tableColumn id="40" xr3:uid="{48879E45-9E3C-43C9-A5E4-B401FB1E8B61}" uniqueName="40" name="OtherIncomeExpense" queryTableFieldId="40" dataDxfId="286" dataCellStyle="Comma"/>
    <tableColumn id="41" xr3:uid="{8AD577D8-FAD6-4AE8-8982-95A11C2A3511}" uniqueName="41" name="OtherNonOperatingIncomeExpenses" queryTableFieldId="41" dataDxfId="285" dataCellStyle="Comma"/>
    <tableColumn id="42" xr3:uid="{C1287357-3406-4567-9830-FDB7BBE37FE3}" uniqueName="42" name="OtherOperatingExpenses" queryTableFieldId="42" dataDxfId="284" dataCellStyle="Comma"/>
    <tableColumn id="43" xr3:uid="{9581FC6F-7124-4C26-8F1D-23B0A64597FD}" uniqueName="43" name="OtherunderPreferredStockDividend" queryTableFieldId="43" dataDxfId="283" dataCellStyle="Comma"/>
    <tableColumn id="44" xr3:uid="{1A083BE6-BDA6-497B-836E-02AA73AFD669}" uniqueName="44" name="PretaxIncome" queryTableFieldId="44" dataDxfId="282" dataCellStyle="Comma"/>
    <tableColumn id="45" xr3:uid="{8657D94E-D4DC-4628-BA23-725F969C9D84}" uniqueName="45" name="ReconciledCostOfRevenue" queryTableFieldId="45" dataDxfId="281" dataCellStyle="Comma"/>
    <tableColumn id="46" xr3:uid="{0876F679-F31F-4F89-8579-D3564693B480}" uniqueName="46" name="ReconciledDepreciation" queryTableFieldId="46" dataDxfId="280" dataCellStyle="Comma"/>
    <tableColumn id="47" xr3:uid="{737DB7C7-E154-456F-87D8-1361A8022D63}" uniqueName="47" name="ResearchAndDevelopment" queryTableFieldId="47" dataDxfId="279" dataCellStyle="Comma"/>
    <tableColumn id="48" xr3:uid="{9B13C0E6-52D0-454C-9A3E-9DC8A68F07C0}" uniqueName="48" name="SellingAndMarketingExpense" queryTableFieldId="48" dataDxfId="278" dataCellStyle="Comma"/>
    <tableColumn id="49" xr3:uid="{4978A1D1-1BD9-49A9-B88A-2856444FF097}" uniqueName="49" name="SellingGeneralAndAdministration" queryTableFieldId="49" dataDxfId="277" dataCellStyle="Comma"/>
    <tableColumn id="50" xr3:uid="{D76E409A-98F8-4235-AE4C-20EB99ACB674}" uniqueName="50" name="SpecialIncomeCharges" queryTableFieldId="50" dataDxfId="276" dataCellStyle="Comma"/>
    <tableColumn id="51" xr3:uid="{F66B3855-C985-49A5-BB40-529B4C92BC7A}" uniqueName="51" name="TaxEffectOfUnusualItems" queryTableFieldId="51" dataDxfId="275" dataCellStyle="Comma"/>
    <tableColumn id="52" xr3:uid="{88F2F258-D1F1-42A3-A5D1-78C72A21843F}" uniqueName="52" name="TaxProvision" queryTableFieldId="52" dataDxfId="274" dataCellStyle="Comma"/>
    <tableColumn id="53" xr3:uid="{8EED3DD2-A136-41DC-9B8E-8460F0BE1521}" uniqueName="53" name="TaxRateForCalcs" queryTableFieldId="53" dataDxfId="273" dataCellStyle="Comma"/>
    <tableColumn id="54" xr3:uid="{BF361207-AF43-4B8D-AFD3-AE6F43E85F19}" uniqueName="54" name="TotalExpenses" queryTableFieldId="54" dataDxfId="272" dataCellStyle="Comma"/>
    <tableColumn id="55" xr3:uid="{57AC524C-0B13-4E67-9FD8-10B0CDDC43AB}" uniqueName="55" name="TotalOperatingIncomeAsReported" queryTableFieldId="55" dataDxfId="271" dataCellStyle="Comma"/>
    <tableColumn id="56" xr3:uid="{49D9ECB6-0498-4AE2-8229-42ABC41B1578}" uniqueName="56" name="TotalRevenue" queryTableFieldId="56" dataDxfId="270" dataCellStyle="Comma"/>
    <tableColumn id="57" xr3:uid="{ED3EBE08-BA8B-4A10-B654-32DA5428EFF6}" uniqueName="57" name="TotalUnusualItems" queryTableFieldId="57" dataDxfId="269" dataCellStyle="Comma"/>
    <tableColumn id="58" xr3:uid="{1E05DF99-61C1-47BB-905F-74250EC8B494}" uniqueName="58" name="TotalUnusualItemsExcludingGoodwill" queryTableFieldId="58" dataDxfId="268" dataCellStyle="Comma"/>
    <tableColumn id="59" xr3:uid="{81FF75E0-0AF2-48C4-9841-F98F83FA909A}" uniqueName="59" name="WriteOff" queryTableFieldId="59" dataDxfId="267" dataCellStyle="Comma"/>
    <tableColumn id="60" xr3:uid="{1C511495-0568-4CAE-AC19-DB16E328C12C}" uniqueName="60" name="NetIncomeDiscontinuousOperations" queryTableFieldId="60" dataDxfId="266" dataCellStyle="Comma"/>
    <tableColumn id="76" xr3:uid="{7DF0316D-89A6-4573-A142-F1EE0FD94D63}" uniqueName="76" name="DepreciationIncomeStatement" queryTableFieldId="367" dataCellStyle="Comma"/>
    <tableColumn id="61" xr3:uid="{2AE2FF8D-D67C-4CDC-B1E5-6DD7DD088EF9}" uniqueName="61" name="EarningsFromEquityInterest" queryTableFieldId="61" dataDxfId="265" dataCellStyle="Comma"/>
    <tableColumn id="62" xr3:uid="{0012014D-CA85-46D9-A066-428937D47E7F}" uniqueName="62" name="ImpairmentOfCapitalAssets" queryTableFieldId="62" dataDxfId="264" dataCellStyle="Comma"/>
    <tableColumn id="63" xr3:uid="{2DAA508E-B92C-426F-AF80-C50AB6B8649F}" uniqueName="63" name="PreferredStockDividends" queryTableFieldId="63" dataDxfId="263" dataCellStyle="Comma"/>
    <tableColumn id="79" xr3:uid="{293494E8-5E53-411F-975A-1CB3E9FE36BF}" uniqueName="79" name="asOfYear" queryTableFieldId="94" dataDxfId="262" dataCellStyle="Comma"/>
    <tableColumn id="64" xr3:uid="{9D8A887E-0AE1-4B17-A126-571351DE9966}" uniqueName="64" name="Amortization" queryTableFieldId="64" dataDxfId="261" dataCellStyle="Comma"/>
    <tableColumn id="65" xr3:uid="{38A61CCE-7A39-41DB-B111-3581E107EEA9}" uniqueName="65" name="AmortizationOfIntangiblesIncomeStatement" queryTableFieldId="65" dataDxfId="260" dataCellStyle="Comma"/>
    <tableColumn id="66" xr3:uid="{2BF617EF-DC94-40CF-882F-91A4150D4476}" uniqueName="66" name="OtherSpecialCharges" queryTableFieldId="66" dataDxfId="259" dataCellStyle="Comma"/>
    <tableColumn id="67" xr3:uid="{95B83D96-6BD5-438B-925F-5D0FC21C557A}" uniqueName="67" name="OtherTaxes" queryTableFieldId="67" dataDxfId="258" dataCellStyle="Comma"/>
    <tableColumn id="68" xr3:uid="{94A7F6EE-AADA-45C1-9B84-779BE2F20636}" uniqueName="68" name="RestructuringAndMergernAcquisition" queryTableFieldId="68" dataDxfId="257" dataCellStyle="Comma"/>
    <tableColumn id="69" xr3:uid="{EBC1560D-2450-4001-A237-A0B68BC06556}" uniqueName="69" name="GainOnSaleOfPPE" queryTableFieldId="69" dataDxfId="256" dataCellStyle="Comma"/>
    <tableColumn id="70" xr3:uid="{756E3A56-235A-4E75-A3C9-4B223AE05B25}" uniqueName="70" name="ProvisionForDoubtfulAccounts" queryTableFieldId="70" dataDxfId="255" dataCellStyle="Comma"/>
    <tableColumn id="71" xr3:uid="{A3637E10-0C0A-4030-AB6C-5FFF6D9FFF6C}" uniqueName="71" name="SalariesAndWages" queryTableFieldId="71" dataDxfId="254" dataCellStyle="Comma"/>
    <tableColumn id="72" xr3:uid="{8FD72E85-CD81-4042-B1D8-1AED3141EC9C}" uniqueName="72" name="RentAndLandingFees" queryTableFieldId="72" dataDxfId="253" dataCellStyle="Comma"/>
    <tableColumn id="73" xr3:uid="{0923D9B2-1F71-4784-BB8B-F2B8DC2DC9B3}" uniqueName="73" name="RentExpenseSupplemental" queryTableFieldId="73" dataDxfId="252" dataCellStyle="Comma"/>
    <tableColumn id="74" xr3:uid="{01070C76-4E03-4DE5-9126-74865A675E46}" uniqueName="74" name="Ticker" queryTableFieldId="74" dataDxfId="35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AAE30-54DE-4F69-9092-57C42745D75D}" name="BalanceSheet" displayName="BalanceSheet" ref="A1:ED50" tableType="queryTable" totalsRowShown="0">
  <autoFilter ref="A1:ED50" xr:uid="{4A0AAE30-54DE-4F69-9092-57C42745D75D}"/>
  <tableColumns count="134">
    <tableColumn id="1" xr3:uid="{383908E0-5C86-4DE7-8B3C-32159D5F2E68}" uniqueName="1" name="id" queryTableFieldId="1" dataDxfId="349"/>
    <tableColumn id="2" xr3:uid="{FE76E6C4-D38C-4ABE-A2BE-0197746D560A}" uniqueName="2" name="asOfDate" queryTableFieldId="2" dataDxfId="251"/>
    <tableColumn id="128" xr3:uid="{268DC9F9-27F1-4540-AA7B-9B42422C8E6F}" uniqueName="128" name="Year" queryTableFieldId="128"/>
    <tableColumn id="3" xr3:uid="{2E271D49-92D3-4E01-95FF-C930C77321DF}" uniqueName="3" name="periodType" queryTableFieldId="3" dataDxfId="348"/>
    <tableColumn id="4" xr3:uid="{78B17CD5-D105-4C8A-BE64-39D9582BE232}" uniqueName="4" name="currencyCode" queryTableFieldId="4" dataDxfId="347"/>
    <tableColumn id="5" xr3:uid="{D96ADEFC-64CD-4226-93CB-67F9F9A00732}" uniqueName="5" name="AccountsPayable" queryTableFieldId="5" dataDxfId="250" dataCellStyle="Comma"/>
    <tableColumn id="6" xr3:uid="{739130AE-A335-459A-BE4F-6C45F47DC0D0}" uniqueName="6" name="AccountsReceivable" queryTableFieldId="6" dataDxfId="249" dataCellStyle="Comma"/>
    <tableColumn id="7" xr3:uid="{F1A9FE73-65BC-472B-A6EB-78F3B4CB090C}" uniqueName="7" name="AccumulatedDepreciation" queryTableFieldId="7" dataDxfId="248" dataCellStyle="Comma"/>
    <tableColumn id="8" xr3:uid="{4F268656-DCF3-4147-B549-0A65361D25CC}" uniqueName="8" name="AdditionalPaidInCapital" queryTableFieldId="8" dataDxfId="247" dataCellStyle="Comma"/>
    <tableColumn id="9" xr3:uid="{8AD25D0D-1242-4D76-ADDD-E696357D49CD}" uniqueName="9" name="AllowanceForDoubtfulAccountsReceivable" queryTableFieldId="9" dataDxfId="246" dataCellStyle="Comma"/>
    <tableColumn id="10" xr3:uid="{6C926260-76DD-4F60-A21F-E47FB90B40BC}" uniqueName="10" name="AssetsHeldForSaleCurrent" queryTableFieldId="10" dataDxfId="245" dataCellStyle="Comma"/>
    <tableColumn id="11" xr3:uid="{FF3C59D0-DE82-4D02-A34A-2D3E0F9702D9}" uniqueName="11" name="AvailableForSaleSecurities" queryTableFieldId="11" dataDxfId="244" dataCellStyle="Comma"/>
    <tableColumn id="12" xr3:uid="{5DB039D3-A1B6-470A-BED2-B9D27697B596}" uniqueName="12" name="BuildingsAndImprovements" queryTableFieldId="12" dataDxfId="243" dataCellStyle="Comma"/>
    <tableColumn id="13" xr3:uid="{F471DAF1-C2E3-4219-897E-26506419EA0B}" uniqueName="13" name="CapitalLeaseObligations" queryTableFieldId="13" dataDxfId="242" dataCellStyle="Comma"/>
    <tableColumn id="14" xr3:uid="{42E8AA2A-F12F-43C7-AB53-2B9D26641A23}" uniqueName="14" name="CapitalStock" queryTableFieldId="14" dataDxfId="241" dataCellStyle="Comma"/>
    <tableColumn id="15" xr3:uid="{A8B4C8C1-98B7-4F7F-8716-49D5F970DA96}" uniqueName="15" name="CashAndCashEquivalents" queryTableFieldId="15" dataDxfId="240" dataCellStyle="Comma"/>
    <tableColumn id="16" xr3:uid="{22D177B8-61B2-425D-8D9D-47EFF8F141A6}" uniqueName="16" name="CashCashEquivalentsAndShortTermInvestments" queryTableFieldId="16" dataDxfId="239" dataCellStyle="Comma"/>
    <tableColumn id="17" xr3:uid="{E4ED69F4-72C9-4348-BBDF-95E09374641F}" uniqueName="17" name="CommonStock" queryTableFieldId="17" dataDxfId="238" dataCellStyle="Comma"/>
    <tableColumn id="18" xr3:uid="{86E0D939-3812-4496-95DA-580817E2E89F}" uniqueName="18" name="CommonStockEquity" queryTableFieldId="18" dataDxfId="237" dataCellStyle="Comma"/>
    <tableColumn id="19" xr3:uid="{1FE0BCE6-31AA-409A-9012-CEC13F6F536E}" uniqueName="19" name="ConstructionInProgress" queryTableFieldId="19" dataDxfId="236" dataCellStyle="Comma"/>
    <tableColumn id="20" xr3:uid="{1A41E694-3D91-40C0-83E0-C185562D70F1}" uniqueName="20" name="CurrentAccruedExpenses" queryTableFieldId="20" dataDxfId="235" dataCellStyle="Comma"/>
    <tableColumn id="21" xr3:uid="{423BAA8C-D2FB-4726-8195-2052CAECD96B}" uniqueName="21" name="CurrentAssets" queryTableFieldId="21" dataDxfId="234" dataCellStyle="Comma"/>
    <tableColumn id="22" xr3:uid="{3B778A1C-4E54-4CB2-B050-528682D18AD4}" uniqueName="22" name="CurrentCapitalLeaseObligation" queryTableFieldId="22" dataDxfId="233" dataCellStyle="Comma"/>
    <tableColumn id="23" xr3:uid="{70E82074-1D5E-4645-95DC-1C6619C78FB4}" uniqueName="23" name="CurrentDebt" queryTableFieldId="23" dataDxfId="232" dataCellStyle="Comma"/>
    <tableColumn id="24" xr3:uid="{2ECD8D16-C334-44F5-AAC6-234FE9E1C9A6}" uniqueName="24" name="CurrentDebtAndCapitalLeaseObligation" queryTableFieldId="24" dataDxfId="231" dataCellStyle="Comma"/>
    <tableColumn id="25" xr3:uid="{DFB0D430-E327-4DA3-9A20-1D9633725B45}" uniqueName="25" name="CurrentLiabilities" queryTableFieldId="25" dataDxfId="230" dataCellStyle="Comma"/>
    <tableColumn id="26" xr3:uid="{CC99F84C-BB3E-4260-AA8F-21D0C5E9AD89}" uniqueName="26" name="CurrentProvisions" queryTableFieldId="26" dataDxfId="229" dataCellStyle="Comma"/>
    <tableColumn id="27" xr3:uid="{D0693702-6389-451F-9466-0BDE1CF4BA2D}" uniqueName="27" name="GainsLossesNotAffectingRetainedEarnings" queryTableFieldId="27" dataDxfId="228" dataCellStyle="Comma"/>
    <tableColumn id="28" xr3:uid="{09D346AE-9FFC-4373-A83C-2A00BF714756}" uniqueName="28" name="Goodwill" queryTableFieldId="28" dataDxfId="227" dataCellStyle="Comma"/>
    <tableColumn id="29" xr3:uid="{8C0172A0-4313-4A71-9A52-F29DD72D6111}" uniqueName="29" name="GoodwillAndOtherIntangibleAssets" queryTableFieldId="29" dataDxfId="226" dataCellStyle="Comma"/>
    <tableColumn id="30" xr3:uid="{D68BA846-5AA3-43CF-867A-3CD0F735D82C}" uniqueName="30" name="GrossAccountsReceivable" queryTableFieldId="30" dataDxfId="225" dataCellStyle="Comma"/>
    <tableColumn id="31" xr3:uid="{B2E8F715-3C79-4BD9-B86B-11C1AA2BC520}" uniqueName="31" name="GrossPPE" queryTableFieldId="31" dataDxfId="224" dataCellStyle="Comma"/>
    <tableColumn id="32" xr3:uid="{6EB36139-CF58-4622-8241-665F107FF430}" uniqueName="32" name="HeldToMaturitySecurities" queryTableFieldId="32" dataDxfId="223" dataCellStyle="Comma"/>
    <tableColumn id="33" xr3:uid="{10269F05-9688-4E00-A0E0-BCD50FC5BCBA}" uniqueName="33" name="IncomeTaxPayable" queryTableFieldId="33" dataDxfId="222" dataCellStyle="Comma"/>
    <tableColumn id="34" xr3:uid="{C813BCA6-ED67-4909-940E-B6965CCA1F5E}" uniqueName="34" name="InterestPayable" queryTableFieldId="34" dataDxfId="221" dataCellStyle="Comma"/>
    <tableColumn id="35" xr3:uid="{5A467038-676F-4461-93C7-EA79C7060FE7}" uniqueName="35" name="InvestedCapital" queryTableFieldId="35" dataDxfId="220" dataCellStyle="Comma"/>
    <tableColumn id="36" xr3:uid="{179ACBB6-3AFB-4AA8-A305-2D239A23DD81}" uniqueName="36" name="InvestmentinFinancialAssets" queryTableFieldId="36" dataDxfId="219" dataCellStyle="Comma"/>
    <tableColumn id="37" xr3:uid="{0003EE80-7699-436B-B481-6C98662AEF45}" uniqueName="37" name="InvestmentsAndAdvances" queryTableFieldId="37" dataDxfId="218" dataCellStyle="Comma"/>
    <tableColumn id="38" xr3:uid="{1F4BB90F-C843-4337-BBDD-0AF28BAE78AD}" uniqueName="38" name="LandAndImprovements" queryTableFieldId="38" dataDxfId="217" dataCellStyle="Comma"/>
    <tableColumn id="39" xr3:uid="{B020CB3A-1151-42E1-A485-7CC7A15A3D5D}" uniqueName="39" name="Leases" queryTableFieldId="39" dataDxfId="216" dataCellStyle="Comma"/>
    <tableColumn id="40" xr3:uid="{19AE3BFB-7FC2-44C5-A6C0-EA4F94B74DDC}" uniqueName="40" name="LongTermCapitalLeaseObligation" queryTableFieldId="40" dataDxfId="215" dataCellStyle="Comma"/>
    <tableColumn id="41" xr3:uid="{AE04631C-E476-4769-A2C1-D35307BA95D5}" uniqueName="41" name="LongTermDebt" queryTableFieldId="41" dataDxfId="214" dataCellStyle="Comma"/>
    <tableColumn id="42" xr3:uid="{0DEE45DA-F244-4148-8F36-49A8D818B73F}" uniqueName="42" name="LongTermDebtAndCapitalLeaseObligation" queryTableFieldId="42" dataDxfId="213" dataCellStyle="Comma"/>
    <tableColumn id="43" xr3:uid="{42DC334B-C738-4440-966F-161364527851}" uniqueName="43" name="LongTermEquityInvestment" queryTableFieldId="43" dataDxfId="212" dataCellStyle="Comma"/>
    <tableColumn id="44" xr3:uid="{B9CC8145-C041-4285-A423-01A4E18CCD44}" uniqueName="44" name="LongTermProvisions" queryTableFieldId="44" dataDxfId="211" dataCellStyle="Comma"/>
    <tableColumn id="45" xr3:uid="{E1C0DE46-026D-424C-AFE1-2159E377DA5F}" uniqueName="45" name="MachineryFurnitureEquipment" queryTableFieldId="45" dataDxfId="210" dataCellStyle="Comma"/>
    <tableColumn id="46" xr3:uid="{2EFD1E92-3E48-465E-8DF8-86CD1A9A14CC}" uniqueName="46" name="MinorityInterest" queryTableFieldId="46" dataDxfId="209" dataCellStyle="Comma"/>
    <tableColumn id="47" xr3:uid="{6B26AC3F-BDF5-4D91-8015-C821990EFCAD}" uniqueName="47" name="NetDebt" queryTableFieldId="47" dataDxfId="208" dataCellStyle="Comma"/>
    <tableColumn id="48" xr3:uid="{1AE21F8C-7FCC-4D7D-9043-24394FED9E5C}" uniqueName="48" name="NetPPE" queryTableFieldId="48" dataDxfId="207" dataCellStyle="Comma"/>
    <tableColumn id="49" xr3:uid="{152E771F-3B10-42D7-A94F-E4025FEB331B}" uniqueName="49" name="NetTangibleAssets" queryTableFieldId="49" dataDxfId="206" dataCellStyle="Comma"/>
    <tableColumn id="50" xr3:uid="{268E826F-DA36-428B-8272-BAAE42C8FBCA}" uniqueName="50" name="NonCurrentDeferredLiabilities" queryTableFieldId="50" dataDxfId="205" dataCellStyle="Comma"/>
    <tableColumn id="51" xr3:uid="{6EF60AA9-9B73-4C10-BA14-7CC337B7D071}" uniqueName="51" name="NonCurrentDeferredTaxesLiabilities" queryTableFieldId="51" dataDxfId="204" dataCellStyle="Comma"/>
    <tableColumn id="52" xr3:uid="{E50ABCB3-1B34-4648-ADB1-A116078F6C5A}" uniqueName="52" name="NonCurrentNoteReceivables" queryTableFieldId="52" dataDxfId="203" dataCellStyle="Comma"/>
    <tableColumn id="53" xr3:uid="{27AF6432-3A49-4F2B-862D-0BCA7980BB81}" uniqueName="53" name="OrdinarySharesNumber" queryTableFieldId="53" dataDxfId="202" dataCellStyle="Comma"/>
    <tableColumn id="54" xr3:uid="{C5F587BE-EFB7-4583-82B1-B3D240E445D0}" uniqueName="54" name="OtherCurrentAssets" queryTableFieldId="54" dataDxfId="201" dataCellStyle="Comma"/>
    <tableColumn id="55" xr3:uid="{7A0BF615-00FF-473F-B527-6955593A2A86}" uniqueName="55" name="OtherCurrentBorrowings" queryTableFieldId="55" dataDxfId="200" dataCellStyle="Comma"/>
    <tableColumn id="56" xr3:uid="{EE124F8C-5E7C-4629-A8D4-D9CC453078DC}" uniqueName="56" name="OtherCurrentLiabilities" queryTableFieldId="56" dataDxfId="199" dataCellStyle="Comma"/>
    <tableColumn id="57" xr3:uid="{4908F086-486F-4A49-9B06-820004CC0375}" uniqueName="57" name="OtherEquityAdjustments" queryTableFieldId="57" dataDxfId="198" dataCellStyle="Comma"/>
    <tableColumn id="58" xr3:uid="{68C810E3-D7A5-4427-865E-6D63B9B12ABE}" uniqueName="58" name="OtherIntangibleAssets" queryTableFieldId="58" dataDxfId="197" dataCellStyle="Comma"/>
    <tableColumn id="59" xr3:uid="{F4AEE738-0DCA-4B6C-BA37-30589CF0B8AC}" uniqueName="59" name="OtherNonCurrentAssets" queryTableFieldId="59" dataDxfId="196" dataCellStyle="Comma"/>
    <tableColumn id="60" xr3:uid="{2B193244-E50D-48D9-992F-419DE35DEC67}" uniqueName="60" name="OtherNonCurrentLiabilities" queryTableFieldId="60" dataDxfId="195" dataCellStyle="Comma"/>
    <tableColumn id="61" xr3:uid="{6418AE7D-1E6F-4B4D-AB13-028C0049E630}" uniqueName="61" name="OtherPayable" queryTableFieldId="61" dataDxfId="194" dataCellStyle="Comma"/>
    <tableColumn id="62" xr3:uid="{D06A183D-B7A3-4693-BD22-F8F239104B81}" uniqueName="62" name="OtherProperties" queryTableFieldId="62" dataDxfId="193" dataCellStyle="Comma"/>
    <tableColumn id="63" xr3:uid="{F47B4742-3529-4884-9D26-BBF498F94AA2}" uniqueName="63" name="OtherReceivables" queryTableFieldId="63" dataDxfId="192" dataCellStyle="Comma"/>
    <tableColumn id="64" xr3:uid="{A18EA19B-09A4-460A-9DC6-87F32DEC6966}" uniqueName="64" name="OtherShortTermInvestments" queryTableFieldId="64" dataDxfId="191" dataCellStyle="Comma"/>
    <tableColumn id="65" xr3:uid="{A6257908-3749-46D2-90DE-7B4188104966}" uniqueName="65" name="Payables" queryTableFieldId="65" dataDxfId="190" dataCellStyle="Comma"/>
    <tableColumn id="66" xr3:uid="{A7C0025C-1ADA-40F6-BBE0-B446112F092E}" uniqueName="66" name="PayablesAndAccruedExpenses" queryTableFieldId="66" dataDxfId="189" dataCellStyle="Comma"/>
    <tableColumn id="67" xr3:uid="{48E05C2B-DBBA-4003-A712-FA665CA7E2D1}" uniqueName="67" name="PensionandOtherPostRetirementBenefitPlansCurrent" queryTableFieldId="67" dataDxfId="188" dataCellStyle="Comma"/>
    <tableColumn id="68" xr3:uid="{71B618F8-EE13-43FD-A496-82AEBCBFEC1F}" uniqueName="68" name="PreferredSecuritiesOutsideStockEquity" queryTableFieldId="68" dataDxfId="187" dataCellStyle="Comma"/>
    <tableColumn id="69" xr3:uid="{FC93D5F9-02EF-40A3-8A72-3F20FFA94F3F}" uniqueName="69" name="PrepaidAssets" queryTableFieldId="69" dataDxfId="186" dataCellStyle="Comma"/>
    <tableColumn id="70" xr3:uid="{27ED1D0E-25F8-4636-96B5-8CD7D27CDFC0}" uniqueName="70" name="Properties" queryTableFieldId="70" dataDxfId="185" dataCellStyle="Comma"/>
    <tableColumn id="71" xr3:uid="{91E19194-4C02-400D-94FF-36BFCA0C7B5E}" uniqueName="71" name="Receivables" queryTableFieldId="71" dataDxfId="184" dataCellStyle="Comma"/>
    <tableColumn id="72" xr3:uid="{0C8183E2-BC9C-429D-A356-0EDA809C8F6B}" uniqueName="72" name="RestrictedCash" queryTableFieldId="72" dataDxfId="183" dataCellStyle="Comma"/>
    <tableColumn id="73" xr3:uid="{EDCC3E21-7D8B-4630-99F6-4ED5D1E8A402}" uniqueName="73" name="RetainedEarnings" queryTableFieldId="73" dataDxfId="182" dataCellStyle="Comma"/>
    <tableColumn id="74" xr3:uid="{F5F76A68-C4FA-4E58-9A27-AB391F5E913C}" uniqueName="74" name="ShareIssued" queryTableFieldId="74" dataDxfId="181" dataCellStyle="Comma"/>
    <tableColumn id="75" xr3:uid="{53B6A974-CDB7-49EE-873F-31BA8078362A}" uniqueName="75" name="StockholdersEquity" queryTableFieldId="75" dataDxfId="180" dataCellStyle="Comma"/>
    <tableColumn id="76" xr3:uid="{5BCDF760-D06A-4132-8C27-2CC4D47A6434}" uniqueName="76" name="TangibleBookValue" queryTableFieldId="76" dataDxfId="179" dataCellStyle="Comma"/>
    <tableColumn id="77" xr3:uid="{0A9BA68E-3FB0-4105-B3D4-0BD8EBC46393}" uniqueName="77" name="TotalAssets" queryTableFieldId="77" dataDxfId="178" dataCellStyle="Comma"/>
    <tableColumn id="78" xr3:uid="{A78B749B-17B2-452A-B276-8EF171D359D4}" uniqueName="78" name="TotalCapitalization" queryTableFieldId="78" dataDxfId="177" dataCellStyle="Comma"/>
    <tableColumn id="79" xr3:uid="{ECC4B922-8C81-4FD8-B0E8-8E91D3DCCC47}" uniqueName="79" name="TotalDebt" queryTableFieldId="79" dataDxfId="176" dataCellStyle="Comma"/>
    <tableColumn id="80" xr3:uid="{60541088-3C2C-4190-9D56-501CAB8F06FD}" uniqueName="80" name="TotalEquityGrossMinorityInterest" queryTableFieldId="80" dataDxfId="175" dataCellStyle="Comma"/>
    <tableColumn id="81" xr3:uid="{BF7E39A7-A233-47CE-9CCF-CDF96B193D47}" uniqueName="81" name="TotalLiabilitiesNetMinorityInterest" queryTableFieldId="81" dataDxfId="174" dataCellStyle="Comma"/>
    <tableColumn id="82" xr3:uid="{73378F92-61A3-46F3-9E79-9A1850959F49}" uniqueName="82" name="TotalNonCurrentAssets" queryTableFieldId="82" dataDxfId="173" dataCellStyle="Comma"/>
    <tableColumn id="83" xr3:uid="{29289CD8-E464-42FD-AA0C-0AFAB9D118C7}" uniqueName="83" name="TotalNonCurrentLiabilitiesNetMinorityInterest" queryTableFieldId="83" dataDxfId="172" dataCellStyle="Comma"/>
    <tableColumn id="84" xr3:uid="{0B830C16-0BB0-44D1-871E-376D7EF5D343}" uniqueName="84" name="TotalTaxPayable" queryTableFieldId="84" dataDxfId="171" dataCellStyle="Comma"/>
    <tableColumn id="85" xr3:uid="{25D94377-1591-4115-80A5-33B157E23FBC}" uniqueName="85" name="TradeandOtherPayablesNonCurrent" queryTableFieldId="85" dataDxfId="170" dataCellStyle="Comma"/>
    <tableColumn id="86" xr3:uid="{6CD0F523-9432-4E89-B075-C395810DC62A}" uniqueName="86" name="WorkingCapital" queryTableFieldId="86" dataDxfId="169" dataCellStyle="Comma"/>
    <tableColumn id="87" xr3:uid="{A11BF10C-5F3C-4E67-8873-87212265AD94}" uniqueName="87" name="CurrentDeferredLiabilities" queryTableFieldId="87" dataDxfId="168" dataCellStyle="Comma"/>
    <tableColumn id="88" xr3:uid="{CEB2CB74-1A7D-47CC-8222-2B0B88E6E7FC}" uniqueName="88" name="CurrentDeferredRevenue" queryTableFieldId="88" dataDxfId="167" dataCellStyle="Comma"/>
    <tableColumn id="89" xr3:uid="{9D640CE1-0FCA-42D4-B218-60D0F37D4EA6}" uniqueName="89" name="EmployeeBenefits" queryTableFieldId="89" dataDxfId="166" dataCellStyle="Comma"/>
    <tableColumn id="90" xr3:uid="{B17F4F41-E651-46BB-8A1D-F26661B12878}" uniqueName="90" name="FinishedGoods" queryTableFieldId="90" dataDxfId="165" dataCellStyle="Comma"/>
    <tableColumn id="91" xr3:uid="{EAC22387-B9AE-4F5E-BC29-EC53C1839662}" uniqueName="91" name="Inventory" queryTableFieldId="91" dataDxfId="164" dataCellStyle="Comma"/>
    <tableColumn id="92" xr3:uid="{0027253D-3B8E-4E31-A094-A27D41039BE9}" uniqueName="92" name="NonCurrentDeferredAssets" queryTableFieldId="92" dataDxfId="163" dataCellStyle="Comma"/>
    <tableColumn id="93" xr3:uid="{91D9E8D5-EF59-47D5-9FAE-39FEA5AFEAEC}" uniqueName="93" name="NonCurrentDeferredTaxesAssets" queryTableFieldId="93" dataDxfId="162" dataCellStyle="Comma"/>
    <tableColumn id="94" xr3:uid="{B60AFEC0-2EE6-4399-9570-DFD4D8F1170C}" uniqueName="94" name="NonCurrentPensionAndOtherPostretirementBenefitPlans" queryTableFieldId="94" dataDxfId="161" dataCellStyle="Comma"/>
    <tableColumn id="129" xr3:uid="{3C92DE74-10B3-452C-8E60-D38839518997}" uniqueName="129" name="LoansReceivable" queryTableFieldId="536" dataCellStyle="Comma"/>
    <tableColumn id="95" xr3:uid="{E80C3A48-D785-409C-A5EC-7B498BA5EE04}" uniqueName="95" name="RawMaterials" queryTableFieldId="95" dataDxfId="160" dataCellStyle="Comma"/>
    <tableColumn id="96" xr3:uid="{534AA247-30EC-4376-AF94-11868172DFE6}" uniqueName="96" name="WorkInProcess" queryTableFieldId="96" dataDxfId="159" dataCellStyle="Comma"/>
    <tableColumn id="97" xr3:uid="{46124FF4-21B2-4090-B3B8-AFA85E4912AE}" uniqueName="97" name="CashEquivalents" queryTableFieldId="97" dataDxfId="158" dataCellStyle="Comma"/>
    <tableColumn id="98" xr3:uid="{91853371-D8B5-48C4-BEE2-013A6CEA2A34}" uniqueName="98" name="CashFinancial" queryTableFieldId="98" dataDxfId="157" dataCellStyle="Comma"/>
    <tableColumn id="130" xr3:uid="{469A522A-C190-41FF-9821-F6E2E831F17F}" uniqueName="130" name="TradingSecurities" queryTableFieldId="537" dataCellStyle="Comma"/>
    <tableColumn id="99" xr3:uid="{A37D914E-7FCD-4C91-8CB0-FFAD1610D187}" uniqueName="99" name="HedgingAssetsCurrent" queryTableFieldId="99" dataDxfId="156" dataCellStyle="Comma"/>
    <tableColumn id="100" xr3:uid="{527A63B0-09B1-4F45-A21C-B875B8F4D8A2}" uniqueName="100" name="NonCurrentDeferredRevenue" queryTableFieldId="100" dataDxfId="155" dataCellStyle="Comma"/>
    <tableColumn id="101" xr3:uid="{04B7A1CC-688B-4942-A455-03FBF48FEECC}" uniqueName="101" name="CommercialPaper" queryTableFieldId="101" dataDxfId="154" dataCellStyle="Comma"/>
    <tableColumn id="131" xr3:uid="{08092A04-7C9D-424A-B8A8-A6B9E3451F73}" uniqueName="131" name="AccruedInterestReceivable" queryTableFieldId="538" dataCellStyle="Comma"/>
    <tableColumn id="137" xr3:uid="{6B7392E2-318D-493D-85D2-0C2E66BBF717}" uniqueName="137" name="DuefromRelatedPartiesCurrent" queryTableFieldId="524" dataDxfId="153" dataCellStyle="Comma"/>
    <tableColumn id="102" xr3:uid="{855FADA2-2B84-42C3-AA31-792FF45499D7}" uniqueName="102" name="CurrentNotesPayable" queryTableFieldId="102" dataDxfId="152" dataCellStyle="Comma"/>
    <tableColumn id="103" xr3:uid="{D79CB9D6-F60D-48EA-B2DE-0A93230955D7}" uniqueName="103" name="DividendsPayable" queryTableFieldId="103" dataDxfId="151" dataCellStyle="Comma"/>
    <tableColumn id="104" xr3:uid="{D6D06C67-6C94-4110-8519-5DDF460A2E89}" uniqueName="104" name="ForeignCurrencyTranslationAdjustments" queryTableFieldId="104" dataDxfId="150" dataCellStyle="Comma"/>
    <tableColumn id="132" xr3:uid="{A10B6D52-92D6-444E-8365-BB2B0975E58F}" uniqueName="132" name="ReceivablesAdjustmentsAllowances" queryTableFieldId="539" dataCellStyle="Comma"/>
    <tableColumn id="105" xr3:uid="{2112D982-EB06-412E-86AB-42CCAD0CDCC0}" uniqueName="105" name="InvestmentsinAssociatesatCost" queryTableFieldId="105" dataDxfId="149" dataCellStyle="Comma"/>
    <tableColumn id="144" xr3:uid="{817CA8DB-C8DB-49E0-AF9F-37D64D858B85}" uniqueName="144" name="asOfYear" queryTableFieldId="218" dataDxfId="148" dataCellStyle="Comma"/>
    <tableColumn id="106" xr3:uid="{DDE5FEEF-437B-4CAB-A96E-930D580A4081}" uniqueName="106" name="LineOfCredit" queryTableFieldId="106" dataDxfId="147" dataCellStyle="Comma"/>
    <tableColumn id="107" xr3:uid="{ECAABDFA-13DA-481F-BCB6-FCD5471A37E2}" uniqueName="107" name="MinimumPensionLiabilities" queryTableFieldId="107" dataDxfId="146" dataCellStyle="Comma"/>
    <tableColumn id="108" xr3:uid="{4F816C06-1972-4DD1-88F6-045DDD815737}" uniqueName="108" name="PreferredSharesNumber" queryTableFieldId="108" dataDxfId="145" dataCellStyle="Comma"/>
    <tableColumn id="109" xr3:uid="{192C10B5-0ADA-4A76-A798-E94A4F3E9CA6}" uniqueName="109" name="PreferredStock" queryTableFieldId="109" dataDxfId="144" dataCellStyle="Comma"/>
    <tableColumn id="110" xr3:uid="{1DD966AD-3B6B-4C89-BF68-1101B290D526}" uniqueName="110" name="TreasurySharesNumber" queryTableFieldId="110" dataDxfId="143" dataCellStyle="Comma"/>
    <tableColumn id="111" xr3:uid="{6F09F17F-8F9C-46DC-8ADA-40D91075E97A}" uniqueName="111" name="TreasuryStock" queryTableFieldId="111" dataDxfId="142" dataCellStyle="Comma"/>
    <tableColumn id="112" xr3:uid="{704FB385-77BB-435B-8623-02BCC0A20DC7}" uniqueName="112" name="UnrealizedGainLoss" queryTableFieldId="112" dataDxfId="141" dataCellStyle="Comma"/>
    <tableColumn id="113" xr3:uid="{104B34EB-01A2-4C87-AB83-608DFA198B2F}" uniqueName="113" name="DefinedPensionBenefit" queryTableFieldId="113" dataDxfId="140" dataCellStyle="Comma"/>
    <tableColumn id="114" xr3:uid="{4FE355A7-9D47-4DE8-9283-4ECE88502B29}" uniqueName="114" name="NonCurrentAccountsReceivable" queryTableFieldId="114" dataDxfId="139" dataCellStyle="Comma"/>
    <tableColumn id="115" xr3:uid="{41317E99-1BC8-4074-AF35-F9C9DCCC2642}" uniqueName="115" name="OtherInventories" queryTableFieldId="115" dataDxfId="138" dataCellStyle="Comma"/>
    <tableColumn id="116" xr3:uid="{C10044EE-1C97-47FD-A715-62B6AF568874}" uniqueName="116" name="OtherInvestments" queryTableFieldId="116" dataDxfId="137" dataCellStyle="Comma"/>
    <tableColumn id="117" xr3:uid="{ED0364C0-2215-4A4A-8A9B-01535D031D4B}" uniqueName="117" name="TaxesReceivable" queryTableFieldId="117" dataDxfId="136" dataCellStyle="Comma"/>
    <tableColumn id="118" xr3:uid="{0E97011D-5394-4E71-A9E4-A0E0C0A0C064}" uniqueName="118" name="CurrentDeferredAssets" queryTableFieldId="118" dataDxfId="135" dataCellStyle="Comma"/>
    <tableColumn id="119" xr3:uid="{E013E1D7-4C38-42C4-B871-56C635922350}" uniqueName="119" name="DerivativeProductLiabilities" queryTableFieldId="119" dataDxfId="134" dataCellStyle="Comma"/>
    <tableColumn id="120" xr3:uid="{4F8FF7BD-B8BC-41B4-9DAD-339364738E96}" uniqueName="120" name="FinancialAssets" queryTableFieldId="120" dataDxfId="133" dataCellStyle="Comma"/>
    <tableColumn id="121" xr3:uid="{A8F9B25C-3346-4B80-977E-10D222B27636}" uniqueName="121" name="InvestmentsInOtherVenturesUnderEquityMethod" queryTableFieldId="121" dataDxfId="132" dataCellStyle="Comma"/>
    <tableColumn id="122" xr3:uid="{67563250-9DB6-4F58-837E-5EFFE7BA83C8}" uniqueName="122" name="LiabilitiesHeldforSaleNonCurrent" queryTableFieldId="122" dataDxfId="131" dataCellStyle="Comma"/>
    <tableColumn id="123" xr3:uid="{A840766E-1F2C-4D1F-B016-330F1C69350A}" uniqueName="123" name="NonCurrentAccruedExpenses" queryTableFieldId="123" dataDxfId="130" dataCellStyle="Comma"/>
    <tableColumn id="124" xr3:uid="{F5D75B30-C285-493C-9B76-AD7B82D2C97E}" uniqueName="124" name="NonCurrentPrepaidAssets" queryTableFieldId="124" dataDxfId="129" dataCellStyle="Comma"/>
    <tableColumn id="125" xr3:uid="{FF203212-4EC8-4203-B32A-27B8794C1F3E}" uniqueName="125" name="OtherEquityInterest" queryTableFieldId="125" dataDxfId="128" dataCellStyle="Comma"/>
    <tableColumn id="126" xr3:uid="{401D0338-B441-40B5-A7EA-706EF07DE2AF}" uniqueName="126" name="InventoriesAdjustmentsAllowances" queryTableFieldId="126" dataDxfId="127" dataCellStyle="Comma"/>
    <tableColumn id="127" xr3:uid="{B883B980-6205-466A-98AC-51B5A07AD3C7}" uniqueName="127" name="Ticker" queryTableFieldId="127" dataDxfId="34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2826AA-B0CA-4588-885E-FA6A28C5B227}" name="CashFlow" displayName="CashFlow" ref="A1:CU65" tableType="queryTable" totalsRowShown="0">
  <autoFilter ref="A1:CU65" xr:uid="{FF2826AA-B0CA-4588-885E-FA6A28C5B227}"/>
  <tableColumns count="99">
    <tableColumn id="1" xr3:uid="{8B871FFD-99CF-4D73-8629-A95B95F037FA}" uniqueName="1" name="id" queryTableFieldId="1" dataDxfId="345"/>
    <tableColumn id="2" xr3:uid="{510B7206-BE54-45F7-A54A-7AC5CB9C8E74}" uniqueName="2" name="asOfDate" queryTableFieldId="2" dataDxfId="126"/>
    <tableColumn id="96" xr3:uid="{FF2DE0D8-527F-4D21-97BA-BE5937F5F517}" uniqueName="96" name="Year" queryTableFieldId="96"/>
    <tableColumn id="3" xr3:uid="{EC71A983-7408-46BC-8157-2261A0C4A4EB}" uniqueName="3" name="periodType" queryTableFieldId="3" dataDxfId="344"/>
    <tableColumn id="4" xr3:uid="{2F7CE576-BEC7-4AB2-A87E-0517CA54D039}" uniqueName="4" name="currencyCode" queryTableFieldId="4" dataDxfId="343"/>
    <tableColumn id="5" xr3:uid="{15A2AD42-6697-45DB-B56A-F3BAE90B5F64}" uniqueName="5" name="AssetImpairmentCharge" queryTableFieldId="5" dataDxfId="125" dataCellStyle="Comma"/>
    <tableColumn id="6" xr3:uid="{DA992776-E129-4093-BF96-6F95380FC920}" uniqueName="6" name="BeginningCashPosition" queryTableFieldId="6" dataDxfId="124" dataCellStyle="Comma"/>
    <tableColumn id="7" xr3:uid="{2541234D-9D2C-47D4-A0B8-8E77DCD8AE9A}" uniqueName="7" name="CapitalExpenditure" queryTableFieldId="7" dataDxfId="123" dataCellStyle="Comma"/>
    <tableColumn id="8" xr3:uid="{B62571A0-EEFD-48CD-BB1D-E9D844955F15}" uniqueName="8" name="CashFlowFromContinuingFinancingActivities" queryTableFieldId="8" dataDxfId="122" dataCellStyle="Comma"/>
    <tableColumn id="9" xr3:uid="{A2EF96D4-9626-4FD0-AE84-2357B1EBC26C}" uniqueName="9" name="CashFlowFromContinuingInvestingActivities" queryTableFieldId="9" dataDxfId="121" dataCellStyle="Comma"/>
    <tableColumn id="10" xr3:uid="{764E67C2-3698-4919-A43F-3670EC89FBB7}" uniqueName="10" name="CashFlowFromContinuingOperatingActivities" queryTableFieldId="10" dataDxfId="120" dataCellStyle="Comma"/>
    <tableColumn id="11" xr3:uid="{B40BFC36-932F-4BFF-8B3E-CF8F402AA482}" uniqueName="11" name="ChangeInAccountPayable" queryTableFieldId="11" dataDxfId="119" dataCellStyle="Comma"/>
    <tableColumn id="12" xr3:uid="{B3A0F674-0FC1-4176-B20B-E110AD2FF882}" uniqueName="12" name="ChangeInAccruedExpense" queryTableFieldId="12" dataDxfId="118" dataCellStyle="Comma"/>
    <tableColumn id="13" xr3:uid="{822D6D73-2FC3-46B1-B4A4-5228374F047F}" uniqueName="13" name="ChangeInCashSupplementalAsReported" queryTableFieldId="13" dataDxfId="117" dataCellStyle="Comma"/>
    <tableColumn id="14" xr3:uid="{86B7DC1B-7BFB-4293-B4B2-FEC1DC87D54D}" uniqueName="14" name="ChangeInOtherCurrentAssets" queryTableFieldId="14" dataDxfId="116" dataCellStyle="Comma"/>
    <tableColumn id="15" xr3:uid="{BA4ED4AA-6AD4-40D6-9EF9-D9BDCC2A3930}" uniqueName="15" name="ChangeInOtherCurrentLiabilities" queryTableFieldId="15" dataDxfId="115" dataCellStyle="Comma"/>
    <tableColumn id="16" xr3:uid="{0DEF3D12-9A42-47DC-97E1-DA5923B433CA}" uniqueName="16" name="ChangeInOtherWorkingCapital" queryTableFieldId="16" dataDxfId="114" dataCellStyle="Comma"/>
    <tableColumn id="17" xr3:uid="{ADF19EBF-8CA6-4ECA-8E4C-AD0F6EF52638}" uniqueName="17" name="ChangeInPayable" queryTableFieldId="17" dataDxfId="113" dataCellStyle="Comma"/>
    <tableColumn id="18" xr3:uid="{25728BA7-9C39-4D5D-971D-10F39E41AC2E}" uniqueName="18" name="ChangeInPayablesAndAccruedExpense" queryTableFieldId="18" dataDxfId="112" dataCellStyle="Comma"/>
    <tableColumn id="19" xr3:uid="{8392CC21-048B-46CA-AEC9-EDAF9666CAB5}" uniqueName="19" name="ChangeInPrepaidAssets" queryTableFieldId="19" dataDxfId="111" dataCellStyle="Comma"/>
    <tableColumn id="20" xr3:uid="{285379D0-299E-4226-A2F0-F672E7278E81}" uniqueName="20" name="ChangeInReceivables" queryTableFieldId="20" dataDxfId="110" dataCellStyle="Comma"/>
    <tableColumn id="21" xr3:uid="{EB5B9072-3C45-4E3D-9B69-B2D3FF692FEE}" uniqueName="21" name="ChangeInWorkingCapital" queryTableFieldId="21" dataDxfId="109" dataCellStyle="Comma"/>
    <tableColumn id="22" xr3:uid="{286DCA2D-07F1-4886-AAD4-5451D15A73F2}" uniqueName="22" name="ChangesInAccountReceivables" queryTableFieldId="22" dataDxfId="108" dataCellStyle="Comma"/>
    <tableColumn id="23" xr3:uid="{A8B0890B-72C1-4092-AC65-A0A7F3AB6E95}" uniqueName="23" name="ChangesInCash" queryTableFieldId="23" dataDxfId="107" dataCellStyle="Comma"/>
    <tableColumn id="24" xr3:uid="{5329B720-527C-477F-9E11-4F3789474608}" uniqueName="24" name="CommonStockIssuance" queryTableFieldId="24" dataDxfId="106" dataCellStyle="Comma"/>
    <tableColumn id="25" xr3:uid="{72DF4089-112C-477E-88EF-14914C2415CE}" uniqueName="25" name="CommonStockPayments" queryTableFieldId="25" dataDxfId="105" dataCellStyle="Comma"/>
    <tableColumn id="26" xr3:uid="{3936887A-3978-42D5-ABE7-FD745353409B}" uniqueName="26" name="DeferredIncomeTax" queryTableFieldId="26" dataDxfId="104" dataCellStyle="Comma"/>
    <tableColumn id="27" xr3:uid="{C778C993-3365-46CF-AE5D-F61981C2DF50}" uniqueName="27" name="DeferredTax" queryTableFieldId="27" dataDxfId="103" dataCellStyle="Comma"/>
    <tableColumn id="28" xr3:uid="{F88DD6D2-FA5C-4AA5-B469-38CC59CB9320}" uniqueName="28" name="DepreciationAmortizationDepletion" queryTableFieldId="28" dataDxfId="102" dataCellStyle="Comma"/>
    <tableColumn id="29" xr3:uid="{7EE015E8-5453-4FD8-85EF-010C23879BBD}" uniqueName="29" name="DepreciationAndAmortization" queryTableFieldId="29" dataDxfId="101" dataCellStyle="Comma"/>
    <tableColumn id="30" xr3:uid="{B302CF58-1085-47F1-B218-CD18E32782E4}" uniqueName="30" name="EarningsLossesFromEquityInvestments" queryTableFieldId="30" dataDxfId="100" dataCellStyle="Comma"/>
    <tableColumn id="31" xr3:uid="{E80D12C9-3FAE-4120-8DAC-2876BBB4817D}" uniqueName="31" name="EffectOfExchangeRateChanges" queryTableFieldId="31" dataDxfId="99" dataCellStyle="Comma"/>
    <tableColumn id="32" xr3:uid="{1F6640DB-090B-4918-AC1F-BDFB085BDE1C}" uniqueName="32" name="EndCashPosition" queryTableFieldId="32" dataDxfId="98" dataCellStyle="Comma"/>
    <tableColumn id="33" xr3:uid="{29A017C0-0C3B-4169-A883-B0331111B90E}" uniqueName="33" name="FinancingCashFlow" queryTableFieldId="33" dataDxfId="97" dataCellStyle="Comma"/>
    <tableColumn id="34" xr3:uid="{2B40506B-42F3-4090-AD7C-75284302D99A}" uniqueName="34" name="FreeCashFlow" queryTableFieldId="34" dataDxfId="96" dataCellStyle="Comma"/>
    <tableColumn id="35" xr3:uid="{BE84B275-65C2-4F37-BFCE-4143E9DE741F}" uniqueName="35" name="GainLossOnInvestmentSecurities" queryTableFieldId="35" dataDxfId="95" dataCellStyle="Comma"/>
    <tableColumn id="36" xr3:uid="{F53B1DBF-5109-4EE1-A139-90B631E32320}" uniqueName="36" name="GainLossOnSaleOfBusiness" queryTableFieldId="36" dataDxfId="94" dataCellStyle="Comma"/>
    <tableColumn id="37" xr3:uid="{E52C8D01-77B9-41E3-8B36-C2B7793D68D4}" uniqueName="37" name="IncomeTaxPaidSupplementalData" queryTableFieldId="37" dataDxfId="93" dataCellStyle="Comma"/>
    <tableColumn id="38" xr3:uid="{68F5F80E-4F73-450B-8562-5C96C027A69E}" uniqueName="38" name="InterestPaidSupplementalData" queryTableFieldId="38" dataDxfId="92" dataCellStyle="Comma"/>
    <tableColumn id="39" xr3:uid="{AF2EFA3A-596D-42D8-8D8F-C72DF8757BC8}" uniqueName="39" name="InvestingCashFlow" queryTableFieldId="39" dataDxfId="91" dataCellStyle="Comma"/>
    <tableColumn id="40" xr3:uid="{0C7F2614-1881-4808-A635-FAF4A3A95517}" uniqueName="40" name="IssuanceOfCapitalStock" queryTableFieldId="40" dataDxfId="90" dataCellStyle="Comma"/>
    <tableColumn id="41" xr3:uid="{0ABD42AB-0854-4919-ACE3-E488043D65E0}" uniqueName="41" name="IssuanceOfDebt" queryTableFieldId="41" dataDxfId="89" dataCellStyle="Comma"/>
    <tableColumn id="42" xr3:uid="{93D757CD-AC20-472D-A629-19FEF1459DE6}" uniqueName="42" name="LongTermDebtIssuance" queryTableFieldId="42" dataDxfId="88" dataCellStyle="Comma"/>
    <tableColumn id="43" xr3:uid="{7326C604-698D-40D5-A8E3-6F1F3A29B9C3}" uniqueName="43" name="LongTermDebtPayments" queryTableFieldId="43" dataDxfId="87" dataCellStyle="Comma"/>
    <tableColumn id="44" xr3:uid="{5A36D6EE-6C10-4B92-A4C9-0C1DFD2D8992}" uniqueName="44" name="NetBusinessPurchaseAndSale" queryTableFieldId="44" dataDxfId="86" dataCellStyle="Comma"/>
    <tableColumn id="45" xr3:uid="{F994966D-07C6-443C-9C90-62A48646F5D6}" uniqueName="45" name="NetCommonStockIssuance" queryTableFieldId="45" dataDxfId="85" dataCellStyle="Comma"/>
    <tableColumn id="46" xr3:uid="{196279F0-188E-40A9-BBD0-18203013A4DF}" uniqueName="46" name="NetForeignCurrencyExchangeGainLoss" queryTableFieldId="46" dataDxfId="84" dataCellStyle="Comma"/>
    <tableColumn id="47" xr3:uid="{B8097107-97EB-405D-8D4F-FF377F66295C}" uniqueName="47" name="NetIncome" queryTableFieldId="47" dataDxfId="83" dataCellStyle="Comma"/>
    <tableColumn id="48" xr3:uid="{0EDD0450-121D-48FC-8EA0-FC9DC34A7C7C}" uniqueName="48" name="NetIncomeFromContinuingOperations" queryTableFieldId="48" dataDxfId="82" dataCellStyle="Comma"/>
    <tableColumn id="49" xr3:uid="{6E19CA9F-34F7-4EA6-940B-49E3643C5555}" uniqueName="49" name="NetInvestmentPurchaseAndSale" queryTableFieldId="49" dataDxfId="81" dataCellStyle="Comma"/>
    <tableColumn id="50" xr3:uid="{E60EF7E5-F688-4C7E-8B1F-10FF92A76DDC}" uniqueName="50" name="NetIssuancePaymentsOfDebt" queryTableFieldId="50" dataDxfId="80" dataCellStyle="Comma"/>
    <tableColumn id="51" xr3:uid="{A7DEA2D4-15B8-4766-B7D4-236243BDEEB1}" uniqueName="51" name="NetLongTermDebtIssuance" queryTableFieldId="51" dataDxfId="79" dataCellStyle="Comma"/>
    <tableColumn id="52" xr3:uid="{F5BBA2EB-0A9E-4DE3-93E0-DF4AA6BCF4D0}" uniqueName="52" name="NetOtherFinancingCharges" queryTableFieldId="52" dataDxfId="78" dataCellStyle="Comma"/>
    <tableColumn id="53" xr3:uid="{5AD797A7-2B64-40D7-9422-A71F7659A96D}" uniqueName="53" name="NetOtherInvestingChanges" queryTableFieldId="53" dataDxfId="77" dataCellStyle="Comma"/>
    <tableColumn id="54" xr3:uid="{A9B2F33C-4F85-4478-B809-42054B95A3AD}" uniqueName="54" name="NetPPEPurchaseAndSale" queryTableFieldId="54" dataDxfId="76" dataCellStyle="Comma"/>
    <tableColumn id="55" xr3:uid="{5C2AE14C-EC95-4901-9A79-345EA75C5A61}" uniqueName="55" name="NetPreferredStockIssuance" queryTableFieldId="55" dataDxfId="75" dataCellStyle="Comma"/>
    <tableColumn id="107" xr3:uid="{C634B7FA-861B-4BC6-A206-237C981E9438}" uniqueName="107" name="AmortizationOfSecurities" queryTableFieldId="732" dataDxfId="74" dataCellStyle="Comma"/>
    <tableColumn id="56" xr3:uid="{E10B3276-FEAF-44F8-89E9-F8D66FF55D81}" uniqueName="56" name="OperatingCashFlow" queryTableFieldId="56" dataDxfId="73" dataCellStyle="Comma"/>
    <tableColumn id="57" xr3:uid="{F8E2F713-C99E-4998-9E62-802B4419EBBF}" uniqueName="57" name="OperatingGainsLosses" queryTableFieldId="57" dataDxfId="72" dataCellStyle="Comma"/>
    <tableColumn id="58" xr3:uid="{E5B38297-4D30-49F4-929C-D6C35BF56CBE}" uniqueName="58" name="OtherCashAdjustmentOutsideChangeinCash" queryTableFieldId="58" dataDxfId="71" dataCellStyle="Comma"/>
    <tableColumn id="59" xr3:uid="{2F50C140-64AF-46E0-824A-07FB3AA8EC52}" uniqueName="59" name="OtherNonCashItems" queryTableFieldId="59" dataDxfId="70" dataCellStyle="Comma"/>
    <tableColumn id="60" xr3:uid="{DB42474C-3D9A-4BCE-8FF4-0A079C95DFA5}" uniqueName="60" name="PreferredStockIssuance" queryTableFieldId="60" dataDxfId="69" dataCellStyle="Comma"/>
    <tableColumn id="61" xr3:uid="{795C54AE-29F4-4474-BF2B-8927D02EB9F4}" uniqueName="61" name="ProceedsFromStockOptionExercised" queryTableFieldId="61" dataDxfId="68" dataCellStyle="Comma"/>
    <tableColumn id="62" xr3:uid="{853F2737-EAF4-42E7-934E-1E9262F546DD}" uniqueName="62" name="PurchaseOfBusiness" queryTableFieldId="62" dataDxfId="67" dataCellStyle="Comma"/>
    <tableColumn id="63" xr3:uid="{8DFC3BDA-5912-4799-A5BF-5120834CFEA2}" uniqueName="63" name="PurchaseOfInvestment" queryTableFieldId="63" dataDxfId="66" dataCellStyle="Comma"/>
    <tableColumn id="64" xr3:uid="{7F844C34-849C-48C8-B23A-A565ADC3B55F}" uniqueName="64" name="PurchaseOfPPE" queryTableFieldId="64" dataDxfId="65" dataCellStyle="Comma"/>
    <tableColumn id="65" xr3:uid="{3F2E5621-85AB-49AB-B211-4CD39273277B}" uniqueName="65" name="RepaymentOfDebt" queryTableFieldId="65" dataDxfId="64" dataCellStyle="Comma"/>
    <tableColumn id="66" xr3:uid="{26D27BC5-D37E-41CA-8EE1-62AEB85EF3A5}" uniqueName="66" name="RepurchaseOfCapitalStock" queryTableFieldId="66" dataDxfId="63" dataCellStyle="Comma"/>
    <tableColumn id="67" xr3:uid="{D6D7E2CB-8075-4E18-8019-5630D91D0A12}" uniqueName="67" name="SaleOfBusiness" queryTableFieldId="67" dataDxfId="62" dataCellStyle="Comma"/>
    <tableColumn id="68" xr3:uid="{AE0DAD2F-30ED-41E7-89D7-15D642330AB1}" uniqueName="68" name="SaleOfInvestment" queryTableFieldId="68" dataDxfId="61" dataCellStyle="Comma"/>
    <tableColumn id="69" xr3:uid="{7E927533-62E0-4512-B49C-52EAD65A1ECB}" uniqueName="69" name="SaleOfPPE" queryTableFieldId="69" dataDxfId="60" dataCellStyle="Comma"/>
    <tableColumn id="70" xr3:uid="{98D8D2C9-A6B3-43AB-B705-EF1F117679CF}" uniqueName="70" name="StockBasedCompensation" queryTableFieldId="70" dataDxfId="59" dataCellStyle="Comma"/>
    <tableColumn id="71" xr3:uid="{68F76320-E08A-493A-AC3C-3C832FD1BE0A}" uniqueName="71" name="UnrealizedGainLossOnInvestmentSecurities" queryTableFieldId="71" dataDxfId="58" dataCellStyle="Comma"/>
    <tableColumn id="72" xr3:uid="{55A457A2-C2F4-4CEB-B941-B781DA2AF5CF}" uniqueName="72" name="AmortizationCashFlow" queryTableFieldId="72" dataDxfId="57" dataCellStyle="Comma"/>
    <tableColumn id="73" xr3:uid="{1295F989-A037-4D7C-9A79-A858FD040E5C}" uniqueName="73" name="AmortizationOfIntangibles" queryTableFieldId="73" dataDxfId="56" dataCellStyle="Comma"/>
    <tableColumn id="74" xr3:uid="{221A9CD7-599C-4A49-9B0E-EB32211E50B4}" uniqueName="74" name="CapitalExpenditureReported" queryTableFieldId="74" dataDxfId="55" dataCellStyle="Comma"/>
    <tableColumn id="75" xr3:uid="{17AED7A9-A6DC-4576-A393-5211B8EDC0A7}" uniqueName="75" name="CashDividendsPaid" queryTableFieldId="75" dataDxfId="54" dataCellStyle="Comma"/>
    <tableColumn id="76" xr3:uid="{14516081-C08B-43FB-A1E5-DE0D45497148}" uniqueName="76" name="ChangeInIncomeTaxPayable" queryTableFieldId="76" dataDxfId="53" dataCellStyle="Comma"/>
    <tableColumn id="77" xr3:uid="{E66EA05C-B533-4A6F-8E5D-B2BC97D5F875}" uniqueName="77" name="ChangeInInventory" queryTableFieldId="77" dataDxfId="52" dataCellStyle="Comma"/>
    <tableColumn id="78" xr3:uid="{6DEF7E22-F008-46E9-8DD7-C9CD343859A6}" uniqueName="78" name="ChangeInTaxPayable" queryTableFieldId="78" dataDxfId="51" dataCellStyle="Comma"/>
    <tableColumn id="79" xr3:uid="{3D397321-1E2C-468B-9F77-8D32ED4587E5}" uniqueName="79" name="CommonStockDividendPaid" queryTableFieldId="79" dataDxfId="50" dataCellStyle="Comma"/>
    <tableColumn id="80" xr3:uid="{6F5181A1-62A0-44ED-9902-9D6A18038CD8}" uniqueName="80" name="Depreciation" queryTableFieldId="80" dataDxfId="49" dataCellStyle="Comma"/>
    <tableColumn id="81" xr3:uid="{40716AF3-6E18-4CE9-9F4A-4E0FB72D7D08}" uniqueName="81" name="GainLossOnSaleOfPPE" queryTableFieldId="81" dataDxfId="48" dataCellStyle="Comma"/>
    <tableColumn id="82" xr3:uid="{EFD71E46-72CE-4B8A-B0EE-C93E8D15042F}" uniqueName="82" name="NetShortTermDebtIssuance" queryTableFieldId="82" dataDxfId="47" dataCellStyle="Comma"/>
    <tableColumn id="83" xr3:uid="{D98F8E3C-4FC6-40AF-91FF-273273EBFC9A}" uniqueName="83" name="PensionAndEmployeeBenefitExpense" queryTableFieldId="83" dataDxfId="46" dataCellStyle="Comma"/>
    <tableColumn id="106" xr3:uid="{FB13049A-A4F1-405A-9AD7-B7B1BA38899F}" uniqueName="106" name="ChangeInInterestPayable" queryTableFieldId="731" dataDxfId="45" dataCellStyle="Comma"/>
    <tableColumn id="84" xr3:uid="{E7D44DC6-AB85-4178-B735-9D4B89CE72EF}" uniqueName="84" name="ShortTermDebtIssuance" queryTableFieldId="84" dataDxfId="44" dataCellStyle="Comma"/>
    <tableColumn id="85" xr3:uid="{0E1D80F4-5E6D-419E-9668-3062B1A5A88A}" uniqueName="85" name="ShortTermDebtPayments" queryTableFieldId="85" dataDxfId="43" dataCellStyle="Comma"/>
    <tableColumn id="110" xr3:uid="{A9F6FB11-7C91-4080-93E3-45DBFB50EF42}" uniqueName="110" name="asOfYear" queryTableFieldId="138" dataDxfId="42" dataCellStyle="Comma"/>
    <tableColumn id="86" xr3:uid="{758BEDB2-9930-4101-9A68-20655F480011}" uniqueName="86" name="CashFromDiscontinuedFinancingActivities" queryTableFieldId="86" dataDxfId="41" dataCellStyle="Comma"/>
    <tableColumn id="87" xr3:uid="{F25C84C0-8187-41DB-AF48-C8B722980CC8}" uniqueName="87" name="CashFromDiscontinuedInvestingActivities" queryTableFieldId="87" dataDxfId="40" dataCellStyle="Comma"/>
    <tableColumn id="88" xr3:uid="{958C9FB9-D4FF-4669-993A-52233B200335}" uniqueName="88" name="CashFromDiscontinuedOperatingActivities" queryTableFieldId="88" dataDxfId="39" dataCellStyle="Comma"/>
    <tableColumn id="89" xr3:uid="{FA782042-D090-4518-A7C5-C05DBADF7EC9}" uniqueName="89" name="DividendsReceivedCFI" queryTableFieldId="89" dataDxfId="38" dataCellStyle="Comma"/>
    <tableColumn id="90" xr3:uid="{8CA48E9D-F191-4744-8278-C6626F90A394}" uniqueName="90" name="PreferredStockDividendPaid" queryTableFieldId="90" dataDxfId="37" dataCellStyle="Comma"/>
    <tableColumn id="91" xr3:uid="{F04B3958-EF7D-41D6-AF9B-FA13D369170C}" uniqueName="91" name="PreferredStockPayments" queryTableFieldId="91" dataDxfId="36" dataCellStyle="Comma"/>
    <tableColumn id="92" xr3:uid="{C6E273FC-B776-4DBB-9AC6-A8CD7FCAE795}" uniqueName="92" name="ProvisionandWriteOffofAssets" queryTableFieldId="92" dataDxfId="35" dataCellStyle="Comma"/>
    <tableColumn id="93" xr3:uid="{23EB33CC-2CFB-4EE6-92E8-9E1C9EB733FB}" uniqueName="93" name="NetIntangiblesPurchaseAndSale" queryTableFieldId="93" dataDxfId="34" dataCellStyle="Comma"/>
    <tableColumn id="94" xr3:uid="{8EF45EC5-E6C4-4E79-A5D5-28EC7BF0FFA3}" uniqueName="94" name="PurchaseOfIntangibles" queryTableFieldId="94" dataDxfId="33" dataCellStyle="Comma"/>
    <tableColumn id="95" xr3:uid="{82E0A9F2-D609-40B5-86C5-E53C524AB8B2}" uniqueName="95" name="Ticker" queryTableFieldId="95" dataDxfId="34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B8DD92-4909-48EC-94EC-7945C9860563}" name="MetaData" displayName="MetaData" ref="A1:AV11" tableType="queryTable" totalsRowShown="0">
  <autoFilter ref="A1:AV11" xr:uid="{5BB8DD92-4909-48EC-94EC-7945C9860563}"/>
  <tableColumns count="48">
    <tableColumn id="1" xr3:uid="{4DB8B83C-05C7-4090-84A5-F35C79D61969}" uniqueName="1" name="id" queryTableFieldId="1" dataDxfId="341"/>
    <tableColumn id="2" xr3:uid="{0B954B7D-8406-4E3E-9030-A24017993F34}" uniqueName="2" name="fullTimeEmployees" queryTableFieldId="2"/>
    <tableColumn id="3" xr3:uid="{35895AED-878A-4506-B98D-05EDF898FA33}" uniqueName="3" name="website" queryTableFieldId="3" dataDxfId="340"/>
    <tableColumn id="4" xr3:uid="{C2CD21A8-4ADE-4B73-9BD1-825506C64399}" uniqueName="4" name="industry" queryTableFieldId="4" dataDxfId="339"/>
    <tableColumn id="5" xr3:uid="{944B54AD-7106-4217-8FA0-18CD8C892732}" uniqueName="5" name="sector" queryTableFieldId="5" dataDxfId="338"/>
    <tableColumn id="6" xr3:uid="{4A9D074F-7F51-44ED-A452-78B45D6C6655}" uniqueName="6" name="longBusinessSummary" queryTableFieldId="6" dataDxfId="337"/>
    <tableColumn id="7" xr3:uid="{436366D3-FB6B-47B7-A923-A3750537914B}" uniqueName="7" name="Date" queryTableFieldId="7" dataDxfId="32"/>
    <tableColumn id="8" xr3:uid="{008D9DBE-D75D-43FE-9E4D-85A282114375}" uniqueName="8" name="debtToEquity" queryTableFieldId="8"/>
    <tableColumn id="9" xr3:uid="{770CBF9A-BF21-4842-B192-1898BF155843}" uniqueName="9" name="totalDebt" queryTableFieldId="9"/>
    <tableColumn id="10" xr3:uid="{2FAA4D8B-2FC3-4276-BF61-F3F49D94C766}" uniqueName="10" name="ebitda" queryTableFieldId="10"/>
    <tableColumn id="11" xr3:uid="{7239576C-45C3-42DE-A83C-04CF80C48989}" uniqueName="11" name="operatingMargins" queryTableFieldId="11" dataDxfId="31" dataCellStyle="Percent"/>
    <tableColumn id="12" xr3:uid="{5399BCD7-CEF1-44BE-8634-8BD246F081F9}" uniqueName="12" name="revenueGrowth" queryTableFieldId="12" dataDxfId="30" dataCellStyle="Percent"/>
    <tableColumn id="13" xr3:uid="{90517785-D25B-4752-BF59-0D6D0926A1F3}" uniqueName="13" name="totalCashPerShare" queryTableFieldId="13"/>
    <tableColumn id="14" xr3:uid="{C82AFB3A-3006-4374-8517-B38FE0B1396C}" uniqueName="14" name="revenuePerShare" queryTableFieldId="14"/>
    <tableColumn id="15" xr3:uid="{4B1BC341-7075-4154-8910-4B2C433A40A3}" uniqueName="15" name="totalCash" queryTableFieldId="15"/>
    <tableColumn id="16" xr3:uid="{A3D866C4-552F-4893-A030-1CC9272449A9}" uniqueName="16" name="returnOnAssets" queryTableFieldId="16" dataDxfId="29" dataCellStyle="Percent"/>
    <tableColumn id="17" xr3:uid="{BB47794C-4BA6-4FFA-A3D3-959E1D762539}" uniqueName="17" name="profitMargins" queryTableFieldId="17" dataDxfId="28" dataCellStyle="Percent"/>
    <tableColumn id="18" xr3:uid="{F1AA8561-E4E3-4201-9F45-A34B6B6D844E}" uniqueName="18" name="grossProfits" queryTableFieldId="18"/>
    <tableColumn id="19" xr3:uid="{16FBA768-FEF2-44A8-86E7-AD7A5AD941AA}" uniqueName="19" name="earningsGrowth" queryTableFieldId="19" dataDxfId="27" dataCellStyle="Percent"/>
    <tableColumn id="20" xr3:uid="{DB504ACA-C1E1-4DCC-A717-02913DA86771}" uniqueName="20" name="freeCashflow" queryTableFieldId="20" dataDxfId="26" dataCellStyle="Comma"/>
    <tableColumn id="21" xr3:uid="{D0872EDA-DD38-4CB3-BC48-4B5435F59213}" uniqueName="21" name="returnOnEquity" queryTableFieldId="21" dataDxfId="25" dataCellStyle="Percent"/>
    <tableColumn id="22" xr3:uid="{72AF2A40-CA7B-498A-9BF9-76B36C0FE03A}" uniqueName="22" name="quickRatio" queryTableFieldId="22"/>
    <tableColumn id="23" xr3:uid="{F12773DC-B069-42C7-8170-274A7610A833}" uniqueName="23" name="currentRatio" queryTableFieldId="23"/>
    <tableColumn id="24" xr3:uid="{31F9C959-4728-4E51-BDD5-4CB63E390820}" uniqueName="24" name="operatingCashflow" queryTableFieldId="24"/>
    <tableColumn id="48" xr3:uid="{4C704E6B-6440-4546-907F-550D76214DCD}" uniqueName="48" name="targetMeanPrice" queryTableFieldId="48"/>
    <tableColumn id="25" xr3:uid="{2B823698-0948-4532-8F1C-03C7698A75E9}" uniqueName="25" name="previousClose" queryTableFieldId="25"/>
    <tableColumn id="26" xr3:uid="{3CB5D0D8-D9D2-4790-94E9-1A1FE870A28D}" uniqueName="26" name="dividendRate" queryTableFieldId="26"/>
    <tableColumn id="27" xr3:uid="{CD3BDABD-E19D-4219-96B4-4DC137DA6D59}" uniqueName="27" name="dividendYield" queryTableFieldId="27" dataDxfId="24" dataCellStyle="Percent"/>
    <tableColumn id="28" xr3:uid="{1E7369E7-B023-43E6-BE09-4F76789D993F}" uniqueName="28" name="exDividendDate" queryTableFieldId="28" dataDxfId="23"/>
    <tableColumn id="29" xr3:uid="{CE8D62D0-E411-4172-91FE-D6F748153A5D}" uniqueName="29" name="fiveYearAvgDividendYield" queryTableFieldId="29"/>
    <tableColumn id="30" xr3:uid="{13FC1B71-8713-4C5C-A24A-4BE4C35CED1C}" uniqueName="30" name="beta" queryTableFieldId="30"/>
    <tableColumn id="31" xr3:uid="{3BA590AB-AD52-4B74-927B-C63C513BF33A}" uniqueName="31" name="trailingPE" queryTableFieldId="31"/>
    <tableColumn id="32" xr3:uid="{B97567FF-A006-43BC-8944-D64A4A001494}" uniqueName="32" name="forwardPE" queryTableFieldId="32"/>
    <tableColumn id="33" xr3:uid="{8CCE4393-5A30-495F-97A3-A81E975A7DDC}" uniqueName="33" name="averageVolume10days" queryTableFieldId="33"/>
    <tableColumn id="34" xr3:uid="{5E775107-7420-4CD3-BF76-35FD9FED278B}" uniqueName="34" name="fiftyTwoWeekLow" queryTableFieldId="34"/>
    <tableColumn id="35" xr3:uid="{576C51BA-93E0-4E49-9EFE-0001916B532F}" uniqueName="35" name="fiftyTwoWeekHigh" queryTableFieldId="35"/>
    <tableColumn id="36" xr3:uid="{DE33DEC6-B7D6-4B03-9169-31FE0A470AEB}" uniqueName="36" name="priceToSalesTrailing12Months" queryTableFieldId="36"/>
    <tableColumn id="37" xr3:uid="{8CEF160B-8F8A-42D0-823C-6ED3E5B2CD7C}" uniqueName="37" name="trailingAnnualDividendRate" queryTableFieldId="37"/>
    <tableColumn id="38" xr3:uid="{D6916E75-8C27-45D1-9E5D-1F213E367BEF}" uniqueName="38" name="trailingAnnualDividendYield" queryTableFieldId="38"/>
    <tableColumn id="39" xr3:uid="{0E512277-80B2-48DF-B975-9F1025DB98FF}" uniqueName="39" name="marketCap" queryTableFieldId="39" dataDxfId="22" dataCellStyle="Comma"/>
    <tableColumn id="40" xr3:uid="{51F4EF60-F0CF-44A6-9E48-1EAF961F9ABC}" uniqueName="40" name="sharesOutstanding" queryTableFieldId="40"/>
    <tableColumn id="41" xr3:uid="{EB3DE234-15B3-4852-A6E6-57C4C41F6031}" uniqueName="41" name="bookValue" queryTableFieldId="41"/>
    <tableColumn id="42" xr3:uid="{D33388E6-AAE2-41E6-AE18-110EAF7EB958}" uniqueName="42" name="priceToBook" queryTableFieldId="42"/>
    <tableColumn id="43" xr3:uid="{8456416F-4D68-45EE-98D1-DBEA5A5A6FFC}" uniqueName="43" name="lastFiscalYearEnd" queryTableFieldId="43" dataDxfId="21"/>
    <tableColumn id="44" xr3:uid="{869C6A57-F8B3-4810-AEFB-7632B4FAA303}" uniqueName="44" name="nextFiscalYearEnd" queryTableFieldId="44" dataDxfId="20"/>
    <tableColumn id="45" xr3:uid="{CE07C36E-5EF3-4198-9E82-30514F1597F4}" uniqueName="45" name="mostRecentQuarter" queryTableFieldId="45" dataDxfId="19"/>
    <tableColumn id="46" xr3:uid="{36DADD0B-BE3B-440B-8652-4B744193EC68}" uniqueName="46" name="pegRatio" queryTableFieldId="46"/>
    <tableColumn id="47" xr3:uid="{8EDC8F4F-0D80-40AD-8A9C-93C04C900039}" uniqueName="47" name="Ticker" queryTableFieldId="47" dataDxfId="33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63ABA-FEF5-4857-936C-5BE63AF1B607}" name="Tickers" displayName="Tickers" ref="A1:A11" tableType="queryTable" totalsRowShown="0">
  <autoFilter ref="A1:A11" xr:uid="{9EE63ABA-FEF5-4857-936C-5BE63AF1B607}"/>
  <tableColumns count="1">
    <tableColumn id="1" xr3:uid="{251449B9-A1CC-422E-857A-B9872C120818}" uniqueName="1" name="Ticker" queryTableFieldId="1" dataDxfId="335"/>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7B1C6C-3542-4085-8F25-42E51D8999C2}" name="TickerYears" displayName="TickerYears" ref="A1:E41" tableType="queryTable" totalsRowShown="0">
  <autoFilter ref="A1:E41" xr:uid="{F47B1C6C-3542-4085-8F25-42E51D8999C2}"/>
  <tableColumns count="5">
    <tableColumn id="1" xr3:uid="{2E6A0171-814B-4426-B3C6-418A76477222}" uniqueName="1" name="Ticker" queryTableFieldId="1" dataDxfId="334"/>
    <tableColumn id="2" xr3:uid="{F83708D1-E6A7-41FA-BF0C-1969F2DC3C26}" uniqueName="2" name="asOfDate" queryTableFieldId="2" dataDxfId="18"/>
    <tableColumn id="3" xr3:uid="{D3A18E6A-0B63-441F-87E0-CED7E3CE752E}" uniqueName="3" name="asOfDate_Min" queryTableFieldId="3" dataDxfId="17"/>
    <tableColumn id="4" xr3:uid="{CEE1390B-DFB1-4095-B569-4EA00C880A2B}" uniqueName="4" name="asOfDate_Max" queryTableFieldId="4" dataDxfId="16"/>
    <tableColumn id="5" xr3:uid="{B36730AF-0BCE-43ED-B5F4-D090E5018891}" uniqueName="5" name="Year" queryTableFieldId="5"/>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3AB2B1-635D-4765-B1EE-548442F1BE61}" name="AverageInflation" displayName="AverageInflation" ref="A1:A2" tableType="queryTable" totalsRowShown="0">
  <autoFilter ref="A1:A2" xr:uid="{F13AB2B1-635D-4765-B1EE-548442F1BE61}"/>
  <tableColumns count="1">
    <tableColumn id="1" xr3:uid="{23DBE8E0-C6AA-4335-A4A6-31833A876FC8}" uniqueName="1" name="avgInflation"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M8cuAJYYn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8185-8205-4431-89BB-AA57B4E26146}">
  <sheetPr>
    <tabColor rgb="FFC00000"/>
  </sheetPr>
  <dimension ref="A1:F17"/>
  <sheetViews>
    <sheetView showGridLines="0" zoomScale="115" zoomScaleNormal="115" workbookViewId="0">
      <selection activeCell="B16" sqref="B16"/>
    </sheetView>
  </sheetViews>
  <sheetFormatPr defaultRowHeight="14.5" x14ac:dyDescent="0.35"/>
  <cols>
    <col min="1" max="1" width="9.08984375" customWidth="1"/>
    <col min="2" max="2" width="81.26953125" bestFit="1" customWidth="1"/>
    <col min="3" max="3" width="10.54296875" bestFit="1" customWidth="1"/>
    <col min="4" max="4" width="2.453125" customWidth="1"/>
    <col min="6" max="6" width="89.453125" bestFit="1" customWidth="1"/>
  </cols>
  <sheetData>
    <row r="1" spans="1:6" x14ac:dyDescent="0.35">
      <c r="A1" t="s">
        <v>496</v>
      </c>
      <c r="B1" t="s">
        <v>497</v>
      </c>
      <c r="C1" t="s">
        <v>472</v>
      </c>
      <c r="E1" s="80" t="s">
        <v>504</v>
      </c>
      <c r="F1" t="s">
        <v>503</v>
      </c>
    </row>
    <row r="2" spans="1:6" x14ac:dyDescent="0.35">
      <c r="A2" t="s">
        <v>498</v>
      </c>
      <c r="B2" t="s">
        <v>499</v>
      </c>
      <c r="C2" t="s">
        <v>616</v>
      </c>
      <c r="E2" s="80">
        <v>1</v>
      </c>
      <c r="F2" t="s">
        <v>505</v>
      </c>
    </row>
    <row r="3" spans="1:6" x14ac:dyDescent="0.35">
      <c r="A3" t="s">
        <v>500</v>
      </c>
      <c r="B3" t="s">
        <v>501</v>
      </c>
      <c r="C3" t="s">
        <v>616</v>
      </c>
      <c r="E3" s="80">
        <v>2</v>
      </c>
      <c r="F3" t="s">
        <v>507</v>
      </c>
    </row>
    <row r="4" spans="1:6" x14ac:dyDescent="0.35">
      <c r="A4" t="s">
        <v>557</v>
      </c>
      <c r="B4" t="s">
        <v>558</v>
      </c>
      <c r="C4" t="s">
        <v>616</v>
      </c>
      <c r="E4" s="80">
        <f>E3+1</f>
        <v>3</v>
      </c>
      <c r="F4" t="s">
        <v>602</v>
      </c>
    </row>
    <row r="5" spans="1:6" x14ac:dyDescent="0.35">
      <c r="A5" t="s">
        <v>603</v>
      </c>
      <c r="B5" t="s">
        <v>604</v>
      </c>
      <c r="C5" t="s">
        <v>616</v>
      </c>
    </row>
    <row r="6" spans="1:6" x14ac:dyDescent="0.35">
      <c r="A6" t="s">
        <v>603</v>
      </c>
      <c r="B6" s="121" t="s">
        <v>559</v>
      </c>
      <c r="C6" t="s">
        <v>616</v>
      </c>
    </row>
    <row r="7" spans="1:6" x14ac:dyDescent="0.35">
      <c r="A7" t="s">
        <v>603</v>
      </c>
      <c r="B7" t="s">
        <v>566</v>
      </c>
      <c r="C7" t="s">
        <v>616</v>
      </c>
    </row>
    <row r="8" spans="1:6" ht="29" x14ac:dyDescent="0.35">
      <c r="A8" t="s">
        <v>603</v>
      </c>
      <c r="B8" s="122" t="s">
        <v>593</v>
      </c>
      <c r="C8" t="s">
        <v>616</v>
      </c>
    </row>
    <row r="9" spans="1:6" x14ac:dyDescent="0.35">
      <c r="A9" t="s">
        <v>608</v>
      </c>
      <c r="B9" t="s">
        <v>609</v>
      </c>
      <c r="C9" t="s">
        <v>616</v>
      </c>
    </row>
    <row r="10" spans="1:6" x14ac:dyDescent="0.35">
      <c r="A10" t="s">
        <v>610</v>
      </c>
      <c r="B10" t="s">
        <v>611</v>
      </c>
      <c r="C10" t="s">
        <v>616</v>
      </c>
    </row>
    <row r="11" spans="1:6" x14ac:dyDescent="0.35">
      <c r="A11" t="s">
        <v>612</v>
      </c>
      <c r="B11" t="s">
        <v>617</v>
      </c>
      <c r="C11" t="s">
        <v>616</v>
      </c>
    </row>
    <row r="12" spans="1:6" x14ac:dyDescent="0.35">
      <c r="A12" t="s">
        <v>622</v>
      </c>
      <c r="B12" t="s">
        <v>621</v>
      </c>
      <c r="C12" t="s">
        <v>616</v>
      </c>
    </row>
    <row r="13" spans="1:6" x14ac:dyDescent="0.35">
      <c r="B13" t="s">
        <v>613</v>
      </c>
    </row>
    <row r="14" spans="1:6" x14ac:dyDescent="0.35">
      <c r="B14" t="s">
        <v>615</v>
      </c>
    </row>
    <row r="15" spans="1:6" x14ac:dyDescent="0.35">
      <c r="B15" t="s">
        <v>619</v>
      </c>
    </row>
    <row r="16" spans="1:6" x14ac:dyDescent="0.35">
      <c r="A16" t="s">
        <v>622</v>
      </c>
      <c r="B16" t="s">
        <v>625</v>
      </c>
    </row>
    <row r="17" spans="3:3" x14ac:dyDescent="0.35">
      <c r="C17" s="130"/>
    </row>
  </sheetData>
  <phoneticPr fontId="4" type="noConversion"/>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31B1-D31F-4339-9F63-17171E22E4BB}">
  <sheetPr>
    <tabColor theme="6" tint="0.79998168889431442"/>
  </sheetPr>
  <dimension ref="A1:A2"/>
  <sheetViews>
    <sheetView showGridLines="0" workbookViewId="0">
      <selection activeCell="F7" sqref="F7"/>
    </sheetView>
  </sheetViews>
  <sheetFormatPr defaultRowHeight="14.5" x14ac:dyDescent="0.35"/>
  <cols>
    <col min="1" max="1" width="13" bestFit="1" customWidth="1"/>
  </cols>
  <sheetData>
    <row r="1" spans="1:1" x14ac:dyDescent="0.35">
      <c r="A1" t="s">
        <v>600</v>
      </c>
    </row>
    <row r="2" spans="1:1" x14ac:dyDescent="0.35">
      <c r="A2">
        <v>2.9327393646170048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94A6A-71A7-4B0E-AFBC-751849AAD4D7}">
  <sheetPr>
    <tabColor theme="6" tint="0.79998168889431442"/>
  </sheetPr>
  <dimension ref="A1:B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2" x14ac:dyDescent="0.35">
      <c r="A1" t="s">
        <v>211</v>
      </c>
      <c r="B1" t="s">
        <v>589</v>
      </c>
    </row>
    <row r="2" spans="1:2" x14ac:dyDescent="0.35">
      <c r="A2" t="s">
        <v>591</v>
      </c>
      <c r="B2" s="116">
        <v>3.0808086940557311E-2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2D53-4DE6-4179-93E0-64760EB7F878}">
  <sheetPr>
    <tabColor theme="6" tint="0.79998168889431442"/>
  </sheetPr>
  <dimension ref="A1:C2"/>
  <sheetViews>
    <sheetView showGridLines="0" workbookViewId="0"/>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589</v>
      </c>
      <c r="C1" t="s">
        <v>590</v>
      </c>
    </row>
    <row r="2" spans="1:3" x14ac:dyDescent="0.35">
      <c r="A2" t="s">
        <v>581</v>
      </c>
      <c r="B2" s="116">
        <v>9.9774689760302598E-3</v>
      </c>
      <c r="C2" s="116">
        <v>0.12652342133612526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EC25-09EF-4998-9499-515440487AB8}">
  <sheetPr>
    <tabColor theme="6" tint="0.79998168889431442"/>
  </sheetPr>
  <dimension ref="A1:C11"/>
  <sheetViews>
    <sheetView showGridLines="0" workbookViewId="0">
      <selection activeCell="C3" sqref="C3"/>
    </sheetView>
  </sheetViews>
  <sheetFormatPr defaultRowHeight="14.5" x14ac:dyDescent="0.35"/>
  <cols>
    <col min="1" max="1" width="8.08984375" bestFit="1" customWidth="1"/>
    <col min="2" max="2" width="11.81640625" bestFit="1" customWidth="1"/>
    <col min="3" max="3" width="21.7265625" bestFit="1" customWidth="1"/>
  </cols>
  <sheetData>
    <row r="1" spans="1:3" x14ac:dyDescent="0.35">
      <c r="A1" t="s">
        <v>211</v>
      </c>
      <c r="B1" t="s">
        <v>589</v>
      </c>
      <c r="C1" t="s">
        <v>590</v>
      </c>
    </row>
    <row r="2" spans="1:3" x14ac:dyDescent="0.35">
      <c r="A2" t="s">
        <v>655</v>
      </c>
      <c r="B2" s="116">
        <v>1.794251621316291E-2</v>
      </c>
      <c r="C2" s="116">
        <v>0.23788142466132611</v>
      </c>
    </row>
    <row r="3" spans="1:3" x14ac:dyDescent="0.35">
      <c r="A3" t="s">
        <v>659</v>
      </c>
      <c r="B3" s="116">
        <v>3.7292411992868035E-3</v>
      </c>
      <c r="C3" s="116">
        <v>4.5680278498133386E-2</v>
      </c>
    </row>
    <row r="4" spans="1:3" x14ac:dyDescent="0.35">
      <c r="A4" t="s">
        <v>653</v>
      </c>
      <c r="B4" s="116">
        <v>1.051985645862219E-2</v>
      </c>
      <c r="C4" s="116">
        <v>0.13380461536958288</v>
      </c>
    </row>
    <row r="5" spans="1:3" x14ac:dyDescent="0.35">
      <c r="A5" t="s">
        <v>651</v>
      </c>
      <c r="B5" s="116">
        <v>2.3871512031984968E-2</v>
      </c>
      <c r="C5" s="116">
        <v>0.32722793342701872</v>
      </c>
    </row>
    <row r="6" spans="1:3" x14ac:dyDescent="0.35">
      <c r="A6" t="s">
        <v>645</v>
      </c>
      <c r="B6" s="116">
        <v>9.2711667510040341E-3</v>
      </c>
      <c r="C6" s="116">
        <v>0.11710602991390617</v>
      </c>
    </row>
    <row r="7" spans="1:3" x14ac:dyDescent="0.35">
      <c r="A7" t="s">
        <v>643</v>
      </c>
      <c r="B7" s="116">
        <v>-3.0097552872879144E-2</v>
      </c>
      <c r="C7" s="116">
        <v>-0.30699453247089725</v>
      </c>
    </row>
    <row r="8" spans="1:3" x14ac:dyDescent="0.35">
      <c r="A8" t="s">
        <v>657</v>
      </c>
      <c r="B8" s="116">
        <v>2.9304754587561543E-2</v>
      </c>
      <c r="C8" s="116">
        <v>0.41425507739291456</v>
      </c>
    </row>
    <row r="9" spans="1:3" x14ac:dyDescent="0.35">
      <c r="A9" t="s">
        <v>647</v>
      </c>
      <c r="B9" s="116">
        <v>-4.2401121694516819E-2</v>
      </c>
      <c r="C9" s="116">
        <v>-0.40542924454673313</v>
      </c>
    </row>
    <row r="10" spans="1:3" x14ac:dyDescent="0.35">
      <c r="A10" t="s">
        <v>661</v>
      </c>
      <c r="B10" s="116">
        <v>2.0964751429119341E-2</v>
      </c>
      <c r="C10" s="116">
        <v>0.28271147868453017</v>
      </c>
    </row>
    <row r="11" spans="1:3" x14ac:dyDescent="0.35">
      <c r="A11" t="s">
        <v>649</v>
      </c>
      <c r="B11" s="116">
        <v>-1.964485628785706E-2</v>
      </c>
      <c r="C11" s="116">
        <v>-0.21186396996110524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EA85-0E4C-4B18-B1A1-C9B01FB75FBE}">
  <sheetPr>
    <tabColor theme="6" tint="0.79998168889431442"/>
  </sheetPr>
  <dimension ref="A1:R431"/>
  <sheetViews>
    <sheetView workbookViewId="0">
      <selection activeCell="M426" sqref="M426"/>
    </sheetView>
  </sheetViews>
  <sheetFormatPr defaultRowHeight="14.5" x14ac:dyDescent="0.35"/>
  <cols>
    <col min="1" max="1" width="8.08984375" bestFit="1" customWidth="1"/>
    <col min="2" max="2" width="12" bestFit="1" customWidth="1"/>
    <col min="3" max="6" width="11.81640625" bestFit="1" customWidth="1"/>
    <col min="7" max="7" width="9.26953125" bestFit="1" customWidth="1"/>
    <col min="8" max="8" width="11.81640625" bestFit="1" customWidth="1"/>
    <col min="9" max="9" width="14.6328125" bestFit="1" customWidth="1"/>
    <col min="10" max="10" width="11.1796875" bestFit="1" customWidth="1"/>
    <col min="11" max="11" width="11.08984375" bestFit="1" customWidth="1"/>
    <col min="12" max="12" width="7.453125" bestFit="1" customWidth="1"/>
    <col min="13" max="13" width="16.7265625" bestFit="1" customWidth="1"/>
    <col min="14" max="14" width="16" bestFit="1" customWidth="1"/>
    <col min="15" max="15" width="16.453125" bestFit="1" customWidth="1"/>
    <col min="16" max="16" width="15.81640625" bestFit="1" customWidth="1"/>
    <col min="17" max="17" width="14.26953125" bestFit="1" customWidth="1"/>
    <col min="18" max="18" width="16.7265625" bestFit="1" customWidth="1"/>
  </cols>
  <sheetData>
    <row r="1" spans="1:18" x14ac:dyDescent="0.35">
      <c r="A1" t="s">
        <v>211</v>
      </c>
      <c r="B1" t="s">
        <v>568</v>
      </c>
      <c r="C1" t="s">
        <v>569</v>
      </c>
      <c r="D1" t="s">
        <v>570</v>
      </c>
      <c r="E1" t="s">
        <v>571</v>
      </c>
      <c r="F1" t="s">
        <v>572</v>
      </c>
      <c r="G1" t="s">
        <v>573</v>
      </c>
      <c r="H1" t="s">
        <v>574</v>
      </c>
      <c r="I1" t="s">
        <v>139</v>
      </c>
      <c r="J1" t="s">
        <v>575</v>
      </c>
      <c r="K1" t="s">
        <v>594</v>
      </c>
      <c r="L1" t="s">
        <v>595</v>
      </c>
      <c r="M1" t="s">
        <v>596</v>
      </c>
      <c r="N1" t="s">
        <v>576</v>
      </c>
      <c r="O1" t="s">
        <v>577</v>
      </c>
      <c r="P1" t="s">
        <v>578</v>
      </c>
      <c r="Q1" t="s">
        <v>579</v>
      </c>
      <c r="R1" t="s">
        <v>580</v>
      </c>
    </row>
    <row r="2" spans="1:18" hidden="1" x14ac:dyDescent="0.35">
      <c r="A2" t="s">
        <v>643</v>
      </c>
      <c r="B2" s="22">
        <v>43831</v>
      </c>
      <c r="C2">
        <v>68.680000305175781</v>
      </c>
      <c r="D2">
        <v>68.680000305175781</v>
      </c>
      <c r="E2">
        <v>43.310001373291023</v>
      </c>
      <c r="F2">
        <v>44.270000457763672</v>
      </c>
      <c r="G2">
        <v>8156000</v>
      </c>
      <c r="H2">
        <v>44.270000457763672</v>
      </c>
      <c r="I2" t="s">
        <v>642</v>
      </c>
      <c r="J2" s="22">
        <v>45550</v>
      </c>
      <c r="O2">
        <v>-24.409999847412109</v>
      </c>
      <c r="P2">
        <v>0</v>
      </c>
      <c r="Q2" t="s">
        <v>582</v>
      </c>
      <c r="R2">
        <v>2020</v>
      </c>
    </row>
    <row r="3" spans="1:18" hidden="1" x14ac:dyDescent="0.35">
      <c r="A3" t="s">
        <v>643</v>
      </c>
      <c r="B3" s="22">
        <v>43862</v>
      </c>
      <c r="C3">
        <v>44.669998168945313</v>
      </c>
      <c r="D3">
        <v>49.779998779296882</v>
      </c>
      <c r="E3">
        <v>37.25</v>
      </c>
      <c r="F3">
        <v>45.779998779296882</v>
      </c>
      <c r="G3">
        <v>7793100</v>
      </c>
      <c r="H3">
        <v>45.779998779296882</v>
      </c>
      <c r="I3" t="s">
        <v>642</v>
      </c>
      <c r="J3" s="22">
        <v>45550</v>
      </c>
      <c r="M3">
        <v>1.5099983215332029</v>
      </c>
      <c r="N3">
        <v>3.4108839076562258E-2</v>
      </c>
      <c r="O3">
        <v>1.1100006103515621</v>
      </c>
      <c r="P3">
        <v>5.1100006103515616</v>
      </c>
      <c r="Q3" t="s">
        <v>583</v>
      </c>
      <c r="R3">
        <v>2020</v>
      </c>
    </row>
    <row r="4" spans="1:18" hidden="1" x14ac:dyDescent="0.35">
      <c r="A4" t="s">
        <v>643</v>
      </c>
      <c r="B4" s="22">
        <v>43891</v>
      </c>
      <c r="C4">
        <v>45.709999084472663</v>
      </c>
      <c r="D4">
        <v>55.180000305175781</v>
      </c>
      <c r="E4">
        <v>31.20999908447266</v>
      </c>
      <c r="F4">
        <v>51.659999847412109</v>
      </c>
      <c r="G4">
        <v>12360100</v>
      </c>
      <c r="H4">
        <v>51.659999847412109</v>
      </c>
      <c r="I4" t="s">
        <v>642</v>
      </c>
      <c r="J4" s="22">
        <v>45550</v>
      </c>
      <c r="M4">
        <v>5.8800010681152344</v>
      </c>
      <c r="N4">
        <v>0.12844039372876409</v>
      </c>
      <c r="O4">
        <v>5.9500007629394531</v>
      </c>
      <c r="P4">
        <v>9.470001220703125</v>
      </c>
      <c r="Q4" t="s">
        <v>584</v>
      </c>
      <c r="R4">
        <v>2020</v>
      </c>
    </row>
    <row r="5" spans="1:18" hidden="1" x14ac:dyDescent="0.35">
      <c r="A5" t="s">
        <v>643</v>
      </c>
      <c r="B5" s="22">
        <v>43922</v>
      </c>
      <c r="C5">
        <v>51.119998931884773</v>
      </c>
      <c r="D5">
        <v>55.549999237060547</v>
      </c>
      <c r="E5">
        <v>46.220001220703118</v>
      </c>
      <c r="F5">
        <v>50</v>
      </c>
      <c r="G5">
        <v>6682200</v>
      </c>
      <c r="H5">
        <v>50</v>
      </c>
      <c r="I5" t="s">
        <v>642</v>
      </c>
      <c r="J5" s="22">
        <v>45550</v>
      </c>
      <c r="M5">
        <v>-1.6599998474121089</v>
      </c>
      <c r="N5">
        <v>-3.2133175615858378E-2</v>
      </c>
      <c r="O5">
        <v>-1.1199989318847661</v>
      </c>
      <c r="P5">
        <v>4.4300003051757813</v>
      </c>
      <c r="Q5" t="s">
        <v>582</v>
      </c>
      <c r="R5">
        <v>2020</v>
      </c>
    </row>
    <row r="6" spans="1:18" hidden="1" x14ac:dyDescent="0.35">
      <c r="A6" t="s">
        <v>643</v>
      </c>
      <c r="B6" s="22">
        <v>43952</v>
      </c>
      <c r="C6">
        <v>49.220001220703118</v>
      </c>
      <c r="D6">
        <v>54</v>
      </c>
      <c r="E6">
        <v>34.625</v>
      </c>
      <c r="F6">
        <v>38</v>
      </c>
      <c r="G6">
        <v>8949600</v>
      </c>
      <c r="H6">
        <v>38</v>
      </c>
      <c r="I6" t="s">
        <v>642</v>
      </c>
      <c r="J6" s="22">
        <v>45550</v>
      </c>
      <c r="M6">
        <v>-12</v>
      </c>
      <c r="N6">
        <v>-0.24</v>
      </c>
      <c r="O6">
        <v>-11.22000122070312</v>
      </c>
      <c r="P6">
        <v>4.779998779296875</v>
      </c>
      <c r="Q6" t="s">
        <v>585</v>
      </c>
      <c r="R6">
        <v>2020</v>
      </c>
    </row>
    <row r="7" spans="1:18" hidden="1" x14ac:dyDescent="0.35">
      <c r="A7" t="s">
        <v>643</v>
      </c>
      <c r="B7" s="22">
        <v>43983</v>
      </c>
      <c r="C7">
        <v>37.240001678466797</v>
      </c>
      <c r="D7">
        <v>42.099998474121087</v>
      </c>
      <c r="E7">
        <v>31.590000152587891</v>
      </c>
      <c r="F7">
        <v>35.520000457763672</v>
      </c>
      <c r="G7">
        <v>6935500</v>
      </c>
      <c r="H7">
        <v>35.520000457763672</v>
      </c>
      <c r="I7" t="s">
        <v>642</v>
      </c>
      <c r="J7" s="22">
        <v>45550</v>
      </c>
      <c r="M7">
        <v>-2.4799995422363281</v>
      </c>
      <c r="N7">
        <v>-6.5263145848324378E-2</v>
      </c>
      <c r="O7">
        <v>-1.720001220703125</v>
      </c>
      <c r="P7">
        <v>4.8599967956542969</v>
      </c>
      <c r="Q7" t="s">
        <v>586</v>
      </c>
      <c r="R7">
        <v>2020</v>
      </c>
    </row>
    <row r="8" spans="1:18" hidden="1" x14ac:dyDescent="0.35">
      <c r="A8" t="s">
        <v>643</v>
      </c>
      <c r="B8" s="22">
        <v>44013</v>
      </c>
      <c r="C8">
        <v>35.590000152587891</v>
      </c>
      <c r="D8">
        <v>37.709999084472663</v>
      </c>
      <c r="E8">
        <v>29.969999313354489</v>
      </c>
      <c r="F8">
        <v>30.70000076293945</v>
      </c>
      <c r="G8">
        <v>7521800</v>
      </c>
      <c r="H8">
        <v>30.70000076293945</v>
      </c>
      <c r="I8" t="s">
        <v>642</v>
      </c>
      <c r="J8" s="22">
        <v>45550</v>
      </c>
      <c r="M8">
        <v>-4.8199996948242188</v>
      </c>
      <c r="N8">
        <v>-0.13569818785772861</v>
      </c>
      <c r="O8">
        <v>-4.8899993896484384</v>
      </c>
      <c r="P8">
        <v>2.1199989318847661</v>
      </c>
      <c r="Q8" t="s">
        <v>582</v>
      </c>
      <c r="R8">
        <v>2020</v>
      </c>
    </row>
    <row r="9" spans="1:18" hidden="1" x14ac:dyDescent="0.35">
      <c r="A9" t="s">
        <v>643</v>
      </c>
      <c r="B9" s="22">
        <v>44044</v>
      </c>
      <c r="C9">
        <v>30.780000686645511</v>
      </c>
      <c r="D9">
        <v>35.439998626708977</v>
      </c>
      <c r="E9">
        <v>28.27499961853027</v>
      </c>
      <c r="F9">
        <v>30.229999542236332</v>
      </c>
      <c r="G9">
        <v>5726000</v>
      </c>
      <c r="H9">
        <v>30.229999542236332</v>
      </c>
      <c r="I9" t="s">
        <v>642</v>
      </c>
      <c r="J9" s="22">
        <v>45550</v>
      </c>
      <c r="M9">
        <v>-0.470001220703125</v>
      </c>
      <c r="N9">
        <v>-1.53094856359256E-2</v>
      </c>
      <c r="O9">
        <v>-0.55000114440917969</v>
      </c>
      <c r="P9">
        <v>4.6599979400634766</v>
      </c>
      <c r="Q9" t="s">
        <v>583</v>
      </c>
      <c r="R9">
        <v>2020</v>
      </c>
    </row>
    <row r="10" spans="1:18" hidden="1" x14ac:dyDescent="0.35">
      <c r="A10" t="s">
        <v>643</v>
      </c>
      <c r="B10" s="22">
        <v>44075</v>
      </c>
      <c r="C10">
        <v>30.04000091552734</v>
      </c>
      <c r="D10">
        <v>30.20999908447266</v>
      </c>
      <c r="E10">
        <v>26.569999694824219</v>
      </c>
      <c r="F10">
        <v>29</v>
      </c>
      <c r="G10">
        <v>4606600</v>
      </c>
      <c r="H10">
        <v>29</v>
      </c>
      <c r="I10" t="s">
        <v>642</v>
      </c>
      <c r="J10" s="22">
        <v>45550</v>
      </c>
      <c r="M10">
        <v>-1.2299995422363279</v>
      </c>
      <c r="N10">
        <v>-4.068804369374257E-2</v>
      </c>
      <c r="O10">
        <v>-1.040000915527344</v>
      </c>
      <c r="P10">
        <v>0.1699981689453125</v>
      </c>
      <c r="Q10" t="s">
        <v>587</v>
      </c>
      <c r="R10">
        <v>2020</v>
      </c>
    </row>
    <row r="11" spans="1:18" hidden="1" x14ac:dyDescent="0.35">
      <c r="A11" t="s">
        <v>643</v>
      </c>
      <c r="B11" s="22">
        <v>44105</v>
      </c>
      <c r="C11">
        <v>29.079999923706051</v>
      </c>
      <c r="D11">
        <v>31.760000228881839</v>
      </c>
      <c r="E11">
        <v>27.129999160766602</v>
      </c>
      <c r="F11">
        <v>29.20999908447266</v>
      </c>
      <c r="G11">
        <v>3342900</v>
      </c>
      <c r="H11">
        <v>29.20999908447266</v>
      </c>
      <c r="I11" t="s">
        <v>642</v>
      </c>
      <c r="J11" s="22">
        <v>45550</v>
      </c>
      <c r="M11">
        <v>0.20999908447265619</v>
      </c>
      <c r="N11">
        <v>7.241347740436499E-3</v>
      </c>
      <c r="O11">
        <v>0.12999916076660159</v>
      </c>
      <c r="P11">
        <v>2.6800003051757808</v>
      </c>
      <c r="Q11" t="s">
        <v>588</v>
      </c>
      <c r="R11">
        <v>2020</v>
      </c>
    </row>
    <row r="12" spans="1:18" hidden="1" x14ac:dyDescent="0.35">
      <c r="A12" t="s">
        <v>643</v>
      </c>
      <c r="B12" s="22">
        <v>44136</v>
      </c>
      <c r="C12">
        <v>29.239999771118161</v>
      </c>
      <c r="D12">
        <v>38.229999542236328</v>
      </c>
      <c r="E12">
        <v>26.89999961853027</v>
      </c>
      <c r="F12">
        <v>35.069999694824219</v>
      </c>
      <c r="G12">
        <v>4125100</v>
      </c>
      <c r="H12">
        <v>35.069999694824219</v>
      </c>
      <c r="I12" t="s">
        <v>642</v>
      </c>
      <c r="J12" s="22">
        <v>45550</v>
      </c>
      <c r="M12">
        <v>5.8600006103515616</v>
      </c>
      <c r="N12">
        <v>0.20061625450260981</v>
      </c>
      <c r="O12">
        <v>5.8299999237060547</v>
      </c>
      <c r="P12">
        <v>8.9899997711181641</v>
      </c>
      <c r="Q12" t="s">
        <v>584</v>
      </c>
      <c r="R12">
        <v>2020</v>
      </c>
    </row>
    <row r="13" spans="1:18" hidden="1" x14ac:dyDescent="0.35">
      <c r="A13" t="s">
        <v>643</v>
      </c>
      <c r="B13" s="22">
        <v>44166</v>
      </c>
      <c r="C13">
        <v>35.279998779296882</v>
      </c>
      <c r="D13">
        <v>44.880001068115227</v>
      </c>
      <c r="E13">
        <v>34.930000305175781</v>
      </c>
      <c r="F13">
        <v>44.680000305175781</v>
      </c>
      <c r="G13">
        <v>3700900</v>
      </c>
      <c r="H13">
        <v>44.680000305175781</v>
      </c>
      <c r="I13" t="s">
        <v>642</v>
      </c>
      <c r="J13" s="22">
        <v>45550</v>
      </c>
      <c r="M13">
        <v>9.6100006103515625</v>
      </c>
      <c r="N13">
        <v>0.27402340159614669</v>
      </c>
      <c r="O13">
        <v>9.4000015258789063</v>
      </c>
      <c r="P13">
        <v>9.6000022888183594</v>
      </c>
      <c r="Q13" t="s">
        <v>587</v>
      </c>
      <c r="R13">
        <v>2020</v>
      </c>
    </row>
    <row r="14" spans="1:18" hidden="1" x14ac:dyDescent="0.35">
      <c r="A14" t="s">
        <v>643</v>
      </c>
      <c r="B14" s="22">
        <v>44197</v>
      </c>
      <c r="C14">
        <v>44.819999694824219</v>
      </c>
      <c r="D14">
        <v>50.790000915527337</v>
      </c>
      <c r="E14">
        <v>43.040000915527337</v>
      </c>
      <c r="F14">
        <v>48.930000305175781</v>
      </c>
      <c r="G14">
        <v>3167500</v>
      </c>
      <c r="H14">
        <v>48.930000305175781</v>
      </c>
      <c r="I14" t="s">
        <v>642</v>
      </c>
      <c r="J14" s="22">
        <v>45550</v>
      </c>
      <c r="M14">
        <v>4.25</v>
      </c>
      <c r="N14">
        <v>9.5120858795242125E-2</v>
      </c>
      <c r="O14">
        <v>4.1100006103515616</v>
      </c>
      <c r="P14">
        <v>5.970001220703125</v>
      </c>
      <c r="Q14" t="s">
        <v>585</v>
      </c>
      <c r="R14">
        <v>2021</v>
      </c>
    </row>
    <row r="15" spans="1:18" hidden="1" x14ac:dyDescent="0.35">
      <c r="A15" t="s">
        <v>643</v>
      </c>
      <c r="B15" s="22">
        <v>44228</v>
      </c>
      <c r="C15">
        <v>49.490001678466797</v>
      </c>
      <c r="D15">
        <v>56.459999084472663</v>
      </c>
      <c r="E15">
        <v>49.029998779296882</v>
      </c>
      <c r="F15">
        <v>52.490001678466797</v>
      </c>
      <c r="G15">
        <v>3170600</v>
      </c>
      <c r="H15">
        <v>52.490001678466797</v>
      </c>
      <c r="I15" t="s">
        <v>642</v>
      </c>
      <c r="J15" s="22">
        <v>45550</v>
      </c>
      <c r="M15">
        <v>3.5600013732910161</v>
      </c>
      <c r="N15">
        <v>7.2757027408283825E-2</v>
      </c>
      <c r="O15">
        <v>3</v>
      </c>
      <c r="P15">
        <v>6.9699974060058594</v>
      </c>
      <c r="Q15" t="s">
        <v>586</v>
      </c>
      <c r="R15">
        <v>2021</v>
      </c>
    </row>
    <row r="16" spans="1:18" hidden="1" x14ac:dyDescent="0.35">
      <c r="A16" t="s">
        <v>643</v>
      </c>
      <c r="B16" s="22">
        <v>44256</v>
      </c>
      <c r="C16">
        <v>53.840000152587891</v>
      </c>
      <c r="D16">
        <v>53.840000152587891</v>
      </c>
      <c r="E16">
        <v>44.430000305175781</v>
      </c>
      <c r="F16">
        <v>52.520000457763672</v>
      </c>
      <c r="G16">
        <v>3703300</v>
      </c>
      <c r="H16">
        <v>52.520000457763672</v>
      </c>
      <c r="I16" t="s">
        <v>642</v>
      </c>
      <c r="J16" s="22">
        <v>45550</v>
      </c>
      <c r="M16">
        <v>2.9998779296875E-2</v>
      </c>
      <c r="N16">
        <v>5.7151416150902357E-4</v>
      </c>
      <c r="O16">
        <v>-1.319999694824219</v>
      </c>
      <c r="P16">
        <v>0</v>
      </c>
      <c r="Q16" t="s">
        <v>586</v>
      </c>
      <c r="R16">
        <v>2021</v>
      </c>
    </row>
    <row r="17" spans="1:18" hidden="1" x14ac:dyDescent="0.35">
      <c r="A17" t="s">
        <v>643</v>
      </c>
      <c r="B17" s="22">
        <v>44287</v>
      </c>
      <c r="C17">
        <v>52.669998168945313</v>
      </c>
      <c r="D17">
        <v>67.599998474121094</v>
      </c>
      <c r="E17">
        <v>51.409999847412109</v>
      </c>
      <c r="F17">
        <v>65.389999389648438</v>
      </c>
      <c r="G17">
        <v>2897900</v>
      </c>
      <c r="H17">
        <v>65.389999389648438</v>
      </c>
      <c r="I17" t="s">
        <v>642</v>
      </c>
      <c r="J17" s="22">
        <v>45550</v>
      </c>
      <c r="M17">
        <v>12.869998931884769</v>
      </c>
      <c r="N17">
        <v>0.24504948247734221</v>
      </c>
      <c r="O17">
        <v>12.72000122070312</v>
      </c>
      <c r="P17">
        <v>14.930000305175779</v>
      </c>
      <c r="Q17" t="s">
        <v>588</v>
      </c>
      <c r="R17">
        <v>2021</v>
      </c>
    </row>
    <row r="18" spans="1:18" hidden="1" x14ac:dyDescent="0.35">
      <c r="A18" t="s">
        <v>643</v>
      </c>
      <c r="B18" s="22">
        <v>44317</v>
      </c>
      <c r="C18">
        <v>65.769996643066406</v>
      </c>
      <c r="D18">
        <v>69</v>
      </c>
      <c r="E18">
        <v>61.599998474121087</v>
      </c>
      <c r="F18">
        <v>61.810001373291023</v>
      </c>
      <c r="G18">
        <v>2754800</v>
      </c>
      <c r="H18">
        <v>61.810001373291023</v>
      </c>
      <c r="I18" t="s">
        <v>642</v>
      </c>
      <c r="J18" s="22">
        <v>45550</v>
      </c>
      <c r="M18">
        <v>-3.5799980163574219</v>
      </c>
      <c r="N18">
        <v>-5.4748402657488808E-2</v>
      </c>
      <c r="O18">
        <v>-3.9599952697753911</v>
      </c>
      <c r="P18">
        <v>3.2300033569335942</v>
      </c>
      <c r="Q18" t="s">
        <v>583</v>
      </c>
      <c r="R18">
        <v>2021</v>
      </c>
    </row>
    <row r="19" spans="1:18" hidden="1" x14ac:dyDescent="0.35">
      <c r="A19" t="s">
        <v>643</v>
      </c>
      <c r="B19" s="22">
        <v>44348</v>
      </c>
      <c r="C19">
        <v>62.200000762939453</v>
      </c>
      <c r="D19">
        <v>69.589996337890625</v>
      </c>
      <c r="E19">
        <v>57.419998168945313</v>
      </c>
      <c r="F19">
        <v>65.169998168945313</v>
      </c>
      <c r="G19">
        <v>3463600</v>
      </c>
      <c r="H19">
        <v>65.169998168945313</v>
      </c>
      <c r="I19" t="s">
        <v>642</v>
      </c>
      <c r="J19" s="22">
        <v>45550</v>
      </c>
      <c r="M19">
        <v>3.3599967956542969</v>
      </c>
      <c r="N19">
        <v>5.4360082850705149E-2</v>
      </c>
      <c r="O19">
        <v>2.9699974060058589</v>
      </c>
      <c r="P19">
        <v>7.3899955749511719</v>
      </c>
      <c r="Q19" t="s">
        <v>587</v>
      </c>
      <c r="R19">
        <v>2021</v>
      </c>
    </row>
    <row r="20" spans="1:18" hidden="1" x14ac:dyDescent="0.35">
      <c r="A20" t="s">
        <v>643</v>
      </c>
      <c r="B20" s="22">
        <v>44378</v>
      </c>
      <c r="C20">
        <v>65.19000244140625</v>
      </c>
      <c r="D20">
        <v>80.30999755859375</v>
      </c>
      <c r="E20">
        <v>62.590000152587891</v>
      </c>
      <c r="F20">
        <v>79.769996643066406</v>
      </c>
      <c r="G20">
        <v>2473100</v>
      </c>
      <c r="H20">
        <v>79.769996643066406</v>
      </c>
      <c r="I20" t="s">
        <v>642</v>
      </c>
      <c r="J20" s="22">
        <v>45550</v>
      </c>
      <c r="M20">
        <v>14.59999847412109</v>
      </c>
      <c r="N20">
        <v>0.22402944428926269</v>
      </c>
      <c r="O20">
        <v>14.57999420166016</v>
      </c>
      <c r="P20">
        <v>15.1199951171875</v>
      </c>
      <c r="Q20" t="s">
        <v>588</v>
      </c>
      <c r="R20">
        <v>2021</v>
      </c>
    </row>
    <row r="21" spans="1:18" hidden="1" x14ac:dyDescent="0.35">
      <c r="A21" t="s">
        <v>643</v>
      </c>
      <c r="B21" s="22">
        <v>44409</v>
      </c>
      <c r="C21">
        <v>79.910003662109375</v>
      </c>
      <c r="D21">
        <v>82.349998474121094</v>
      </c>
      <c r="E21">
        <v>52.209999084472663</v>
      </c>
      <c r="F21">
        <v>59.189998626708977</v>
      </c>
      <c r="G21">
        <v>5288100</v>
      </c>
      <c r="H21">
        <v>59.189998626708977</v>
      </c>
      <c r="I21" t="s">
        <v>642</v>
      </c>
      <c r="J21" s="22">
        <v>45550</v>
      </c>
      <c r="M21">
        <v>-20.579998016357418</v>
      </c>
      <c r="N21">
        <v>-0.25799171220281392</v>
      </c>
      <c r="O21">
        <v>-20.720005035400391</v>
      </c>
      <c r="P21">
        <v>2.4399948120117192</v>
      </c>
      <c r="Q21" t="s">
        <v>584</v>
      </c>
      <c r="R21">
        <v>2021</v>
      </c>
    </row>
    <row r="22" spans="1:18" hidden="1" x14ac:dyDescent="0.35">
      <c r="A22" t="s">
        <v>643</v>
      </c>
      <c r="B22" s="22">
        <v>44440</v>
      </c>
      <c r="C22">
        <v>59.590000152587891</v>
      </c>
      <c r="D22">
        <v>61.779998779296882</v>
      </c>
      <c r="E22">
        <v>42.959999084472663</v>
      </c>
      <c r="F22">
        <v>43.090000152587891</v>
      </c>
      <c r="G22">
        <v>4979600</v>
      </c>
      <c r="H22">
        <v>43.090000152587891</v>
      </c>
      <c r="I22" t="s">
        <v>642</v>
      </c>
      <c r="J22" s="22">
        <v>45550</v>
      </c>
      <c r="M22">
        <v>-16.09999847412109</v>
      </c>
      <c r="N22">
        <v>-0.27200538685020531</v>
      </c>
      <c r="O22">
        <v>-16.5</v>
      </c>
      <c r="P22">
        <v>2.1899986267089839</v>
      </c>
      <c r="Q22" t="s">
        <v>582</v>
      </c>
      <c r="R22">
        <v>2021</v>
      </c>
    </row>
    <row r="23" spans="1:18" hidden="1" x14ac:dyDescent="0.35">
      <c r="A23" t="s">
        <v>643</v>
      </c>
      <c r="B23" s="22">
        <v>44470</v>
      </c>
      <c r="C23">
        <v>43.369998931884773</v>
      </c>
      <c r="D23">
        <v>44.299999237060547</v>
      </c>
      <c r="E23">
        <v>38.799999237060547</v>
      </c>
      <c r="F23">
        <v>39.650001525878913</v>
      </c>
      <c r="G23">
        <v>2968100</v>
      </c>
      <c r="H23">
        <v>39.650001525878913</v>
      </c>
      <c r="I23" t="s">
        <v>642</v>
      </c>
      <c r="J23" s="22">
        <v>45550</v>
      </c>
      <c r="M23">
        <v>-3.4399986267089839</v>
      </c>
      <c r="N23">
        <v>-7.9832875714259788E-2</v>
      </c>
      <c r="O23">
        <v>-3.7199974060058589</v>
      </c>
      <c r="P23">
        <v>0.93000030517578125</v>
      </c>
      <c r="Q23" t="s">
        <v>585</v>
      </c>
      <c r="R23">
        <v>2021</v>
      </c>
    </row>
    <row r="24" spans="1:18" hidden="1" x14ac:dyDescent="0.35">
      <c r="A24" t="s">
        <v>643</v>
      </c>
      <c r="B24" s="22">
        <v>44501</v>
      </c>
      <c r="C24">
        <v>39.709999084472663</v>
      </c>
      <c r="D24">
        <v>40.490001678466797</v>
      </c>
      <c r="E24">
        <v>29.979999542236332</v>
      </c>
      <c r="F24">
        <v>30.54999923706055</v>
      </c>
      <c r="G24">
        <v>5453300</v>
      </c>
      <c r="H24">
        <v>30.54999923706055</v>
      </c>
      <c r="I24" t="s">
        <v>642</v>
      </c>
      <c r="J24" s="22">
        <v>45550</v>
      </c>
      <c r="M24">
        <v>-9.1000022888183594</v>
      </c>
      <c r="N24">
        <v>-0.22950824561454139</v>
      </c>
      <c r="O24">
        <v>-9.1599998474121094</v>
      </c>
      <c r="P24">
        <v>0.78000259399414063</v>
      </c>
      <c r="Q24" t="s">
        <v>586</v>
      </c>
      <c r="R24">
        <v>2021</v>
      </c>
    </row>
    <row r="25" spans="1:18" hidden="1" x14ac:dyDescent="0.35">
      <c r="A25" t="s">
        <v>643</v>
      </c>
      <c r="B25" s="22">
        <v>44531</v>
      </c>
      <c r="C25">
        <v>30.809999465942379</v>
      </c>
      <c r="D25">
        <v>35.819999694824219</v>
      </c>
      <c r="E25">
        <v>29.280000686645511</v>
      </c>
      <c r="F25">
        <v>34</v>
      </c>
      <c r="G25">
        <v>5044900</v>
      </c>
      <c r="H25">
        <v>34</v>
      </c>
      <c r="I25" t="s">
        <v>642</v>
      </c>
      <c r="J25" s="22">
        <v>45550</v>
      </c>
      <c r="M25">
        <v>3.4500007629394531</v>
      </c>
      <c r="N25">
        <v>0.1129296513616347</v>
      </c>
      <c r="O25">
        <v>3.1900005340576172</v>
      </c>
      <c r="P25">
        <v>5.0100002288818359</v>
      </c>
      <c r="Q25" t="s">
        <v>582</v>
      </c>
      <c r="R25">
        <v>2021</v>
      </c>
    </row>
    <row r="26" spans="1:18" hidden="1" x14ac:dyDescent="0.35">
      <c r="A26" t="s">
        <v>643</v>
      </c>
      <c r="B26" s="22">
        <v>44562</v>
      </c>
      <c r="C26">
        <v>34.169998168945313</v>
      </c>
      <c r="D26">
        <v>34.900001525878913</v>
      </c>
      <c r="E26">
        <v>26.190000534057621</v>
      </c>
      <c r="F26">
        <v>29.729999542236332</v>
      </c>
      <c r="G26">
        <v>5375600</v>
      </c>
      <c r="H26">
        <v>29.729999542236332</v>
      </c>
      <c r="I26" t="s">
        <v>642</v>
      </c>
      <c r="J26" s="22">
        <v>45550</v>
      </c>
      <c r="M26">
        <v>-4.2700004577636719</v>
      </c>
      <c r="N26">
        <v>-0.12558824875775509</v>
      </c>
      <c r="O26">
        <v>-4.4399986267089844</v>
      </c>
      <c r="P26">
        <v>0.73000335693359375</v>
      </c>
      <c r="Q26" t="s">
        <v>583</v>
      </c>
      <c r="R26">
        <v>2022</v>
      </c>
    </row>
    <row r="27" spans="1:18" hidden="1" x14ac:dyDescent="0.35">
      <c r="A27" t="s">
        <v>643</v>
      </c>
      <c r="B27" s="22">
        <v>44593</v>
      </c>
      <c r="C27">
        <v>29.70000076293945</v>
      </c>
      <c r="D27">
        <v>35.020000457763672</v>
      </c>
      <c r="E27">
        <v>27.469999313354489</v>
      </c>
      <c r="F27">
        <v>34.889999389648438</v>
      </c>
      <c r="G27">
        <v>3087200</v>
      </c>
      <c r="H27">
        <v>34.889999389648438</v>
      </c>
      <c r="I27" t="s">
        <v>642</v>
      </c>
      <c r="J27" s="22">
        <v>45550</v>
      </c>
      <c r="M27">
        <v>5.1599998474121094</v>
      </c>
      <c r="N27">
        <v>0.17356205606668401</v>
      </c>
      <c r="O27">
        <v>5.1899986267089844</v>
      </c>
      <c r="P27">
        <v>5.3199996948242188</v>
      </c>
      <c r="Q27" t="s">
        <v>587</v>
      </c>
      <c r="R27">
        <v>2022</v>
      </c>
    </row>
    <row r="28" spans="1:18" hidden="1" x14ac:dyDescent="0.35">
      <c r="A28" t="s">
        <v>643</v>
      </c>
      <c r="B28" s="22">
        <v>44621</v>
      </c>
      <c r="C28">
        <v>34.599998474121087</v>
      </c>
      <c r="D28">
        <v>36.299999237060547</v>
      </c>
      <c r="E28">
        <v>29.020000457763668</v>
      </c>
      <c r="F28">
        <v>32.419998168945313</v>
      </c>
      <c r="G28">
        <v>3498800</v>
      </c>
      <c r="H28">
        <v>32.419998168945313</v>
      </c>
      <c r="I28" t="s">
        <v>642</v>
      </c>
      <c r="J28" s="22">
        <v>45550</v>
      </c>
      <c r="M28">
        <v>-2.470001220703125</v>
      </c>
      <c r="N28">
        <v>-7.079395998602267E-2</v>
      </c>
      <c r="O28">
        <v>-2.1800003051757808</v>
      </c>
      <c r="P28">
        <v>1.7000007629394529</v>
      </c>
      <c r="Q28" t="s">
        <v>587</v>
      </c>
      <c r="R28">
        <v>2022</v>
      </c>
    </row>
    <row r="29" spans="1:18" hidden="1" x14ac:dyDescent="0.35">
      <c r="A29" t="s">
        <v>643</v>
      </c>
      <c r="B29" s="22">
        <v>44652</v>
      </c>
      <c r="C29">
        <v>32.409999847412109</v>
      </c>
      <c r="D29">
        <v>35.669998168945313</v>
      </c>
      <c r="E29">
        <v>25.020000457763668</v>
      </c>
      <c r="F29">
        <v>25.280000686645511</v>
      </c>
      <c r="G29">
        <v>3414800</v>
      </c>
      <c r="H29">
        <v>25.280000686645511</v>
      </c>
      <c r="I29" t="s">
        <v>642</v>
      </c>
      <c r="J29" s="22">
        <v>45550</v>
      </c>
      <c r="M29">
        <v>-7.1399974822998047</v>
      </c>
      <c r="N29">
        <v>-0.2202343579753534</v>
      </c>
      <c r="O29">
        <v>-7.1299991607666016</v>
      </c>
      <c r="P29">
        <v>3.2599983215332031</v>
      </c>
      <c r="Q29" t="s">
        <v>585</v>
      </c>
      <c r="R29">
        <v>2022</v>
      </c>
    </row>
    <row r="30" spans="1:18" hidden="1" x14ac:dyDescent="0.35">
      <c r="A30" t="s">
        <v>643</v>
      </c>
      <c r="B30" s="22">
        <v>44682</v>
      </c>
      <c r="C30">
        <v>25.129999160766602</v>
      </c>
      <c r="D30">
        <v>26.370000839233398</v>
      </c>
      <c r="E30">
        <v>22.510000228881839</v>
      </c>
      <c r="F30">
        <v>25.680000305175781</v>
      </c>
      <c r="G30">
        <v>4229700</v>
      </c>
      <c r="H30">
        <v>25.680000305175781</v>
      </c>
      <c r="I30" t="s">
        <v>642</v>
      </c>
      <c r="J30" s="22">
        <v>45550</v>
      </c>
      <c r="M30">
        <v>0.39999961853027338</v>
      </c>
      <c r="N30">
        <v>1.5822769290571252E-2</v>
      </c>
      <c r="O30">
        <v>0.55000114440917969</v>
      </c>
      <c r="P30">
        <v>1.2400016784667971</v>
      </c>
      <c r="Q30" t="s">
        <v>584</v>
      </c>
      <c r="R30">
        <v>2022</v>
      </c>
    </row>
    <row r="31" spans="1:18" hidden="1" x14ac:dyDescent="0.35">
      <c r="A31" t="s">
        <v>643</v>
      </c>
      <c r="B31" s="22">
        <v>44713</v>
      </c>
      <c r="C31">
        <v>25.780000686645511</v>
      </c>
      <c r="D31">
        <v>27</v>
      </c>
      <c r="E31">
        <v>23.04999923706055</v>
      </c>
      <c r="F31">
        <v>24.180000305175781</v>
      </c>
      <c r="G31">
        <v>3974300</v>
      </c>
      <c r="H31">
        <v>24.180000305175781</v>
      </c>
      <c r="I31" t="s">
        <v>642</v>
      </c>
      <c r="J31" s="22">
        <v>45550</v>
      </c>
      <c r="M31">
        <v>-1.5</v>
      </c>
      <c r="N31">
        <v>-5.8411214259124322E-2</v>
      </c>
      <c r="O31">
        <v>-1.600000381469727</v>
      </c>
      <c r="P31">
        <v>1.219999313354492</v>
      </c>
      <c r="Q31" t="s">
        <v>582</v>
      </c>
      <c r="R31">
        <v>2022</v>
      </c>
    </row>
    <row r="32" spans="1:18" hidden="1" x14ac:dyDescent="0.35">
      <c r="A32" t="s">
        <v>643</v>
      </c>
      <c r="B32" s="22">
        <v>44743</v>
      </c>
      <c r="C32">
        <v>24.20000076293945</v>
      </c>
      <c r="D32">
        <v>29</v>
      </c>
      <c r="E32">
        <v>23.70000076293945</v>
      </c>
      <c r="F32">
        <v>27.819999694824219</v>
      </c>
      <c r="G32">
        <v>2943000</v>
      </c>
      <c r="H32">
        <v>27.819999694824219</v>
      </c>
      <c r="I32" t="s">
        <v>642</v>
      </c>
      <c r="J32" s="22">
        <v>45550</v>
      </c>
      <c r="M32">
        <v>3.6399993896484379</v>
      </c>
      <c r="N32">
        <v>0.1505376072666669</v>
      </c>
      <c r="O32">
        <v>3.6199989318847661</v>
      </c>
      <c r="P32">
        <v>4.7999992370605469</v>
      </c>
      <c r="Q32" t="s">
        <v>585</v>
      </c>
      <c r="R32">
        <v>2022</v>
      </c>
    </row>
    <row r="33" spans="1:18" hidden="1" x14ac:dyDescent="0.35">
      <c r="A33" t="s">
        <v>643</v>
      </c>
      <c r="B33" s="22">
        <v>44774</v>
      </c>
      <c r="C33">
        <v>27.819999694824219</v>
      </c>
      <c r="D33">
        <v>32.009998321533203</v>
      </c>
      <c r="E33">
        <v>26.29000091552734</v>
      </c>
      <c r="F33">
        <v>28.629999160766602</v>
      </c>
      <c r="G33">
        <v>3664600</v>
      </c>
      <c r="H33">
        <v>28.629999160766602</v>
      </c>
      <c r="I33" t="s">
        <v>642</v>
      </c>
      <c r="J33" s="22">
        <v>45550</v>
      </c>
      <c r="M33">
        <v>0.80999946594238281</v>
      </c>
      <c r="N33">
        <v>2.9115725191509512E-2</v>
      </c>
      <c r="O33">
        <v>0.80999946594238281</v>
      </c>
      <c r="P33">
        <v>4.1899986267089844</v>
      </c>
      <c r="Q33" t="s">
        <v>586</v>
      </c>
      <c r="R33">
        <v>2022</v>
      </c>
    </row>
    <row r="34" spans="1:18" hidden="1" x14ac:dyDescent="0.35">
      <c r="A34" t="s">
        <v>643</v>
      </c>
      <c r="B34" s="22">
        <v>44805</v>
      </c>
      <c r="C34">
        <v>28.870000839233398</v>
      </c>
      <c r="D34">
        <v>29.340000152587891</v>
      </c>
      <c r="E34">
        <v>22.280000686645511</v>
      </c>
      <c r="F34">
        <v>24.280000686645511</v>
      </c>
      <c r="G34">
        <v>3559700</v>
      </c>
      <c r="H34">
        <v>24.280000686645511</v>
      </c>
      <c r="I34" t="s">
        <v>642</v>
      </c>
      <c r="J34" s="22">
        <v>45550</v>
      </c>
      <c r="M34">
        <v>-4.3499984741210938</v>
      </c>
      <c r="N34">
        <v>-0.15193847717893599</v>
      </c>
      <c r="O34">
        <v>-4.5900001525878906</v>
      </c>
      <c r="P34">
        <v>0.46999931335449219</v>
      </c>
      <c r="Q34" t="s">
        <v>588</v>
      </c>
      <c r="R34">
        <v>2022</v>
      </c>
    </row>
    <row r="35" spans="1:18" hidden="1" x14ac:dyDescent="0.35">
      <c r="A35" t="s">
        <v>643</v>
      </c>
      <c r="B35" s="22">
        <v>44835</v>
      </c>
      <c r="C35">
        <v>24.45999908447266</v>
      </c>
      <c r="D35">
        <v>25.010000228881839</v>
      </c>
      <c r="E35">
        <v>19.479999542236332</v>
      </c>
      <c r="F35">
        <v>22.659999847412109</v>
      </c>
      <c r="G35">
        <v>3840600</v>
      </c>
      <c r="H35">
        <v>22.659999847412109</v>
      </c>
      <c r="I35" t="s">
        <v>642</v>
      </c>
      <c r="J35" s="22">
        <v>45550</v>
      </c>
      <c r="M35">
        <v>-1.620000839233398</v>
      </c>
      <c r="N35">
        <v>-6.6721614226495141E-2</v>
      </c>
      <c r="O35">
        <v>-1.7999992370605471</v>
      </c>
      <c r="P35">
        <v>0.55000114440917969</v>
      </c>
      <c r="Q35" t="s">
        <v>583</v>
      </c>
      <c r="R35">
        <v>2022</v>
      </c>
    </row>
    <row r="36" spans="1:18" hidden="1" x14ac:dyDescent="0.35">
      <c r="A36" t="s">
        <v>643</v>
      </c>
      <c r="B36" s="22">
        <v>44866</v>
      </c>
      <c r="C36">
        <v>22.819999694824219</v>
      </c>
      <c r="D36">
        <v>23.5</v>
      </c>
      <c r="E36">
        <v>19.77499961853027</v>
      </c>
      <c r="F36">
        <v>22.319999694824219</v>
      </c>
      <c r="G36">
        <v>4097700</v>
      </c>
      <c r="H36">
        <v>22.319999694824219</v>
      </c>
      <c r="I36" t="s">
        <v>642</v>
      </c>
      <c r="J36" s="22">
        <v>45550</v>
      </c>
      <c r="M36">
        <v>-0.34000015258789063</v>
      </c>
      <c r="N36">
        <v>-1.500441989750145E-2</v>
      </c>
      <c r="O36">
        <v>-0.5</v>
      </c>
      <c r="P36">
        <v>0.68000030517578125</v>
      </c>
      <c r="Q36" t="s">
        <v>587</v>
      </c>
      <c r="R36">
        <v>2022</v>
      </c>
    </row>
    <row r="37" spans="1:18" hidden="1" x14ac:dyDescent="0.35">
      <c r="A37" t="s">
        <v>643</v>
      </c>
      <c r="B37" s="22">
        <v>44896</v>
      </c>
      <c r="C37">
        <v>22.510000228881839</v>
      </c>
      <c r="D37">
        <v>23.370000839233398</v>
      </c>
      <c r="E37">
        <v>19.079999923706051</v>
      </c>
      <c r="F37">
        <v>19.70999908447266</v>
      </c>
      <c r="G37">
        <v>3321300</v>
      </c>
      <c r="H37">
        <v>19.70999908447266</v>
      </c>
      <c r="I37" t="s">
        <v>642</v>
      </c>
      <c r="J37" s="22">
        <v>45550</v>
      </c>
      <c r="M37">
        <v>-2.6100006103515621</v>
      </c>
      <c r="N37">
        <v>-0.1169355128152979</v>
      </c>
      <c r="O37">
        <v>-2.8000011444091801</v>
      </c>
      <c r="P37">
        <v>0.8600006103515625</v>
      </c>
      <c r="Q37" t="s">
        <v>588</v>
      </c>
      <c r="R37">
        <v>2022</v>
      </c>
    </row>
    <row r="38" spans="1:18" hidden="1" x14ac:dyDescent="0.35">
      <c r="A38" t="s">
        <v>643</v>
      </c>
      <c r="B38" s="22">
        <v>44927</v>
      </c>
      <c r="C38">
        <v>20.020000457763668</v>
      </c>
      <c r="D38">
        <v>24.309999465942379</v>
      </c>
      <c r="E38">
        <v>19.729999542236332</v>
      </c>
      <c r="F38">
        <v>23.329999923706051</v>
      </c>
      <c r="G38">
        <v>4227300</v>
      </c>
      <c r="H38">
        <v>23.329999923706051</v>
      </c>
      <c r="I38" t="s">
        <v>642</v>
      </c>
      <c r="J38" s="22">
        <v>45550</v>
      </c>
      <c r="M38">
        <v>3.620000839233398</v>
      </c>
      <c r="N38">
        <v>0.18366316628016491</v>
      </c>
      <c r="O38">
        <v>3.3099994659423828</v>
      </c>
      <c r="P38">
        <v>4.2899990081787109</v>
      </c>
      <c r="Q38" t="s">
        <v>584</v>
      </c>
      <c r="R38">
        <v>2023</v>
      </c>
    </row>
    <row r="39" spans="1:18" hidden="1" x14ac:dyDescent="0.35">
      <c r="A39" t="s">
        <v>643</v>
      </c>
      <c r="B39" s="22">
        <v>44958</v>
      </c>
      <c r="C39">
        <v>23.370000839233398</v>
      </c>
      <c r="D39">
        <v>26.110000610351559</v>
      </c>
      <c r="E39">
        <v>14.510000228881839</v>
      </c>
      <c r="F39">
        <v>15.670000076293951</v>
      </c>
      <c r="G39">
        <v>5495000</v>
      </c>
      <c r="H39">
        <v>15.670000076293951</v>
      </c>
      <c r="I39" t="s">
        <v>642</v>
      </c>
      <c r="J39" s="22">
        <v>45550</v>
      </c>
      <c r="M39">
        <v>-7.6599998474121094</v>
      </c>
      <c r="N39">
        <v>-0.32833261347886411</v>
      </c>
      <c r="O39">
        <v>-7.7000007629394531</v>
      </c>
      <c r="P39">
        <v>2.7399997711181641</v>
      </c>
      <c r="Q39" t="s">
        <v>582</v>
      </c>
      <c r="R39">
        <v>2023</v>
      </c>
    </row>
    <row r="40" spans="1:18" hidden="1" x14ac:dyDescent="0.35">
      <c r="A40" t="s">
        <v>643</v>
      </c>
      <c r="B40" s="22">
        <v>44986</v>
      </c>
      <c r="C40">
        <v>15.89000034332275</v>
      </c>
      <c r="D40">
        <v>16.340000152587891</v>
      </c>
      <c r="E40">
        <v>11.60000038146973</v>
      </c>
      <c r="F40">
        <v>12.47999954223633</v>
      </c>
      <c r="G40">
        <v>7675700</v>
      </c>
      <c r="H40">
        <v>12.47999954223633</v>
      </c>
      <c r="I40" t="s">
        <v>642</v>
      </c>
      <c r="J40" s="22">
        <v>45550</v>
      </c>
      <c r="M40">
        <v>-3.1900005340576172</v>
      </c>
      <c r="N40">
        <v>-0.20357374081213619</v>
      </c>
      <c r="O40">
        <v>-3.4100008010864258</v>
      </c>
      <c r="P40">
        <v>0.44999980926513672</v>
      </c>
      <c r="Q40" t="s">
        <v>582</v>
      </c>
      <c r="R40">
        <v>2023</v>
      </c>
    </row>
    <row r="41" spans="1:18" hidden="1" x14ac:dyDescent="0.35">
      <c r="A41" t="s">
        <v>643</v>
      </c>
      <c r="B41" s="22">
        <v>45017</v>
      </c>
      <c r="C41">
        <v>12.52000045776367</v>
      </c>
      <c r="D41">
        <v>13.829999923706049</v>
      </c>
      <c r="E41">
        <v>11.77000045776367</v>
      </c>
      <c r="F41">
        <v>13.310000419616699</v>
      </c>
      <c r="G41">
        <v>4435700</v>
      </c>
      <c r="H41">
        <v>13.310000419616699</v>
      </c>
      <c r="I41" t="s">
        <v>642</v>
      </c>
      <c r="J41" s="22">
        <v>45550</v>
      </c>
      <c r="M41">
        <v>0.83000087738037109</v>
      </c>
      <c r="N41">
        <v>6.6506482998767824E-2</v>
      </c>
      <c r="O41">
        <v>0.78999996185302734</v>
      </c>
      <c r="P41">
        <v>1.309999465942383</v>
      </c>
      <c r="Q41" t="s">
        <v>583</v>
      </c>
      <c r="R41">
        <v>2023</v>
      </c>
    </row>
    <row r="42" spans="1:18" hidden="1" x14ac:dyDescent="0.35">
      <c r="A42" t="s">
        <v>643</v>
      </c>
      <c r="B42" s="22">
        <v>45047</v>
      </c>
      <c r="C42">
        <v>13.340000152587891</v>
      </c>
      <c r="D42">
        <v>14.10000038146973</v>
      </c>
      <c r="E42">
        <v>10.27999973297119</v>
      </c>
      <c r="F42">
        <v>10.52999973297119</v>
      </c>
      <c r="G42">
        <v>5259100</v>
      </c>
      <c r="H42">
        <v>10.52999973297119</v>
      </c>
      <c r="I42" t="s">
        <v>642</v>
      </c>
      <c r="J42" s="22">
        <v>45550</v>
      </c>
      <c r="M42">
        <v>-2.7800006866455078</v>
      </c>
      <c r="N42">
        <v>-0.20886555965454781</v>
      </c>
      <c r="O42">
        <v>-2.8100004196166992</v>
      </c>
      <c r="P42">
        <v>0.76000022888183594</v>
      </c>
      <c r="Q42" t="s">
        <v>586</v>
      </c>
      <c r="R42">
        <v>2023</v>
      </c>
    </row>
    <row r="43" spans="1:18" hidden="1" x14ac:dyDescent="0.35">
      <c r="A43" t="s">
        <v>643</v>
      </c>
      <c r="B43" s="22">
        <v>45078</v>
      </c>
      <c r="C43">
        <v>10.569999694824221</v>
      </c>
      <c r="D43">
        <v>11.97999954223633</v>
      </c>
      <c r="E43">
        <v>9.880000114440918</v>
      </c>
      <c r="F43">
        <v>11.55000019073486</v>
      </c>
      <c r="G43">
        <v>13975100</v>
      </c>
      <c r="H43">
        <v>11.55000019073486</v>
      </c>
      <c r="I43" t="s">
        <v>642</v>
      </c>
      <c r="J43" s="22">
        <v>45550</v>
      </c>
      <c r="M43">
        <v>1.0200004577636721</v>
      </c>
      <c r="N43">
        <v>9.68661427948454E-2</v>
      </c>
      <c r="O43">
        <v>0.98000049591064453</v>
      </c>
      <c r="P43">
        <v>1.4099998474121089</v>
      </c>
      <c r="Q43" t="s">
        <v>588</v>
      </c>
      <c r="R43">
        <v>2023</v>
      </c>
    </row>
    <row r="44" spans="1:18" hidden="1" x14ac:dyDescent="0.35">
      <c r="A44" t="s">
        <v>643</v>
      </c>
      <c r="B44" s="22">
        <v>45108</v>
      </c>
      <c r="C44">
        <v>11.5</v>
      </c>
      <c r="D44">
        <v>11.60000038146973</v>
      </c>
      <c r="E44">
        <v>8.0089998245239258</v>
      </c>
      <c r="F44">
        <v>8.1700000762939453</v>
      </c>
      <c r="G44">
        <v>6748700</v>
      </c>
      <c r="H44">
        <v>8.1700000762939453</v>
      </c>
      <c r="I44" t="s">
        <v>642</v>
      </c>
      <c r="J44" s="22">
        <v>45550</v>
      </c>
      <c r="M44">
        <v>-3.380000114440918</v>
      </c>
      <c r="N44">
        <v>-0.29264069771637519</v>
      </c>
      <c r="O44">
        <v>-3.3299999237060551</v>
      </c>
      <c r="P44">
        <v>0.1000003814697266</v>
      </c>
      <c r="Q44" t="s">
        <v>583</v>
      </c>
      <c r="R44">
        <v>2023</v>
      </c>
    </row>
    <row r="45" spans="1:18" hidden="1" x14ac:dyDescent="0.35">
      <c r="A45" t="s">
        <v>643</v>
      </c>
      <c r="B45" s="22">
        <v>45139</v>
      </c>
      <c r="C45">
        <v>8.1599998474121094</v>
      </c>
      <c r="D45">
        <v>8.1800003051757813</v>
      </c>
      <c r="E45">
        <v>5.5250000953674316</v>
      </c>
      <c r="F45">
        <v>6.2100000381469727</v>
      </c>
      <c r="G45">
        <v>6058600</v>
      </c>
      <c r="H45">
        <v>6.2100000381469727</v>
      </c>
      <c r="I45" t="s">
        <v>642</v>
      </c>
      <c r="J45" s="22">
        <v>45550</v>
      </c>
      <c r="M45">
        <v>-1.9600000381469731</v>
      </c>
      <c r="N45">
        <v>-0.2399020832122272</v>
      </c>
      <c r="O45">
        <v>-1.9499998092651369</v>
      </c>
      <c r="P45">
        <v>2.0000457763671878E-2</v>
      </c>
      <c r="Q45" t="s">
        <v>587</v>
      </c>
      <c r="R45">
        <v>2023</v>
      </c>
    </row>
    <row r="46" spans="1:18" hidden="1" x14ac:dyDescent="0.35">
      <c r="A46" t="s">
        <v>643</v>
      </c>
      <c r="B46" s="22">
        <v>45170</v>
      </c>
      <c r="C46">
        <v>6.2199997901916504</v>
      </c>
      <c r="D46">
        <v>6.2899999618530273</v>
      </c>
      <c r="E46">
        <v>5.054999828338623</v>
      </c>
      <c r="F46">
        <v>5.2199997901916504</v>
      </c>
      <c r="G46">
        <v>4905300</v>
      </c>
      <c r="H46">
        <v>5.2199997901916504</v>
      </c>
      <c r="I46" t="s">
        <v>642</v>
      </c>
      <c r="J46" s="22">
        <v>45550</v>
      </c>
      <c r="M46">
        <v>-0.99000024795532227</v>
      </c>
      <c r="N46">
        <v>-0.15942032880417381</v>
      </c>
      <c r="O46">
        <v>-1</v>
      </c>
      <c r="P46">
        <v>7.0000171661376953E-2</v>
      </c>
      <c r="Q46" t="s">
        <v>585</v>
      </c>
      <c r="R46">
        <v>2023</v>
      </c>
    </row>
    <row r="47" spans="1:18" hidden="1" x14ac:dyDescent="0.35">
      <c r="A47" t="s">
        <v>643</v>
      </c>
      <c r="B47" s="22">
        <v>45200</v>
      </c>
      <c r="C47">
        <v>5.1999998092651367</v>
      </c>
      <c r="D47">
        <v>5.2600002288818359</v>
      </c>
      <c r="E47">
        <v>4.130000114440918</v>
      </c>
      <c r="F47">
        <v>4.4699997901916504</v>
      </c>
      <c r="G47">
        <v>6352300</v>
      </c>
      <c r="H47">
        <v>4.4699997901916504</v>
      </c>
      <c r="I47" t="s">
        <v>642</v>
      </c>
      <c r="J47" s="22">
        <v>45550</v>
      </c>
      <c r="M47">
        <v>-0.75</v>
      </c>
      <c r="N47">
        <v>-0.14367816669442121</v>
      </c>
      <c r="O47">
        <v>-0.73000001907348633</v>
      </c>
      <c r="P47">
        <v>6.0000419616699219E-2</v>
      </c>
      <c r="Q47" t="s">
        <v>584</v>
      </c>
      <c r="R47">
        <v>2023</v>
      </c>
    </row>
    <row r="48" spans="1:18" hidden="1" x14ac:dyDescent="0.35">
      <c r="A48" t="s">
        <v>643</v>
      </c>
      <c r="B48" s="22">
        <v>45231</v>
      </c>
      <c r="C48">
        <v>4.4899997711181641</v>
      </c>
      <c r="D48">
        <v>6.2699999809265137</v>
      </c>
      <c r="E48">
        <v>4.440000057220459</v>
      </c>
      <c r="F48">
        <v>5.820000171661377</v>
      </c>
      <c r="G48">
        <v>7371500</v>
      </c>
      <c r="H48">
        <v>5.820000171661377</v>
      </c>
      <c r="I48" t="s">
        <v>642</v>
      </c>
      <c r="J48" s="22">
        <v>45550</v>
      </c>
      <c r="M48">
        <v>1.350000381469727</v>
      </c>
      <c r="N48">
        <v>0.30201352233438139</v>
      </c>
      <c r="O48">
        <v>1.3300004005432129</v>
      </c>
      <c r="P48">
        <v>1.7800002098083501</v>
      </c>
      <c r="Q48" t="s">
        <v>582</v>
      </c>
      <c r="R48">
        <v>2023</v>
      </c>
    </row>
    <row r="49" spans="1:18" hidden="1" x14ac:dyDescent="0.35">
      <c r="A49" t="s">
        <v>643</v>
      </c>
      <c r="B49" s="22">
        <v>45261</v>
      </c>
      <c r="C49">
        <v>5.7800002098083496</v>
      </c>
      <c r="D49">
        <v>6.6399998664855957</v>
      </c>
      <c r="E49">
        <v>4.929999828338623</v>
      </c>
      <c r="F49">
        <v>5.4899997711181641</v>
      </c>
      <c r="G49">
        <v>6668900</v>
      </c>
      <c r="H49">
        <v>5.4899997711181641</v>
      </c>
      <c r="I49" t="s">
        <v>642</v>
      </c>
      <c r="J49" s="22">
        <v>45550</v>
      </c>
      <c r="M49">
        <v>-0.33000040054321289</v>
      </c>
      <c r="N49">
        <v>-5.6701098077289402E-2</v>
      </c>
      <c r="O49">
        <v>-0.29000043869018549</v>
      </c>
      <c r="P49">
        <v>0.85999965667724609</v>
      </c>
      <c r="Q49" t="s">
        <v>585</v>
      </c>
      <c r="R49">
        <v>2023</v>
      </c>
    </row>
    <row r="50" spans="1:18" hidden="1" x14ac:dyDescent="0.35">
      <c r="A50" t="s">
        <v>645</v>
      </c>
      <c r="B50" s="22">
        <v>43831</v>
      </c>
      <c r="C50">
        <v>38.069999694824219</v>
      </c>
      <c r="D50">
        <v>42.549999237060547</v>
      </c>
      <c r="E50">
        <v>31.479999542236332</v>
      </c>
      <c r="F50">
        <v>33.990001678466797</v>
      </c>
      <c r="G50">
        <v>3156500</v>
      </c>
      <c r="H50">
        <v>33.990001678466797</v>
      </c>
      <c r="I50" t="s">
        <v>644</v>
      </c>
      <c r="J50" s="22">
        <v>45550</v>
      </c>
      <c r="O50">
        <v>-4.0799980163574219</v>
      </c>
      <c r="P50">
        <v>4.4799995422363281</v>
      </c>
      <c r="Q50" t="s">
        <v>582</v>
      </c>
      <c r="R50">
        <v>2020</v>
      </c>
    </row>
    <row r="51" spans="1:18" hidden="1" x14ac:dyDescent="0.35">
      <c r="A51" t="s">
        <v>645</v>
      </c>
      <c r="B51" s="22">
        <v>43862</v>
      </c>
      <c r="C51">
        <v>35.139999389648438</v>
      </c>
      <c r="D51">
        <v>61.5</v>
      </c>
      <c r="E51">
        <v>34.575000762939453</v>
      </c>
      <c r="F51">
        <v>51.409999847412109</v>
      </c>
      <c r="G51">
        <v>2531600</v>
      </c>
      <c r="H51">
        <v>51.409999847412109</v>
      </c>
      <c r="I51" t="s">
        <v>644</v>
      </c>
      <c r="J51" s="22">
        <v>45550</v>
      </c>
      <c r="M51">
        <v>17.419998168945309</v>
      </c>
      <c r="N51">
        <v>0.51250359837378756</v>
      </c>
      <c r="O51">
        <v>16.270000457763668</v>
      </c>
      <c r="P51">
        <v>26.360000610351559</v>
      </c>
      <c r="Q51" t="s">
        <v>583</v>
      </c>
      <c r="R51">
        <v>2020</v>
      </c>
    </row>
    <row r="52" spans="1:18" hidden="1" x14ac:dyDescent="0.35">
      <c r="A52" t="s">
        <v>645</v>
      </c>
      <c r="B52" s="22">
        <v>43891</v>
      </c>
      <c r="C52">
        <v>52.459999084472663</v>
      </c>
      <c r="D52">
        <v>74.129997253417969</v>
      </c>
      <c r="E52">
        <v>27.54999923706055</v>
      </c>
      <c r="F52">
        <v>56.150001525878913</v>
      </c>
      <c r="G52">
        <v>3198200</v>
      </c>
      <c r="H52">
        <v>56.150001525878913</v>
      </c>
      <c r="I52" t="s">
        <v>644</v>
      </c>
      <c r="J52" s="22">
        <v>45550</v>
      </c>
      <c r="M52">
        <v>4.7400016784667969</v>
      </c>
      <c r="N52">
        <v>9.2199994019362075E-2</v>
      </c>
      <c r="O52">
        <v>3.69000244140625</v>
      </c>
      <c r="P52">
        <v>21.669998168945309</v>
      </c>
      <c r="Q52" t="s">
        <v>584</v>
      </c>
      <c r="R52">
        <v>2020</v>
      </c>
    </row>
    <row r="53" spans="1:18" hidden="1" x14ac:dyDescent="0.35">
      <c r="A53" t="s">
        <v>645</v>
      </c>
      <c r="B53" s="22">
        <v>43922</v>
      </c>
      <c r="C53">
        <v>54.900001525878913</v>
      </c>
      <c r="D53">
        <v>70</v>
      </c>
      <c r="E53">
        <v>45.009998321533203</v>
      </c>
      <c r="F53">
        <v>54.770000457763672</v>
      </c>
      <c r="G53">
        <v>1632100</v>
      </c>
      <c r="H53">
        <v>54.770000457763672</v>
      </c>
      <c r="I53" t="s">
        <v>644</v>
      </c>
      <c r="J53" s="22">
        <v>45550</v>
      </c>
      <c r="M53">
        <v>-1.3800010681152339</v>
      </c>
      <c r="N53">
        <v>-2.4577044178337282E-2</v>
      </c>
      <c r="O53">
        <v>-0.1300010681152344</v>
      </c>
      <c r="P53">
        <v>15.09999847412109</v>
      </c>
      <c r="Q53" t="s">
        <v>582</v>
      </c>
      <c r="R53">
        <v>2020</v>
      </c>
    </row>
    <row r="54" spans="1:18" hidden="1" x14ac:dyDescent="0.35">
      <c r="A54" t="s">
        <v>645</v>
      </c>
      <c r="B54" s="22">
        <v>43952</v>
      </c>
      <c r="C54">
        <v>54.439998626708977</v>
      </c>
      <c r="D54">
        <v>68</v>
      </c>
      <c r="E54">
        <v>51.130001068115227</v>
      </c>
      <c r="F54">
        <v>64.779998779296875</v>
      </c>
      <c r="G54">
        <v>1603500</v>
      </c>
      <c r="H54">
        <v>64.779998779296875</v>
      </c>
      <c r="I54" t="s">
        <v>644</v>
      </c>
      <c r="J54" s="22">
        <v>45550</v>
      </c>
      <c r="M54">
        <v>10.0099983215332</v>
      </c>
      <c r="N54">
        <v>0.1827642548451773</v>
      </c>
      <c r="O54">
        <v>10.340000152587891</v>
      </c>
      <c r="P54">
        <v>13.560001373291019</v>
      </c>
      <c r="Q54" t="s">
        <v>585</v>
      </c>
      <c r="R54">
        <v>2020</v>
      </c>
    </row>
    <row r="55" spans="1:18" hidden="1" x14ac:dyDescent="0.35">
      <c r="A55" t="s">
        <v>645</v>
      </c>
      <c r="B55" s="22">
        <v>43983</v>
      </c>
      <c r="C55">
        <v>64.360000610351563</v>
      </c>
      <c r="D55">
        <v>80.550003051757813</v>
      </c>
      <c r="E55">
        <v>57.040000915527337</v>
      </c>
      <c r="F55">
        <v>73</v>
      </c>
      <c r="G55">
        <v>2786600</v>
      </c>
      <c r="H55">
        <v>73</v>
      </c>
      <c r="I55" t="s">
        <v>644</v>
      </c>
      <c r="J55" s="22">
        <v>45550</v>
      </c>
      <c r="M55">
        <v>8.220001220703125</v>
      </c>
      <c r="N55">
        <v>0.12689103698054049</v>
      </c>
      <c r="O55">
        <v>8.6399993896484375</v>
      </c>
      <c r="P55">
        <v>16.19000244140625</v>
      </c>
      <c r="Q55" t="s">
        <v>586</v>
      </c>
      <c r="R55">
        <v>2020</v>
      </c>
    </row>
    <row r="56" spans="1:18" hidden="1" x14ac:dyDescent="0.35">
      <c r="A56" t="s">
        <v>645</v>
      </c>
      <c r="B56" s="22">
        <v>44013</v>
      </c>
      <c r="C56">
        <v>68.620002746582031</v>
      </c>
      <c r="D56">
        <v>78.319999694824219</v>
      </c>
      <c r="E56">
        <v>46.549999237060547</v>
      </c>
      <c r="F56">
        <v>50.259998321533203</v>
      </c>
      <c r="G56">
        <v>1801000</v>
      </c>
      <c r="H56">
        <v>50.259998321533203</v>
      </c>
      <c r="I56" t="s">
        <v>644</v>
      </c>
      <c r="J56" s="22">
        <v>45550</v>
      </c>
      <c r="M56">
        <v>-22.7400016784668</v>
      </c>
      <c r="N56">
        <v>-0.3115068723077643</v>
      </c>
      <c r="O56">
        <v>-18.360004425048832</v>
      </c>
      <c r="P56">
        <v>9.6999969482421875</v>
      </c>
      <c r="Q56" t="s">
        <v>582</v>
      </c>
      <c r="R56">
        <v>2020</v>
      </c>
    </row>
    <row r="57" spans="1:18" hidden="1" x14ac:dyDescent="0.35">
      <c r="A57" t="s">
        <v>645</v>
      </c>
      <c r="B57" s="22">
        <v>44044</v>
      </c>
      <c r="C57">
        <v>50.549999237060547</v>
      </c>
      <c r="D57">
        <v>56.720001220703118</v>
      </c>
      <c r="E57">
        <v>41.409999847412109</v>
      </c>
      <c r="F57">
        <v>43</v>
      </c>
      <c r="G57">
        <v>1748400</v>
      </c>
      <c r="H57">
        <v>43</v>
      </c>
      <c r="I57" t="s">
        <v>644</v>
      </c>
      <c r="J57" s="22">
        <v>45550</v>
      </c>
      <c r="M57">
        <v>-7.2599983215332031</v>
      </c>
      <c r="N57">
        <v>-0.14444883732562239</v>
      </c>
      <c r="O57">
        <v>-7.5499992370605469</v>
      </c>
      <c r="P57">
        <v>6.1700019836425781</v>
      </c>
      <c r="Q57" t="s">
        <v>583</v>
      </c>
      <c r="R57">
        <v>2020</v>
      </c>
    </row>
    <row r="58" spans="1:18" hidden="1" x14ac:dyDescent="0.35">
      <c r="A58" t="s">
        <v>645</v>
      </c>
      <c r="B58" s="22">
        <v>44075</v>
      </c>
      <c r="C58">
        <v>43.490001678466797</v>
      </c>
      <c r="D58">
        <v>89.80999755859375</v>
      </c>
      <c r="E58">
        <v>43</v>
      </c>
      <c r="F58">
        <v>73.80999755859375</v>
      </c>
      <c r="G58">
        <v>4831400</v>
      </c>
      <c r="H58">
        <v>73.80999755859375</v>
      </c>
      <c r="I58" t="s">
        <v>644</v>
      </c>
      <c r="J58" s="22">
        <v>45550</v>
      </c>
      <c r="M58">
        <v>30.80999755859375</v>
      </c>
      <c r="N58">
        <v>0.71651157113008712</v>
      </c>
      <c r="O58">
        <v>30.31999588012695</v>
      </c>
      <c r="P58">
        <v>46.319995880126953</v>
      </c>
      <c r="Q58" t="s">
        <v>587</v>
      </c>
      <c r="R58">
        <v>2020</v>
      </c>
    </row>
    <row r="59" spans="1:18" hidden="1" x14ac:dyDescent="0.35">
      <c r="A59" t="s">
        <v>645</v>
      </c>
      <c r="B59" s="22">
        <v>44105</v>
      </c>
      <c r="C59">
        <v>73.589996337890625</v>
      </c>
      <c r="D59">
        <v>82.742996215820313</v>
      </c>
      <c r="E59">
        <v>51.060001373291023</v>
      </c>
      <c r="F59">
        <v>52.790000915527337</v>
      </c>
      <c r="G59">
        <v>4253000</v>
      </c>
      <c r="H59">
        <v>52.790000915527337</v>
      </c>
      <c r="I59" t="s">
        <v>644</v>
      </c>
      <c r="J59" s="22">
        <v>45550</v>
      </c>
      <c r="M59">
        <v>-21.01999664306641</v>
      </c>
      <c r="N59">
        <v>-0.28478522338901002</v>
      </c>
      <c r="O59">
        <v>-20.799995422363281</v>
      </c>
      <c r="P59">
        <v>9.1529998779296875</v>
      </c>
      <c r="Q59" t="s">
        <v>588</v>
      </c>
      <c r="R59">
        <v>2020</v>
      </c>
    </row>
    <row r="60" spans="1:18" hidden="1" x14ac:dyDescent="0.35">
      <c r="A60" t="s">
        <v>645</v>
      </c>
      <c r="B60" s="22">
        <v>44136</v>
      </c>
      <c r="C60">
        <v>53.549999237060547</v>
      </c>
      <c r="D60">
        <v>70.209999084472656</v>
      </c>
      <c r="E60">
        <v>42</v>
      </c>
      <c r="F60">
        <v>66.779998779296875</v>
      </c>
      <c r="G60">
        <v>4659100</v>
      </c>
      <c r="H60">
        <v>66.779998779296875</v>
      </c>
      <c r="I60" t="s">
        <v>644</v>
      </c>
      <c r="J60" s="22">
        <v>45550</v>
      </c>
      <c r="M60">
        <v>13.989997863769529</v>
      </c>
      <c r="N60">
        <v>0.26501226787542248</v>
      </c>
      <c r="O60">
        <v>13.22999954223633</v>
      </c>
      <c r="P60">
        <v>16.659999847412109</v>
      </c>
      <c r="Q60" t="s">
        <v>584</v>
      </c>
      <c r="R60">
        <v>2020</v>
      </c>
    </row>
    <row r="61" spans="1:18" hidden="1" x14ac:dyDescent="0.35">
      <c r="A61" t="s">
        <v>645</v>
      </c>
      <c r="B61" s="22">
        <v>44166</v>
      </c>
      <c r="C61">
        <v>67.019996643066406</v>
      </c>
      <c r="D61">
        <v>133</v>
      </c>
      <c r="E61">
        <v>58.990001678466797</v>
      </c>
      <c r="F61">
        <v>88.290000915527344</v>
      </c>
      <c r="G61">
        <v>11463900</v>
      </c>
      <c r="H61">
        <v>88.290000915527344</v>
      </c>
      <c r="I61" t="s">
        <v>644</v>
      </c>
      <c r="J61" s="22">
        <v>45550</v>
      </c>
      <c r="M61">
        <v>21.510002136230469</v>
      </c>
      <c r="N61">
        <v>0.32210246375294932</v>
      </c>
      <c r="O61">
        <v>21.270004272460941</v>
      </c>
      <c r="P61">
        <v>65.980003356933594</v>
      </c>
      <c r="Q61" t="s">
        <v>587</v>
      </c>
      <c r="R61">
        <v>2020</v>
      </c>
    </row>
    <row r="62" spans="1:18" hidden="1" x14ac:dyDescent="0.35">
      <c r="A62" t="s">
        <v>645</v>
      </c>
      <c r="B62" s="22">
        <v>44197</v>
      </c>
      <c r="C62">
        <v>88.069999694824219</v>
      </c>
      <c r="D62">
        <v>106.7099990844727</v>
      </c>
      <c r="E62">
        <v>75.650001525878906</v>
      </c>
      <c r="F62">
        <v>95.339996337890625</v>
      </c>
      <c r="G62">
        <v>3586600</v>
      </c>
      <c r="H62">
        <v>95.339996337890625</v>
      </c>
      <c r="I62" t="s">
        <v>644</v>
      </c>
      <c r="J62" s="22">
        <v>45550</v>
      </c>
      <c r="M62">
        <v>7.0499954223632813</v>
      </c>
      <c r="N62">
        <v>7.9850440018779167E-2</v>
      </c>
      <c r="O62">
        <v>7.2699966430664063</v>
      </c>
      <c r="P62">
        <v>18.639999389648441</v>
      </c>
      <c r="Q62" t="s">
        <v>585</v>
      </c>
      <c r="R62">
        <v>2021</v>
      </c>
    </row>
    <row r="63" spans="1:18" hidden="1" x14ac:dyDescent="0.35">
      <c r="A63" t="s">
        <v>645</v>
      </c>
      <c r="B63" s="22">
        <v>44228</v>
      </c>
      <c r="C63">
        <v>96.739997863769531</v>
      </c>
      <c r="D63">
        <v>127.11000061035161</v>
      </c>
      <c r="E63">
        <v>81.120002746582031</v>
      </c>
      <c r="F63">
        <v>87.430000305175781</v>
      </c>
      <c r="G63">
        <v>3050400</v>
      </c>
      <c r="H63">
        <v>87.430000305175781</v>
      </c>
      <c r="I63" t="s">
        <v>644</v>
      </c>
      <c r="J63" s="22">
        <v>45550</v>
      </c>
      <c r="M63">
        <v>-7.9099960327148438</v>
      </c>
      <c r="N63">
        <v>-8.2966187712881223E-2</v>
      </c>
      <c r="O63">
        <v>-9.30999755859375</v>
      </c>
      <c r="P63">
        <v>30.370002746582031</v>
      </c>
      <c r="Q63" t="s">
        <v>586</v>
      </c>
      <c r="R63">
        <v>2021</v>
      </c>
    </row>
    <row r="64" spans="1:18" hidden="1" x14ac:dyDescent="0.35">
      <c r="A64" t="s">
        <v>645</v>
      </c>
      <c r="B64" s="22">
        <v>44256</v>
      </c>
      <c r="C64">
        <v>87.80999755859375</v>
      </c>
      <c r="D64">
        <v>95.94000244140625</v>
      </c>
      <c r="E64">
        <v>68.989997863769531</v>
      </c>
      <c r="F64">
        <v>76.69000244140625</v>
      </c>
      <c r="G64">
        <v>5421800</v>
      </c>
      <c r="H64">
        <v>76.69000244140625</v>
      </c>
      <c r="I64" t="s">
        <v>644</v>
      </c>
      <c r="J64" s="22">
        <v>45550</v>
      </c>
      <c r="M64">
        <v>-10.739997863769529</v>
      </c>
      <c r="N64">
        <v>-0.1228411051845065</v>
      </c>
      <c r="O64">
        <v>-11.1199951171875</v>
      </c>
      <c r="P64">
        <v>8.1300048828125</v>
      </c>
      <c r="Q64" t="s">
        <v>586</v>
      </c>
      <c r="R64">
        <v>2021</v>
      </c>
    </row>
    <row r="65" spans="1:18" hidden="1" x14ac:dyDescent="0.35">
      <c r="A65" t="s">
        <v>645</v>
      </c>
      <c r="B65" s="22">
        <v>44287</v>
      </c>
      <c r="C65">
        <v>77.160003662109375</v>
      </c>
      <c r="D65">
        <v>85</v>
      </c>
      <c r="E65">
        <v>56.290000915527337</v>
      </c>
      <c r="F65">
        <v>70.720001220703125</v>
      </c>
      <c r="G65">
        <v>3982200</v>
      </c>
      <c r="H65">
        <v>70.720001220703125</v>
      </c>
      <c r="I65" t="s">
        <v>644</v>
      </c>
      <c r="J65" s="22">
        <v>45550</v>
      </c>
      <c r="M65">
        <v>-5.970001220703125</v>
      </c>
      <c r="N65">
        <v>-7.7845886434342093E-2</v>
      </c>
      <c r="O65">
        <v>-6.44000244140625</v>
      </c>
      <c r="P65">
        <v>7.839996337890625</v>
      </c>
      <c r="Q65" t="s">
        <v>588</v>
      </c>
      <c r="R65">
        <v>2021</v>
      </c>
    </row>
    <row r="66" spans="1:18" hidden="1" x14ac:dyDescent="0.35">
      <c r="A66" t="s">
        <v>645</v>
      </c>
      <c r="B66" s="22">
        <v>44317</v>
      </c>
      <c r="C66">
        <v>70.989997863769531</v>
      </c>
      <c r="D66">
        <v>76.550003051757813</v>
      </c>
      <c r="E66">
        <v>56.080001831054688</v>
      </c>
      <c r="F66">
        <v>74.650001525878906</v>
      </c>
      <c r="G66">
        <v>3064500</v>
      </c>
      <c r="H66">
        <v>74.650001525878906</v>
      </c>
      <c r="I66" t="s">
        <v>644</v>
      </c>
      <c r="J66" s="22">
        <v>45550</v>
      </c>
      <c r="M66">
        <v>3.9300003051757808</v>
      </c>
      <c r="N66">
        <v>5.5571270324374478E-2</v>
      </c>
      <c r="O66">
        <v>3.660003662109375</v>
      </c>
      <c r="P66">
        <v>5.5600051879882813</v>
      </c>
      <c r="Q66" t="s">
        <v>583</v>
      </c>
      <c r="R66">
        <v>2021</v>
      </c>
    </row>
    <row r="67" spans="1:18" hidden="1" x14ac:dyDescent="0.35">
      <c r="A67" t="s">
        <v>645</v>
      </c>
      <c r="B67" s="22">
        <v>44348</v>
      </c>
      <c r="C67">
        <v>74.779998779296875</v>
      </c>
      <c r="D67">
        <v>99.44000244140625</v>
      </c>
      <c r="E67">
        <v>72.790000915527344</v>
      </c>
      <c r="F67">
        <v>83.199996948242188</v>
      </c>
      <c r="G67">
        <v>3775300</v>
      </c>
      <c r="H67">
        <v>83.199996948242188</v>
      </c>
      <c r="I67" t="s">
        <v>644</v>
      </c>
      <c r="J67" s="22">
        <v>45550</v>
      </c>
      <c r="M67">
        <v>8.5499954223632813</v>
      </c>
      <c r="N67">
        <v>0.1145344306443081</v>
      </c>
      <c r="O67">
        <v>8.4199981689453125</v>
      </c>
      <c r="P67">
        <v>24.660003662109379</v>
      </c>
      <c r="Q67" t="s">
        <v>587</v>
      </c>
      <c r="R67">
        <v>2021</v>
      </c>
    </row>
    <row r="68" spans="1:18" hidden="1" x14ac:dyDescent="0.35">
      <c r="A68" t="s">
        <v>645</v>
      </c>
      <c r="B68" s="22">
        <v>44378</v>
      </c>
      <c r="C68">
        <v>84.029998779296875</v>
      </c>
      <c r="D68">
        <v>93.980003356933594</v>
      </c>
      <c r="E68">
        <v>65.370002746582031</v>
      </c>
      <c r="F68">
        <v>68.010002136230469</v>
      </c>
      <c r="G68">
        <v>2745700</v>
      </c>
      <c r="H68">
        <v>68.010002136230469</v>
      </c>
      <c r="I68" t="s">
        <v>644</v>
      </c>
      <c r="J68" s="22">
        <v>45550</v>
      </c>
      <c r="M68">
        <v>-15.189994812011721</v>
      </c>
      <c r="N68">
        <v>-0.18257205972569021</v>
      </c>
      <c r="O68">
        <v>-16.01999664306641</v>
      </c>
      <c r="P68">
        <v>9.9500045776367188</v>
      </c>
      <c r="Q68" t="s">
        <v>588</v>
      </c>
      <c r="R68">
        <v>2021</v>
      </c>
    </row>
    <row r="69" spans="1:18" hidden="1" x14ac:dyDescent="0.35">
      <c r="A69" t="s">
        <v>645</v>
      </c>
      <c r="B69" s="22">
        <v>44409</v>
      </c>
      <c r="C69">
        <v>68.55999755859375</v>
      </c>
      <c r="D69">
        <v>86.910003662109375</v>
      </c>
      <c r="E69">
        <v>64</v>
      </c>
      <c r="F69">
        <v>71.209999084472656</v>
      </c>
      <c r="G69">
        <v>3038900</v>
      </c>
      <c r="H69">
        <v>71.209999084472656</v>
      </c>
      <c r="I69" t="s">
        <v>644</v>
      </c>
      <c r="J69" s="22">
        <v>45550</v>
      </c>
      <c r="M69">
        <v>3.1999969482421879</v>
      </c>
      <c r="N69">
        <v>4.7051857781628792E-2</v>
      </c>
      <c r="O69">
        <v>2.6500015258789058</v>
      </c>
      <c r="P69">
        <v>18.350006103515621</v>
      </c>
      <c r="Q69" t="s">
        <v>584</v>
      </c>
      <c r="R69">
        <v>2021</v>
      </c>
    </row>
    <row r="70" spans="1:18" hidden="1" x14ac:dyDescent="0.35">
      <c r="A70" t="s">
        <v>645</v>
      </c>
      <c r="B70" s="22">
        <v>44440</v>
      </c>
      <c r="C70">
        <v>71.660003662109375</v>
      </c>
      <c r="D70">
        <v>76.199996948242188</v>
      </c>
      <c r="E70">
        <v>65.269996643066406</v>
      </c>
      <c r="F70">
        <v>65.760002136230469</v>
      </c>
      <c r="G70">
        <v>2686500</v>
      </c>
      <c r="H70">
        <v>65.760002136230469</v>
      </c>
      <c r="I70" t="s">
        <v>644</v>
      </c>
      <c r="J70" s="22">
        <v>45550</v>
      </c>
      <c r="M70">
        <v>-5.4499969482421884</v>
      </c>
      <c r="N70">
        <v>-7.6534152763815477E-2</v>
      </c>
      <c r="O70">
        <v>-5.9000015258789063</v>
      </c>
      <c r="P70">
        <v>4.5399932861328116</v>
      </c>
      <c r="Q70" t="s">
        <v>582</v>
      </c>
      <c r="R70">
        <v>2021</v>
      </c>
    </row>
    <row r="71" spans="1:18" hidden="1" x14ac:dyDescent="0.35">
      <c r="A71" t="s">
        <v>645</v>
      </c>
      <c r="B71" s="22">
        <v>44470</v>
      </c>
      <c r="C71">
        <v>66.300003051757813</v>
      </c>
      <c r="D71">
        <v>67.739997863769531</v>
      </c>
      <c r="E71">
        <v>46.580001831054688</v>
      </c>
      <c r="F71">
        <v>46.919998168945313</v>
      </c>
      <c r="G71">
        <v>2718600</v>
      </c>
      <c r="H71">
        <v>46.919998168945313</v>
      </c>
      <c r="I71" t="s">
        <v>644</v>
      </c>
      <c r="J71" s="22">
        <v>45550</v>
      </c>
      <c r="M71">
        <v>-18.84000396728516</v>
      </c>
      <c r="N71">
        <v>-0.28649640138781651</v>
      </c>
      <c r="O71">
        <v>-19.3800048828125</v>
      </c>
      <c r="P71">
        <v>1.439994812011719</v>
      </c>
      <c r="Q71" t="s">
        <v>585</v>
      </c>
      <c r="R71">
        <v>2021</v>
      </c>
    </row>
    <row r="72" spans="1:18" hidden="1" x14ac:dyDescent="0.35">
      <c r="A72" t="s">
        <v>645</v>
      </c>
      <c r="B72" s="22">
        <v>44501</v>
      </c>
      <c r="C72">
        <v>47.479999542236328</v>
      </c>
      <c r="D72">
        <v>64.519996643066406</v>
      </c>
      <c r="E72">
        <v>44.799999237060547</v>
      </c>
      <c r="F72">
        <v>49.919998168945313</v>
      </c>
      <c r="G72">
        <v>5470900</v>
      </c>
      <c r="H72">
        <v>49.919998168945313</v>
      </c>
      <c r="I72" t="s">
        <v>644</v>
      </c>
      <c r="J72" s="22">
        <v>45550</v>
      </c>
      <c r="M72">
        <v>3</v>
      </c>
      <c r="N72">
        <v>6.3938621421038233E-2</v>
      </c>
      <c r="O72">
        <v>2.4399986267089839</v>
      </c>
      <c r="P72">
        <v>17.039997100830082</v>
      </c>
      <c r="Q72" t="s">
        <v>586</v>
      </c>
      <c r="R72">
        <v>2021</v>
      </c>
    </row>
    <row r="73" spans="1:18" hidden="1" x14ac:dyDescent="0.35">
      <c r="A73" t="s">
        <v>645</v>
      </c>
      <c r="B73" s="22">
        <v>44531</v>
      </c>
      <c r="C73">
        <v>50</v>
      </c>
      <c r="D73">
        <v>53.919998168945313</v>
      </c>
      <c r="E73">
        <v>25.454999923706051</v>
      </c>
      <c r="F73">
        <v>29.329999923706051</v>
      </c>
      <c r="G73">
        <v>8422000</v>
      </c>
      <c r="H73">
        <v>29.329999923706051</v>
      </c>
      <c r="I73" t="s">
        <v>644</v>
      </c>
      <c r="J73" s="22">
        <v>45550</v>
      </c>
      <c r="M73">
        <v>-20.589998245239261</v>
      </c>
      <c r="N73">
        <v>-0.41245991587491831</v>
      </c>
      <c r="O73">
        <v>-20.670000076293949</v>
      </c>
      <c r="P73">
        <v>3.9199981689453121</v>
      </c>
      <c r="Q73" t="s">
        <v>582</v>
      </c>
      <c r="R73">
        <v>2021</v>
      </c>
    </row>
    <row r="74" spans="1:18" hidden="1" x14ac:dyDescent="0.35">
      <c r="A74" t="s">
        <v>645</v>
      </c>
      <c r="B74" s="22">
        <v>44562</v>
      </c>
      <c r="C74">
        <v>29.729999542236332</v>
      </c>
      <c r="D74">
        <v>30.45999908447266</v>
      </c>
      <c r="E74">
        <v>15.72000026702881</v>
      </c>
      <c r="F74">
        <v>17.70000076293945</v>
      </c>
      <c r="G74">
        <v>7419400</v>
      </c>
      <c r="H74">
        <v>17.70000076293945</v>
      </c>
      <c r="I74" t="s">
        <v>644</v>
      </c>
      <c r="J74" s="22">
        <v>45550</v>
      </c>
      <c r="M74">
        <v>-11.6299991607666</v>
      </c>
      <c r="N74">
        <v>-0.39652230450115422</v>
      </c>
      <c r="O74">
        <v>-12.02999877929688</v>
      </c>
      <c r="P74">
        <v>0.72999954223632813</v>
      </c>
      <c r="Q74" t="s">
        <v>583</v>
      </c>
      <c r="R74">
        <v>2022</v>
      </c>
    </row>
    <row r="75" spans="1:18" hidden="1" x14ac:dyDescent="0.35">
      <c r="A75" t="s">
        <v>645</v>
      </c>
      <c r="B75" s="22">
        <v>44593</v>
      </c>
      <c r="C75">
        <v>17.989999771118161</v>
      </c>
      <c r="D75">
        <v>19.64999961853027</v>
      </c>
      <c r="E75">
        <v>14.47000026702881</v>
      </c>
      <c r="F75">
        <v>16.680000305175781</v>
      </c>
      <c r="G75">
        <v>5527400</v>
      </c>
      <c r="H75">
        <v>16.680000305175781</v>
      </c>
      <c r="I75" t="s">
        <v>644</v>
      </c>
      <c r="J75" s="22">
        <v>45550</v>
      </c>
      <c r="M75">
        <v>-1.0200004577636721</v>
      </c>
      <c r="N75">
        <v>-5.7627142022466223E-2</v>
      </c>
      <c r="O75">
        <v>-1.309999465942383</v>
      </c>
      <c r="P75">
        <v>1.6599998474121089</v>
      </c>
      <c r="Q75" t="s">
        <v>587</v>
      </c>
      <c r="R75">
        <v>2022</v>
      </c>
    </row>
    <row r="76" spans="1:18" hidden="1" x14ac:dyDescent="0.35">
      <c r="A76" t="s">
        <v>645</v>
      </c>
      <c r="B76" s="22">
        <v>44621</v>
      </c>
      <c r="C76">
        <v>16.659999847412109</v>
      </c>
      <c r="D76">
        <v>35.979999542236328</v>
      </c>
      <c r="E76">
        <v>13.10999965667725</v>
      </c>
      <c r="F76">
        <v>26.729999542236332</v>
      </c>
      <c r="G76">
        <v>58689300</v>
      </c>
      <c r="H76">
        <v>26.729999542236332</v>
      </c>
      <c r="I76" t="s">
        <v>644</v>
      </c>
      <c r="J76" s="22">
        <v>45550</v>
      </c>
      <c r="M76">
        <v>10.04999923706055</v>
      </c>
      <c r="N76">
        <v>0.6025179288481215</v>
      </c>
      <c r="O76">
        <v>10.069999694824221</v>
      </c>
      <c r="P76">
        <v>19.319999694824219</v>
      </c>
      <c r="Q76" t="s">
        <v>587</v>
      </c>
      <c r="R76">
        <v>2022</v>
      </c>
    </row>
    <row r="77" spans="1:18" hidden="1" x14ac:dyDescent="0.35">
      <c r="A77" t="s">
        <v>645</v>
      </c>
      <c r="B77" s="22">
        <v>44652</v>
      </c>
      <c r="C77">
        <v>26.729999542236332</v>
      </c>
      <c r="D77">
        <v>27.079999923706051</v>
      </c>
      <c r="E77">
        <v>16.277999877929691</v>
      </c>
      <c r="F77">
        <v>16.739999771118161</v>
      </c>
      <c r="G77">
        <v>9345800</v>
      </c>
      <c r="H77">
        <v>16.739999771118161</v>
      </c>
      <c r="I77" t="s">
        <v>644</v>
      </c>
      <c r="J77" s="22">
        <v>45550</v>
      </c>
      <c r="M77">
        <v>-9.9899997711181641</v>
      </c>
      <c r="N77">
        <v>-0.37373737157506759</v>
      </c>
      <c r="O77">
        <v>-9.9899997711181641</v>
      </c>
      <c r="P77">
        <v>0.35000038146972662</v>
      </c>
      <c r="Q77" t="s">
        <v>585</v>
      </c>
      <c r="R77">
        <v>2022</v>
      </c>
    </row>
    <row r="78" spans="1:18" hidden="1" x14ac:dyDescent="0.35">
      <c r="A78" t="s">
        <v>645</v>
      </c>
      <c r="B78" s="22">
        <v>44682</v>
      </c>
      <c r="C78">
        <v>16.840000152587891</v>
      </c>
      <c r="D78">
        <v>19.190000534057621</v>
      </c>
      <c r="E78">
        <v>12.74300003051758</v>
      </c>
      <c r="F78">
        <v>16.780000686645511</v>
      </c>
      <c r="G78">
        <v>8561600</v>
      </c>
      <c r="H78">
        <v>16.780000686645511</v>
      </c>
      <c r="I78" t="s">
        <v>644</v>
      </c>
      <c r="J78" s="22">
        <v>45550</v>
      </c>
      <c r="M78">
        <v>4.000091552734375E-2</v>
      </c>
      <c r="N78">
        <v>2.3895409841259152E-3</v>
      </c>
      <c r="O78">
        <v>-5.9999465942382813E-2</v>
      </c>
      <c r="P78">
        <v>2.350000381469727</v>
      </c>
      <c r="Q78" t="s">
        <v>584</v>
      </c>
      <c r="R78">
        <v>2022</v>
      </c>
    </row>
    <row r="79" spans="1:18" hidden="1" x14ac:dyDescent="0.35">
      <c r="A79" t="s">
        <v>645</v>
      </c>
      <c r="B79" s="22">
        <v>44713</v>
      </c>
      <c r="C79">
        <v>16.760000228881839</v>
      </c>
      <c r="D79">
        <v>19.70999908447266</v>
      </c>
      <c r="E79">
        <v>12.670000076293951</v>
      </c>
      <c r="F79">
        <v>18.030000686645511</v>
      </c>
      <c r="G79">
        <v>6180700</v>
      </c>
      <c r="H79">
        <v>18.030000686645511</v>
      </c>
      <c r="I79" t="s">
        <v>644</v>
      </c>
      <c r="J79" s="22">
        <v>45550</v>
      </c>
      <c r="M79">
        <v>1.25</v>
      </c>
      <c r="N79">
        <v>7.4493441528570514E-2</v>
      </c>
      <c r="O79">
        <v>1.2700004577636721</v>
      </c>
      <c r="P79">
        <v>2.9499988555908199</v>
      </c>
      <c r="Q79" t="s">
        <v>582</v>
      </c>
      <c r="R79">
        <v>2022</v>
      </c>
    </row>
    <row r="80" spans="1:18" hidden="1" x14ac:dyDescent="0.35">
      <c r="A80" t="s">
        <v>645</v>
      </c>
      <c r="B80" s="22">
        <v>44743</v>
      </c>
      <c r="C80">
        <v>18.010000228881839</v>
      </c>
      <c r="D80">
        <v>21.329999923706051</v>
      </c>
      <c r="E80">
        <v>16</v>
      </c>
      <c r="F80">
        <v>16.110000610351559</v>
      </c>
      <c r="G80">
        <v>2734400</v>
      </c>
      <c r="H80">
        <v>16.110000610351559</v>
      </c>
      <c r="I80" t="s">
        <v>644</v>
      </c>
      <c r="J80" s="22">
        <v>45550</v>
      </c>
      <c r="M80">
        <v>-1.9200000762939451</v>
      </c>
      <c r="N80">
        <v>-0.10648918486819881</v>
      </c>
      <c r="O80">
        <v>-1.899999618530273</v>
      </c>
      <c r="P80">
        <v>3.3199996948242192</v>
      </c>
      <c r="Q80" t="s">
        <v>585</v>
      </c>
      <c r="R80">
        <v>2022</v>
      </c>
    </row>
    <row r="81" spans="1:18" hidden="1" x14ac:dyDescent="0.35">
      <c r="A81" t="s">
        <v>645</v>
      </c>
      <c r="B81" s="22">
        <v>44774</v>
      </c>
      <c r="C81">
        <v>15.829999923706049</v>
      </c>
      <c r="D81">
        <v>27.239999771118161</v>
      </c>
      <c r="E81">
        <v>15.25</v>
      </c>
      <c r="F81">
        <v>19.409999847412109</v>
      </c>
      <c r="G81">
        <v>5086800</v>
      </c>
      <c r="H81">
        <v>19.409999847412109</v>
      </c>
      <c r="I81" t="s">
        <v>644</v>
      </c>
      <c r="J81" s="22">
        <v>45550</v>
      </c>
      <c r="M81">
        <v>3.2999992370605469</v>
      </c>
      <c r="N81">
        <v>0.2048416581027388</v>
      </c>
      <c r="O81">
        <v>3.5799999237060551</v>
      </c>
      <c r="P81">
        <v>11.409999847412109</v>
      </c>
      <c r="Q81" t="s">
        <v>586</v>
      </c>
      <c r="R81">
        <v>2022</v>
      </c>
    </row>
    <row r="82" spans="1:18" hidden="1" x14ac:dyDescent="0.35">
      <c r="A82" t="s">
        <v>645</v>
      </c>
      <c r="B82" s="22">
        <v>44805</v>
      </c>
      <c r="C82">
        <v>19.10000038146973</v>
      </c>
      <c r="D82">
        <v>25.760000228881839</v>
      </c>
      <c r="E82">
        <v>18.29999923706055</v>
      </c>
      <c r="F82">
        <v>22.739999771118161</v>
      </c>
      <c r="G82">
        <v>4604300</v>
      </c>
      <c r="H82">
        <v>22.739999771118161</v>
      </c>
      <c r="I82" t="s">
        <v>644</v>
      </c>
      <c r="J82" s="22">
        <v>45550</v>
      </c>
      <c r="M82">
        <v>3.3299999237060551</v>
      </c>
      <c r="N82">
        <v>0.17156104842267861</v>
      </c>
      <c r="O82">
        <v>3.6399993896484379</v>
      </c>
      <c r="P82">
        <v>6.6599998474121094</v>
      </c>
      <c r="Q82" t="s">
        <v>588</v>
      </c>
      <c r="R82">
        <v>2022</v>
      </c>
    </row>
    <row r="83" spans="1:18" hidden="1" x14ac:dyDescent="0.35">
      <c r="A83" t="s">
        <v>645</v>
      </c>
      <c r="B83" s="22">
        <v>44835</v>
      </c>
      <c r="C83">
        <v>22.489999771118161</v>
      </c>
      <c r="D83">
        <v>23.670000076293949</v>
      </c>
      <c r="E83">
        <v>17.940000534057621</v>
      </c>
      <c r="F83">
        <v>20</v>
      </c>
      <c r="G83">
        <v>2794200</v>
      </c>
      <c r="H83">
        <v>20</v>
      </c>
      <c r="I83" t="s">
        <v>644</v>
      </c>
      <c r="J83" s="22">
        <v>45550</v>
      </c>
      <c r="M83">
        <v>-2.7399997711181641</v>
      </c>
      <c r="N83">
        <v>-0.1204925153340682</v>
      </c>
      <c r="O83">
        <v>-2.4899997711181641</v>
      </c>
      <c r="P83">
        <v>1.180000305175781</v>
      </c>
      <c r="Q83" t="s">
        <v>583</v>
      </c>
      <c r="R83">
        <v>2022</v>
      </c>
    </row>
    <row r="84" spans="1:18" hidden="1" x14ac:dyDescent="0.35">
      <c r="A84" t="s">
        <v>645</v>
      </c>
      <c r="B84" s="22">
        <v>44866</v>
      </c>
      <c r="C84">
        <v>20.25</v>
      </c>
      <c r="D84">
        <v>28.20000076293945</v>
      </c>
      <c r="E84">
        <v>15.810000419616699</v>
      </c>
      <c r="F84">
        <v>22.010000228881839</v>
      </c>
      <c r="G84">
        <v>6133400</v>
      </c>
      <c r="H84">
        <v>22.010000228881839</v>
      </c>
      <c r="I84" t="s">
        <v>644</v>
      </c>
      <c r="J84" s="22">
        <v>45550</v>
      </c>
      <c r="M84">
        <v>2.0100002288818359</v>
      </c>
      <c r="N84">
        <v>0.10050001144409169</v>
      </c>
      <c r="O84">
        <v>1.7600002288818359</v>
      </c>
      <c r="P84">
        <v>7.9500007629394531</v>
      </c>
      <c r="Q84" t="s">
        <v>587</v>
      </c>
      <c r="R84">
        <v>2022</v>
      </c>
    </row>
    <row r="85" spans="1:18" hidden="1" x14ac:dyDescent="0.35">
      <c r="A85" t="s">
        <v>645</v>
      </c>
      <c r="B85" s="22">
        <v>44896</v>
      </c>
      <c r="C85">
        <v>22.20000076293945</v>
      </c>
      <c r="D85">
        <v>22.896999359130859</v>
      </c>
      <c r="E85">
        <v>15.30000019073486</v>
      </c>
      <c r="F85">
        <v>17.010000228881839</v>
      </c>
      <c r="G85">
        <v>5037500</v>
      </c>
      <c r="H85">
        <v>17.010000228881839</v>
      </c>
      <c r="I85" t="s">
        <v>644</v>
      </c>
      <c r="J85" s="22">
        <v>45550</v>
      </c>
      <c r="M85">
        <v>-5</v>
      </c>
      <c r="N85">
        <v>-0.22716946606111019</v>
      </c>
      <c r="O85">
        <v>-5.1900005340576172</v>
      </c>
      <c r="P85">
        <v>0.69699859619140625</v>
      </c>
      <c r="Q85" t="s">
        <v>588</v>
      </c>
      <c r="R85">
        <v>2022</v>
      </c>
    </row>
    <row r="86" spans="1:18" hidden="1" x14ac:dyDescent="0.35">
      <c r="A86" t="s">
        <v>645</v>
      </c>
      <c r="B86" s="22">
        <v>44927</v>
      </c>
      <c r="C86">
        <v>17.39999961853027</v>
      </c>
      <c r="D86">
        <v>27.920000076293949</v>
      </c>
      <c r="E86">
        <v>16.489999771118161</v>
      </c>
      <c r="F86">
        <v>22.729999542236332</v>
      </c>
      <c r="G86">
        <v>4121000</v>
      </c>
      <c r="H86">
        <v>22.729999542236332</v>
      </c>
      <c r="I86" t="s">
        <v>644</v>
      </c>
      <c r="J86" s="22">
        <v>45550</v>
      </c>
      <c r="M86">
        <v>5.7199993133544922</v>
      </c>
      <c r="N86">
        <v>0.33627273582526568</v>
      </c>
      <c r="O86">
        <v>5.3299999237060547</v>
      </c>
      <c r="P86">
        <v>10.52000045776367</v>
      </c>
      <c r="Q86" t="s">
        <v>584</v>
      </c>
      <c r="R86">
        <v>2023</v>
      </c>
    </row>
    <row r="87" spans="1:18" hidden="1" x14ac:dyDescent="0.35">
      <c r="A87" t="s">
        <v>645</v>
      </c>
      <c r="B87" s="22">
        <v>44958</v>
      </c>
      <c r="C87">
        <v>22.840000152587891</v>
      </c>
      <c r="D87">
        <v>25.530000686645511</v>
      </c>
      <c r="E87">
        <v>20.639999389648441</v>
      </c>
      <c r="F87">
        <v>21.020000457763668</v>
      </c>
      <c r="G87">
        <v>3258500</v>
      </c>
      <c r="H87">
        <v>21.020000457763668</v>
      </c>
      <c r="I87" t="s">
        <v>644</v>
      </c>
      <c r="J87" s="22">
        <v>45550</v>
      </c>
      <c r="M87">
        <v>-1.709999084472656</v>
      </c>
      <c r="N87">
        <v>-7.5230933520045951E-2</v>
      </c>
      <c r="O87">
        <v>-1.819999694824219</v>
      </c>
      <c r="P87">
        <v>2.6900005340576172</v>
      </c>
      <c r="Q87" t="s">
        <v>582</v>
      </c>
      <c r="R87">
        <v>2023</v>
      </c>
    </row>
    <row r="88" spans="1:18" hidden="1" x14ac:dyDescent="0.35">
      <c r="A88" t="s">
        <v>645</v>
      </c>
      <c r="B88" s="22">
        <v>44986</v>
      </c>
      <c r="C88">
        <v>21.04999923706055</v>
      </c>
      <c r="D88">
        <v>22.370000839233398</v>
      </c>
      <c r="E88">
        <v>13.64000034332275</v>
      </c>
      <c r="F88">
        <v>13.739999771118161</v>
      </c>
      <c r="G88">
        <v>4952400</v>
      </c>
      <c r="H88">
        <v>13.739999771118161</v>
      </c>
      <c r="I88" t="s">
        <v>644</v>
      </c>
      <c r="J88" s="22">
        <v>45550</v>
      </c>
      <c r="M88">
        <v>-7.2800006866455078</v>
      </c>
      <c r="N88">
        <v>-0.3463368471981485</v>
      </c>
      <c r="O88">
        <v>-7.3099994659423828</v>
      </c>
      <c r="P88">
        <v>1.320001602172852</v>
      </c>
      <c r="Q88" t="s">
        <v>582</v>
      </c>
      <c r="R88">
        <v>2023</v>
      </c>
    </row>
    <row r="89" spans="1:18" hidden="1" x14ac:dyDescent="0.35">
      <c r="A89" t="s">
        <v>645</v>
      </c>
      <c r="B89" s="22">
        <v>45017</v>
      </c>
      <c r="C89">
        <v>13.85000038146973</v>
      </c>
      <c r="D89">
        <v>14.819999694824221</v>
      </c>
      <c r="E89">
        <v>9.7399997711181641</v>
      </c>
      <c r="F89">
        <v>10.829999923706049</v>
      </c>
      <c r="G89">
        <v>5742800</v>
      </c>
      <c r="H89">
        <v>10.829999923706049</v>
      </c>
      <c r="I89" t="s">
        <v>644</v>
      </c>
      <c r="J89" s="22">
        <v>45550</v>
      </c>
      <c r="M89">
        <v>-2.9099998474121089</v>
      </c>
      <c r="N89">
        <v>-0.211790385435741</v>
      </c>
      <c r="O89">
        <v>-3.0200004577636719</v>
      </c>
      <c r="P89">
        <v>0.96999931335449219</v>
      </c>
      <c r="Q89" t="s">
        <v>583</v>
      </c>
      <c r="R89">
        <v>2023</v>
      </c>
    </row>
    <row r="90" spans="1:18" hidden="1" x14ac:dyDescent="0.35">
      <c r="A90" t="s">
        <v>645</v>
      </c>
      <c r="B90" s="22">
        <v>45047</v>
      </c>
      <c r="C90">
        <v>10.829999923706049</v>
      </c>
      <c r="D90">
        <v>14.060000419616699</v>
      </c>
      <c r="E90">
        <v>10.789999961853029</v>
      </c>
      <c r="F90">
        <v>12.05000019073486</v>
      </c>
      <c r="G90">
        <v>4632800</v>
      </c>
      <c r="H90">
        <v>12.05000019073486</v>
      </c>
      <c r="I90" t="s">
        <v>644</v>
      </c>
      <c r="J90" s="22">
        <v>45550</v>
      </c>
      <c r="M90">
        <v>1.220000267028809</v>
      </c>
      <c r="N90">
        <v>0.1126500716180356</v>
      </c>
      <c r="O90">
        <v>1.220000267028809</v>
      </c>
      <c r="P90">
        <v>3.230000495910645</v>
      </c>
      <c r="Q90" t="s">
        <v>586</v>
      </c>
      <c r="R90">
        <v>2023</v>
      </c>
    </row>
    <row r="91" spans="1:18" hidden="1" x14ac:dyDescent="0.35">
      <c r="A91" t="s">
        <v>645</v>
      </c>
      <c r="B91" s="22">
        <v>45078</v>
      </c>
      <c r="C91">
        <v>12.14999961853027</v>
      </c>
      <c r="D91">
        <v>13.739999771118161</v>
      </c>
      <c r="E91">
        <v>8.505000114440918</v>
      </c>
      <c r="F91">
        <v>9.2299995422363281</v>
      </c>
      <c r="G91">
        <v>11166900</v>
      </c>
      <c r="H91">
        <v>9.2299995422363281</v>
      </c>
      <c r="I91" t="s">
        <v>644</v>
      </c>
      <c r="J91" s="22">
        <v>45550</v>
      </c>
      <c r="M91">
        <v>-2.8200006484985352</v>
      </c>
      <c r="N91">
        <v>-0.23402494637857421</v>
      </c>
      <c r="O91">
        <v>-2.9200000762939449</v>
      </c>
      <c r="P91">
        <v>1.5900001525878911</v>
      </c>
      <c r="Q91" t="s">
        <v>588</v>
      </c>
      <c r="R91">
        <v>2023</v>
      </c>
    </row>
    <row r="92" spans="1:18" hidden="1" x14ac:dyDescent="0.35">
      <c r="A92" t="s">
        <v>645</v>
      </c>
      <c r="B92" s="22">
        <v>45108</v>
      </c>
      <c r="C92">
        <v>9.2299995422363281</v>
      </c>
      <c r="D92">
        <v>10.960000038146971</v>
      </c>
      <c r="E92">
        <v>9.0399999618530273</v>
      </c>
      <c r="F92">
        <v>10.64000034332275</v>
      </c>
      <c r="G92">
        <v>4026400</v>
      </c>
      <c r="H92">
        <v>10.64000034332275</v>
      </c>
      <c r="I92" t="s">
        <v>644</v>
      </c>
      <c r="J92" s="22">
        <v>45550</v>
      </c>
      <c r="M92">
        <v>1.410000801086426</v>
      </c>
      <c r="N92">
        <v>0.1527628245954169</v>
      </c>
      <c r="O92">
        <v>1.410000801086426</v>
      </c>
      <c r="P92">
        <v>1.730000495910645</v>
      </c>
      <c r="Q92" t="s">
        <v>583</v>
      </c>
      <c r="R92">
        <v>2023</v>
      </c>
    </row>
    <row r="93" spans="1:18" hidden="1" x14ac:dyDescent="0.35">
      <c r="A93" t="s">
        <v>645</v>
      </c>
      <c r="B93" s="22">
        <v>45139</v>
      </c>
      <c r="C93">
        <v>10.560000419616699</v>
      </c>
      <c r="D93">
        <v>10.560000419616699</v>
      </c>
      <c r="E93">
        <v>7.0300002098083496</v>
      </c>
      <c r="F93">
        <v>7.1500000953674316</v>
      </c>
      <c r="G93">
        <v>4815900</v>
      </c>
      <c r="H93">
        <v>7.1500000953674316</v>
      </c>
      <c r="I93" t="s">
        <v>644</v>
      </c>
      <c r="J93" s="22">
        <v>45550</v>
      </c>
      <c r="M93">
        <v>-3.4900002479553218</v>
      </c>
      <c r="N93">
        <v>-0.32800753151718731</v>
      </c>
      <c r="O93">
        <v>-3.410000324249268</v>
      </c>
      <c r="P93">
        <v>0</v>
      </c>
      <c r="Q93" t="s">
        <v>587</v>
      </c>
      <c r="R93">
        <v>2023</v>
      </c>
    </row>
    <row r="94" spans="1:18" hidden="1" x14ac:dyDescent="0.35">
      <c r="A94" t="s">
        <v>645</v>
      </c>
      <c r="B94" s="22">
        <v>45170</v>
      </c>
      <c r="C94">
        <v>7.190000057220459</v>
      </c>
      <c r="D94">
        <v>8.5600004196166992</v>
      </c>
      <c r="E94">
        <v>6.4499998092651367</v>
      </c>
      <c r="F94">
        <v>8.3500003814697266</v>
      </c>
      <c r="G94">
        <v>5228800</v>
      </c>
      <c r="H94">
        <v>8.3500003814697266</v>
      </c>
      <c r="I94" t="s">
        <v>644</v>
      </c>
      <c r="J94" s="22">
        <v>45550</v>
      </c>
      <c r="M94">
        <v>1.2000002861022949</v>
      </c>
      <c r="N94">
        <v>0.16783220560791179</v>
      </c>
      <c r="O94">
        <v>1.160000324249268</v>
      </c>
      <c r="P94">
        <v>1.37000036239624</v>
      </c>
      <c r="Q94" t="s">
        <v>585</v>
      </c>
      <c r="R94">
        <v>2023</v>
      </c>
    </row>
    <row r="95" spans="1:18" hidden="1" x14ac:dyDescent="0.35">
      <c r="A95" t="s">
        <v>645</v>
      </c>
      <c r="B95" s="22">
        <v>45200</v>
      </c>
      <c r="C95">
        <v>8.3100004196166992</v>
      </c>
      <c r="D95">
        <v>8.3299999237060547</v>
      </c>
      <c r="E95">
        <v>3.8900001049041748</v>
      </c>
      <c r="F95">
        <v>3.940000057220459</v>
      </c>
      <c r="G95">
        <v>7677600</v>
      </c>
      <c r="H95">
        <v>3.940000057220459</v>
      </c>
      <c r="I95" t="s">
        <v>644</v>
      </c>
      <c r="J95" s="22">
        <v>45550</v>
      </c>
      <c r="M95">
        <v>-4.4100003242492676</v>
      </c>
      <c r="N95">
        <v>-0.52814372727885317</v>
      </c>
      <c r="O95">
        <v>-4.3700003623962402</v>
      </c>
      <c r="P95">
        <v>1.9999504089355469E-2</v>
      </c>
      <c r="Q95" t="s">
        <v>584</v>
      </c>
      <c r="R95">
        <v>2023</v>
      </c>
    </row>
    <row r="96" spans="1:18" hidden="1" x14ac:dyDescent="0.35">
      <c r="A96" t="s">
        <v>645</v>
      </c>
      <c r="B96" s="22">
        <v>45231</v>
      </c>
      <c r="C96">
        <v>3.940000057220459</v>
      </c>
      <c r="D96">
        <v>7.070000171661377</v>
      </c>
      <c r="E96">
        <v>3.809999942779541</v>
      </c>
      <c r="F96">
        <v>6.7399997711181641</v>
      </c>
      <c r="G96">
        <v>7324200</v>
      </c>
      <c r="H96">
        <v>6.7399997711181641</v>
      </c>
      <c r="I96" t="s">
        <v>644</v>
      </c>
      <c r="J96" s="22">
        <v>45550</v>
      </c>
      <c r="M96">
        <v>2.7999997138977051</v>
      </c>
      <c r="N96">
        <v>0.71065981554147828</v>
      </c>
      <c r="O96">
        <v>2.7999997138977051</v>
      </c>
      <c r="P96">
        <v>3.130000114440918</v>
      </c>
      <c r="Q96" t="s">
        <v>582</v>
      </c>
      <c r="R96">
        <v>2023</v>
      </c>
    </row>
    <row r="97" spans="1:18" hidden="1" x14ac:dyDescent="0.35">
      <c r="A97" t="s">
        <v>645</v>
      </c>
      <c r="B97" s="22">
        <v>45261</v>
      </c>
      <c r="C97">
        <v>6.7300000190734863</v>
      </c>
      <c r="D97">
        <v>9.4899997711181641</v>
      </c>
      <c r="E97">
        <v>5.5799999237060547</v>
      </c>
      <c r="F97">
        <v>8.3100004196166992</v>
      </c>
      <c r="G97">
        <v>7034200</v>
      </c>
      <c r="H97">
        <v>8.3100004196166992</v>
      </c>
      <c r="I97" t="s">
        <v>644</v>
      </c>
      <c r="J97" s="22">
        <v>45550</v>
      </c>
      <c r="M97">
        <v>1.5700006484985349</v>
      </c>
      <c r="N97">
        <v>0.23293778958661179</v>
      </c>
      <c r="O97">
        <v>1.5800004005432129</v>
      </c>
      <c r="P97">
        <v>2.7599997520446782</v>
      </c>
      <c r="Q97" t="s">
        <v>585</v>
      </c>
      <c r="R97">
        <v>2023</v>
      </c>
    </row>
    <row r="98" spans="1:18" hidden="1" x14ac:dyDescent="0.35">
      <c r="A98" t="s">
        <v>647</v>
      </c>
      <c r="B98" s="22">
        <v>44531</v>
      </c>
      <c r="C98">
        <v>11.47999954223633</v>
      </c>
      <c r="D98">
        <v>11.85999965667725</v>
      </c>
      <c r="E98">
        <v>7.2600002288818359</v>
      </c>
      <c r="F98">
        <v>7.8899998664855957</v>
      </c>
      <c r="G98">
        <v>44483600</v>
      </c>
      <c r="H98">
        <v>7.8899998664855957</v>
      </c>
      <c r="I98" t="s">
        <v>646</v>
      </c>
      <c r="J98" s="22">
        <v>45550</v>
      </c>
      <c r="O98">
        <v>-3.589999675750732</v>
      </c>
      <c r="P98">
        <v>0.38000011444091802</v>
      </c>
      <c r="Q98" t="s">
        <v>582</v>
      </c>
      <c r="R98">
        <v>2021</v>
      </c>
    </row>
    <row r="99" spans="1:18" hidden="1" x14ac:dyDescent="0.35">
      <c r="A99" t="s">
        <v>647</v>
      </c>
      <c r="B99" s="22">
        <v>44562</v>
      </c>
      <c r="C99">
        <v>7.9600000381469727</v>
      </c>
      <c r="D99">
        <v>8.1999998092651367</v>
      </c>
      <c r="E99">
        <v>4.869999885559082</v>
      </c>
      <c r="F99">
        <v>5.6599998474121094</v>
      </c>
      <c r="G99">
        <v>47345500</v>
      </c>
      <c r="H99">
        <v>5.6599998474121094</v>
      </c>
      <c r="I99" t="s">
        <v>646</v>
      </c>
      <c r="J99" s="22">
        <v>45550</v>
      </c>
      <c r="M99">
        <v>-2.2300000190734859</v>
      </c>
      <c r="N99">
        <v>-0.28263625561590588</v>
      </c>
      <c r="O99">
        <v>-2.3000001907348628</v>
      </c>
      <c r="P99">
        <v>0.23999977111816409</v>
      </c>
      <c r="Q99" t="s">
        <v>583</v>
      </c>
      <c r="R99">
        <v>2022</v>
      </c>
    </row>
    <row r="100" spans="1:18" hidden="1" x14ac:dyDescent="0.35">
      <c r="A100" t="s">
        <v>647</v>
      </c>
      <c r="B100" s="22">
        <v>44593</v>
      </c>
      <c r="C100">
        <v>5.679999828338623</v>
      </c>
      <c r="D100">
        <v>7.320000171661377</v>
      </c>
      <c r="E100">
        <v>4.9000000953674316</v>
      </c>
      <c r="F100">
        <v>6.2699999809265137</v>
      </c>
      <c r="G100">
        <v>27107100</v>
      </c>
      <c r="H100">
        <v>6.2699999809265137</v>
      </c>
      <c r="I100" t="s">
        <v>646</v>
      </c>
      <c r="J100" s="22">
        <v>45550</v>
      </c>
      <c r="M100">
        <v>0.6100001335144043</v>
      </c>
      <c r="N100">
        <v>0.1077738780846984</v>
      </c>
      <c r="O100">
        <v>0.59000015258789063</v>
      </c>
      <c r="P100">
        <v>1.6400003433227539</v>
      </c>
      <c r="Q100" t="s">
        <v>587</v>
      </c>
      <c r="R100">
        <v>2022</v>
      </c>
    </row>
    <row r="101" spans="1:18" hidden="1" x14ac:dyDescent="0.35">
      <c r="A101" t="s">
        <v>647</v>
      </c>
      <c r="B101" s="22">
        <v>44621</v>
      </c>
      <c r="C101">
        <v>6.3000001907348633</v>
      </c>
      <c r="D101">
        <v>6.4699997901916504</v>
      </c>
      <c r="E101">
        <v>4.8600001335144043</v>
      </c>
      <c r="F101">
        <v>5.9899997711181641</v>
      </c>
      <c r="G101">
        <v>33432200</v>
      </c>
      <c r="H101">
        <v>5.9899997711181641</v>
      </c>
      <c r="I101" t="s">
        <v>646</v>
      </c>
      <c r="J101" s="22">
        <v>45550</v>
      </c>
      <c r="M101">
        <v>-0.28000020980834961</v>
      </c>
      <c r="N101">
        <v>-4.4657130886781027E-2</v>
      </c>
      <c r="O101">
        <v>-0.31000041961669922</v>
      </c>
      <c r="P101">
        <v>0.16999959945678711</v>
      </c>
      <c r="Q101" t="s">
        <v>587</v>
      </c>
      <c r="R101">
        <v>2022</v>
      </c>
    </row>
    <row r="102" spans="1:18" hidden="1" x14ac:dyDescent="0.35">
      <c r="A102" t="s">
        <v>647</v>
      </c>
      <c r="B102" s="22">
        <v>44652</v>
      </c>
      <c r="C102">
        <v>6.059999942779541</v>
      </c>
      <c r="D102">
        <v>6.7399997711181641</v>
      </c>
      <c r="E102">
        <v>4.3550000190734863</v>
      </c>
      <c r="F102">
        <v>4.5100002288818359</v>
      </c>
      <c r="G102">
        <v>24064800</v>
      </c>
      <c r="H102">
        <v>4.5100002288818359</v>
      </c>
      <c r="I102" t="s">
        <v>646</v>
      </c>
      <c r="J102" s="22">
        <v>45550</v>
      </c>
      <c r="M102">
        <v>-1.4799995422363279</v>
      </c>
      <c r="N102">
        <v>-0.24707839712655841</v>
      </c>
      <c r="O102">
        <v>-1.5499997138977051</v>
      </c>
      <c r="P102">
        <v>0.67999982833862305</v>
      </c>
      <c r="Q102" t="s">
        <v>585</v>
      </c>
      <c r="R102">
        <v>2022</v>
      </c>
    </row>
    <row r="103" spans="1:18" hidden="1" x14ac:dyDescent="0.35">
      <c r="A103" t="s">
        <v>647</v>
      </c>
      <c r="B103" s="22">
        <v>44682</v>
      </c>
      <c r="C103">
        <v>4.4699997901916504</v>
      </c>
      <c r="D103">
        <v>4.7699999809265137</v>
      </c>
      <c r="E103">
        <v>2.470000028610229</v>
      </c>
      <c r="F103">
        <v>2.839999914169312</v>
      </c>
      <c r="G103">
        <v>69947000</v>
      </c>
      <c r="H103">
        <v>2.839999914169312</v>
      </c>
      <c r="I103" t="s">
        <v>646</v>
      </c>
      <c r="J103" s="22">
        <v>45550</v>
      </c>
      <c r="M103">
        <v>-1.670000314712524</v>
      </c>
      <c r="N103">
        <v>-0.37028829932599971</v>
      </c>
      <c r="O103">
        <v>-1.6299998760223391</v>
      </c>
      <c r="P103">
        <v>0.30000019073486328</v>
      </c>
      <c r="Q103" t="s">
        <v>584</v>
      </c>
      <c r="R103">
        <v>2022</v>
      </c>
    </row>
    <row r="104" spans="1:18" hidden="1" x14ac:dyDescent="0.35">
      <c r="A104" t="s">
        <v>647</v>
      </c>
      <c r="B104" s="22">
        <v>44713</v>
      </c>
      <c r="C104">
        <v>2.839999914169312</v>
      </c>
      <c r="D104">
        <v>3.940000057220459</v>
      </c>
      <c r="E104">
        <v>2.7349998950958252</v>
      </c>
      <c r="F104">
        <v>3.309999942779541</v>
      </c>
      <c r="G104">
        <v>79345500</v>
      </c>
      <c r="H104">
        <v>3.309999942779541</v>
      </c>
      <c r="I104" t="s">
        <v>646</v>
      </c>
      <c r="J104" s="22">
        <v>45550</v>
      </c>
      <c r="M104">
        <v>0.47000002861022949</v>
      </c>
      <c r="N104">
        <v>0.165492972822044</v>
      </c>
      <c r="O104">
        <v>0.47000002861022949</v>
      </c>
      <c r="P104">
        <v>1.100000143051147</v>
      </c>
      <c r="Q104" t="s">
        <v>582</v>
      </c>
      <c r="R104">
        <v>2022</v>
      </c>
    </row>
    <row r="105" spans="1:18" hidden="1" x14ac:dyDescent="0.35">
      <c r="A105" t="s">
        <v>647</v>
      </c>
      <c r="B105" s="22">
        <v>44743</v>
      </c>
      <c r="C105">
        <v>3.309999942779541</v>
      </c>
      <c r="D105">
        <v>4.0300002098083496</v>
      </c>
      <c r="E105">
        <v>3.059999942779541</v>
      </c>
      <c r="F105">
        <v>3.3499999046325679</v>
      </c>
      <c r="G105">
        <v>39287000</v>
      </c>
      <c r="H105">
        <v>3.3499999046325679</v>
      </c>
      <c r="I105" t="s">
        <v>646</v>
      </c>
      <c r="J105" s="22">
        <v>45550</v>
      </c>
      <c r="M105">
        <v>3.9999961853027337E-2</v>
      </c>
      <c r="N105">
        <v>1.208458082915786E-2</v>
      </c>
      <c r="O105">
        <v>3.9999961853027337E-2</v>
      </c>
      <c r="P105">
        <v>0.72000026702880859</v>
      </c>
      <c r="Q105" t="s">
        <v>585</v>
      </c>
      <c r="R105">
        <v>2022</v>
      </c>
    </row>
    <row r="106" spans="1:18" hidden="1" x14ac:dyDescent="0.35">
      <c r="A106" t="s">
        <v>647</v>
      </c>
      <c r="B106" s="22">
        <v>44774</v>
      </c>
      <c r="C106">
        <v>3.2699999809265141</v>
      </c>
      <c r="D106">
        <v>3.9200000762939449</v>
      </c>
      <c r="E106">
        <v>2.690000057220459</v>
      </c>
      <c r="F106">
        <v>3.1800000667572021</v>
      </c>
      <c r="G106">
        <v>71790900</v>
      </c>
      <c r="H106">
        <v>3.1800000667572021</v>
      </c>
      <c r="I106" t="s">
        <v>646</v>
      </c>
      <c r="J106" s="22">
        <v>45550</v>
      </c>
      <c r="M106">
        <v>-0.16999983787536621</v>
      </c>
      <c r="N106">
        <v>-5.074622170594123E-2</v>
      </c>
      <c r="O106">
        <v>-8.9999914169311523E-2</v>
      </c>
      <c r="P106">
        <v>0.65000009536743164</v>
      </c>
      <c r="Q106" t="s">
        <v>586</v>
      </c>
      <c r="R106">
        <v>2022</v>
      </c>
    </row>
    <row r="107" spans="1:18" hidden="1" x14ac:dyDescent="0.35">
      <c r="A107" t="s">
        <v>647</v>
      </c>
      <c r="B107" s="22">
        <v>44805</v>
      </c>
      <c r="C107">
        <v>3.1099998950958252</v>
      </c>
      <c r="D107">
        <v>3.6099998950958252</v>
      </c>
      <c r="E107">
        <v>2.720000028610229</v>
      </c>
      <c r="F107">
        <v>2.7899999618530269</v>
      </c>
      <c r="G107">
        <v>48539200</v>
      </c>
      <c r="H107">
        <v>2.7899999618530269</v>
      </c>
      <c r="I107" t="s">
        <v>646</v>
      </c>
      <c r="J107" s="22">
        <v>45550</v>
      </c>
      <c r="M107">
        <v>-0.3900001049041748</v>
      </c>
      <c r="N107">
        <v>-0.1226415398481033</v>
      </c>
      <c r="O107">
        <v>-0.31999993324279791</v>
      </c>
      <c r="P107">
        <v>0.5</v>
      </c>
      <c r="Q107" t="s">
        <v>588</v>
      </c>
      <c r="R107">
        <v>2022</v>
      </c>
    </row>
    <row r="108" spans="1:18" hidden="1" x14ac:dyDescent="0.35">
      <c r="A108" t="s">
        <v>647</v>
      </c>
      <c r="B108" s="22">
        <v>44835</v>
      </c>
      <c r="C108">
        <v>2.8199999332427979</v>
      </c>
      <c r="D108">
        <v>3.0399999618530269</v>
      </c>
      <c r="E108">
        <v>2.4300000667572021</v>
      </c>
      <c r="F108">
        <v>2.7100000381469731</v>
      </c>
      <c r="G108">
        <v>24528900</v>
      </c>
      <c r="H108">
        <v>2.7100000381469731</v>
      </c>
      <c r="I108" t="s">
        <v>646</v>
      </c>
      <c r="J108" s="22">
        <v>45550</v>
      </c>
      <c r="M108">
        <v>-7.9999923706054688E-2</v>
      </c>
      <c r="N108">
        <v>-2.867380817199772E-2</v>
      </c>
      <c r="O108">
        <v>-0.1099998950958252</v>
      </c>
      <c r="P108">
        <v>0.22000002861022949</v>
      </c>
      <c r="Q108" t="s">
        <v>583</v>
      </c>
      <c r="R108">
        <v>2022</v>
      </c>
    </row>
    <row r="109" spans="1:18" hidden="1" x14ac:dyDescent="0.35">
      <c r="A109" t="s">
        <v>647</v>
      </c>
      <c r="B109" s="22">
        <v>44866</v>
      </c>
      <c r="C109">
        <v>2.7999999523162842</v>
      </c>
      <c r="D109">
        <v>2.8650000095367432</v>
      </c>
      <c r="E109">
        <v>2.0199999809265141</v>
      </c>
      <c r="F109">
        <v>2.25</v>
      </c>
      <c r="G109">
        <v>35046400</v>
      </c>
      <c r="H109">
        <v>2.25</v>
      </c>
      <c r="I109" t="s">
        <v>646</v>
      </c>
      <c r="J109" s="22">
        <v>45550</v>
      </c>
      <c r="M109">
        <v>-0.46000003814697271</v>
      </c>
      <c r="N109">
        <v>-0.1697417091040001</v>
      </c>
      <c r="O109">
        <v>-0.54999995231628418</v>
      </c>
      <c r="P109">
        <v>6.5000057220458984E-2</v>
      </c>
      <c r="Q109" t="s">
        <v>587</v>
      </c>
      <c r="R109">
        <v>2022</v>
      </c>
    </row>
    <row r="110" spans="1:18" hidden="1" x14ac:dyDescent="0.35">
      <c r="A110" t="s">
        <v>647</v>
      </c>
      <c r="B110" s="22">
        <v>44896</v>
      </c>
      <c r="C110">
        <v>2.190000057220459</v>
      </c>
      <c r="D110">
        <v>2.3299999237060551</v>
      </c>
      <c r="E110">
        <v>1.820000052452087</v>
      </c>
      <c r="F110">
        <v>2.059999942779541</v>
      </c>
      <c r="G110">
        <v>30267100</v>
      </c>
      <c r="H110">
        <v>2.059999942779541</v>
      </c>
      <c r="I110" t="s">
        <v>646</v>
      </c>
      <c r="J110" s="22">
        <v>45550</v>
      </c>
      <c r="M110">
        <v>-0.19000005722045901</v>
      </c>
      <c r="N110">
        <v>-8.4444469875759598E-2</v>
      </c>
      <c r="O110">
        <v>-0.130000114440918</v>
      </c>
      <c r="P110">
        <v>0.1399998664855957</v>
      </c>
      <c r="Q110" t="s">
        <v>588</v>
      </c>
      <c r="R110">
        <v>2022</v>
      </c>
    </row>
    <row r="111" spans="1:18" hidden="1" x14ac:dyDescent="0.35">
      <c r="A111" t="s">
        <v>647</v>
      </c>
      <c r="B111" s="22">
        <v>44927</v>
      </c>
      <c r="C111">
        <v>2.1099998950958252</v>
      </c>
      <c r="D111">
        <v>2.5</v>
      </c>
      <c r="E111">
        <v>1.9800000190734861</v>
      </c>
      <c r="F111">
        <v>2.4600000381469731</v>
      </c>
      <c r="G111">
        <v>23132400</v>
      </c>
      <c r="H111">
        <v>2.4600000381469731</v>
      </c>
      <c r="I111" t="s">
        <v>646</v>
      </c>
      <c r="J111" s="22">
        <v>45550</v>
      </c>
      <c r="M111">
        <v>0.40000009536743159</v>
      </c>
      <c r="N111">
        <v>0.19417480897000169</v>
      </c>
      <c r="O111">
        <v>0.35000014305114752</v>
      </c>
      <c r="P111">
        <v>0.3900001049041748</v>
      </c>
      <c r="Q111" t="s">
        <v>584</v>
      </c>
      <c r="R111">
        <v>2023</v>
      </c>
    </row>
    <row r="112" spans="1:18" hidden="1" x14ac:dyDescent="0.35">
      <c r="A112" t="s">
        <v>647</v>
      </c>
      <c r="B112" s="22">
        <v>44958</v>
      </c>
      <c r="C112">
        <v>2.440000057220459</v>
      </c>
      <c r="D112">
        <v>2.8050000667572021</v>
      </c>
      <c r="E112">
        <v>2.059999942779541</v>
      </c>
      <c r="F112">
        <v>2.059999942779541</v>
      </c>
      <c r="G112">
        <v>20987100</v>
      </c>
      <c r="H112">
        <v>2.059999942779541</v>
      </c>
      <c r="I112" t="s">
        <v>646</v>
      </c>
      <c r="J112" s="22">
        <v>45550</v>
      </c>
      <c r="M112">
        <v>-0.40000009536743159</v>
      </c>
      <c r="N112">
        <v>-0.16260166226206119</v>
      </c>
      <c r="O112">
        <v>-0.38000011444091802</v>
      </c>
      <c r="P112">
        <v>0.36500000953674322</v>
      </c>
      <c r="Q112" t="s">
        <v>582</v>
      </c>
      <c r="R112">
        <v>2023</v>
      </c>
    </row>
    <row r="113" spans="1:18" hidden="1" x14ac:dyDescent="0.35">
      <c r="A113" t="s">
        <v>647</v>
      </c>
      <c r="B113" s="22">
        <v>44986</v>
      </c>
      <c r="C113">
        <v>2.119999885559082</v>
      </c>
      <c r="D113">
        <v>2.154999971389771</v>
      </c>
      <c r="E113">
        <v>1.8500000238418579</v>
      </c>
      <c r="F113">
        <v>2.1500000953674321</v>
      </c>
      <c r="G113">
        <v>23232800</v>
      </c>
      <c r="H113">
        <v>2.1500000953674321</v>
      </c>
      <c r="I113" t="s">
        <v>646</v>
      </c>
      <c r="J113" s="22">
        <v>45550</v>
      </c>
      <c r="M113">
        <v>9.0000152587890625E-2</v>
      </c>
      <c r="N113">
        <v>4.3689395673698117E-2</v>
      </c>
      <c r="O113">
        <v>3.0000209808349609E-2</v>
      </c>
      <c r="P113">
        <v>3.5000085830688477E-2</v>
      </c>
      <c r="Q113" t="s">
        <v>582</v>
      </c>
      <c r="R113">
        <v>2023</v>
      </c>
    </row>
    <row r="114" spans="1:18" hidden="1" x14ac:dyDescent="0.35">
      <c r="A114" t="s">
        <v>647</v>
      </c>
      <c r="B114" s="22">
        <v>45017</v>
      </c>
      <c r="C114">
        <v>2.1400001049041748</v>
      </c>
      <c r="D114">
        <v>2.4300000667572021</v>
      </c>
      <c r="E114">
        <v>2.0499999523162842</v>
      </c>
      <c r="F114">
        <v>2.1099998950958252</v>
      </c>
      <c r="G114">
        <v>13984200</v>
      </c>
      <c r="H114">
        <v>2.1099998950958252</v>
      </c>
      <c r="I114" t="s">
        <v>646</v>
      </c>
      <c r="J114" s="22">
        <v>45550</v>
      </c>
      <c r="M114">
        <v>-4.0000200271606452E-2</v>
      </c>
      <c r="N114">
        <v>-1.8604743487125489E-2</v>
      </c>
      <c r="O114">
        <v>-3.0000209808349609E-2</v>
      </c>
      <c r="P114">
        <v>0.28999996185302729</v>
      </c>
      <c r="Q114" t="s">
        <v>583</v>
      </c>
      <c r="R114">
        <v>2023</v>
      </c>
    </row>
    <row r="115" spans="1:18" hidden="1" x14ac:dyDescent="0.35">
      <c r="A115" t="s">
        <v>647</v>
      </c>
      <c r="B115" s="22">
        <v>45047</v>
      </c>
      <c r="C115">
        <v>2.0999999046325679</v>
      </c>
      <c r="D115">
        <v>2.535000085830688</v>
      </c>
      <c r="E115">
        <v>1.9650000333786011</v>
      </c>
      <c r="F115">
        <v>2.470000028610229</v>
      </c>
      <c r="G115">
        <v>26249500</v>
      </c>
      <c r="H115">
        <v>2.470000028610229</v>
      </c>
      <c r="I115" t="s">
        <v>646</v>
      </c>
      <c r="J115" s="22">
        <v>45550</v>
      </c>
      <c r="M115">
        <v>0.3600001335144043</v>
      </c>
      <c r="N115">
        <v>0.17061618550367519</v>
      </c>
      <c r="O115">
        <v>0.37000012397766108</v>
      </c>
      <c r="P115">
        <v>0.43500018119812012</v>
      </c>
      <c r="Q115" t="s">
        <v>586</v>
      </c>
      <c r="R115">
        <v>2023</v>
      </c>
    </row>
    <row r="116" spans="1:18" hidden="1" x14ac:dyDescent="0.35">
      <c r="A116" t="s">
        <v>647</v>
      </c>
      <c r="B116" s="22">
        <v>45078</v>
      </c>
      <c r="C116">
        <v>2.470000028610229</v>
      </c>
      <c r="D116">
        <v>3.4149999618530269</v>
      </c>
      <c r="E116">
        <v>2.4300000667572021</v>
      </c>
      <c r="F116">
        <v>3.2599999904632568</v>
      </c>
      <c r="G116">
        <v>62169000</v>
      </c>
      <c r="H116">
        <v>3.2599999904632568</v>
      </c>
      <c r="I116" t="s">
        <v>646</v>
      </c>
      <c r="J116" s="22">
        <v>45550</v>
      </c>
      <c r="M116">
        <v>0.78999996185302734</v>
      </c>
      <c r="N116">
        <v>0.319838037531331</v>
      </c>
      <c r="O116">
        <v>0.78999996185302734</v>
      </c>
      <c r="P116">
        <v>0.94499993324279785</v>
      </c>
      <c r="Q116" t="s">
        <v>588</v>
      </c>
      <c r="R116">
        <v>2023</v>
      </c>
    </row>
    <row r="117" spans="1:18" hidden="1" x14ac:dyDescent="0.35">
      <c r="A117" t="s">
        <v>647</v>
      </c>
      <c r="B117" s="22">
        <v>45108</v>
      </c>
      <c r="C117">
        <v>3.2899999618530269</v>
      </c>
      <c r="D117">
        <v>3.380000114440918</v>
      </c>
      <c r="E117">
        <v>2.75</v>
      </c>
      <c r="F117">
        <v>3.1099998950958252</v>
      </c>
      <c r="G117">
        <v>26433400</v>
      </c>
      <c r="H117">
        <v>3.1099998950958252</v>
      </c>
      <c r="I117" t="s">
        <v>646</v>
      </c>
      <c r="J117" s="22">
        <v>45550</v>
      </c>
      <c r="M117">
        <v>-0.15000009536743161</v>
      </c>
      <c r="N117">
        <v>-4.6012299327067192E-2</v>
      </c>
      <c r="O117">
        <v>-0.18000006675720209</v>
      </c>
      <c r="P117">
        <v>9.0000152587890625E-2</v>
      </c>
      <c r="Q117" t="s">
        <v>583</v>
      </c>
      <c r="R117">
        <v>2023</v>
      </c>
    </row>
    <row r="118" spans="1:18" hidden="1" x14ac:dyDescent="0.35">
      <c r="A118" t="s">
        <v>647</v>
      </c>
      <c r="B118" s="22">
        <v>45139</v>
      </c>
      <c r="C118">
        <v>3.0699999332427979</v>
      </c>
      <c r="D118">
        <v>3.154999971389771</v>
      </c>
      <c r="E118">
        <v>2.0199999809265141</v>
      </c>
      <c r="F118">
        <v>2.1700000762939449</v>
      </c>
      <c r="G118">
        <v>37634000</v>
      </c>
      <c r="H118">
        <v>2.1700000762939449</v>
      </c>
      <c r="I118" t="s">
        <v>646</v>
      </c>
      <c r="J118" s="22">
        <v>45550</v>
      </c>
      <c r="M118">
        <v>-0.93999981880187988</v>
      </c>
      <c r="N118">
        <v>-0.30225075579075428</v>
      </c>
      <c r="O118">
        <v>-0.89999985694885254</v>
      </c>
      <c r="P118">
        <v>8.5000038146972656E-2</v>
      </c>
      <c r="Q118" t="s">
        <v>587</v>
      </c>
      <c r="R118">
        <v>2023</v>
      </c>
    </row>
    <row r="119" spans="1:18" hidden="1" x14ac:dyDescent="0.35">
      <c r="A119" t="s">
        <v>647</v>
      </c>
      <c r="B119" s="22">
        <v>45170</v>
      </c>
      <c r="C119">
        <v>2.1800000667572021</v>
      </c>
      <c r="D119">
        <v>2.2390000820159912</v>
      </c>
      <c r="E119">
        <v>1.7599999904632571</v>
      </c>
      <c r="F119">
        <v>1.820000052452087</v>
      </c>
      <c r="G119">
        <v>29302600</v>
      </c>
      <c r="H119">
        <v>1.820000052452087</v>
      </c>
      <c r="I119" t="s">
        <v>646</v>
      </c>
      <c r="J119" s="22">
        <v>45550</v>
      </c>
      <c r="M119">
        <v>-0.35000002384185791</v>
      </c>
      <c r="N119">
        <v>-0.16129032789695039</v>
      </c>
      <c r="O119">
        <v>-0.36000001430511469</v>
      </c>
      <c r="P119">
        <v>5.9000015258789063E-2</v>
      </c>
      <c r="Q119" t="s">
        <v>585</v>
      </c>
      <c r="R119">
        <v>2023</v>
      </c>
    </row>
    <row r="120" spans="1:18" hidden="1" x14ac:dyDescent="0.35">
      <c r="A120" t="s">
        <v>647</v>
      </c>
      <c r="B120" s="22">
        <v>45200</v>
      </c>
      <c r="C120">
        <v>1.7699999809265139</v>
      </c>
      <c r="D120">
        <v>2.005000114440918</v>
      </c>
      <c r="E120">
        <v>1.679999947547913</v>
      </c>
      <c r="F120">
        <v>1.820000052452087</v>
      </c>
      <c r="G120">
        <v>18804300</v>
      </c>
      <c r="H120">
        <v>1.820000052452087</v>
      </c>
      <c r="I120" t="s">
        <v>646</v>
      </c>
      <c r="J120" s="22">
        <v>45550</v>
      </c>
      <c r="M120">
        <v>0</v>
      </c>
      <c r="N120">
        <v>0</v>
      </c>
      <c r="O120">
        <v>5.000007152557373E-2</v>
      </c>
      <c r="P120">
        <v>0.2350001335144043</v>
      </c>
      <c r="Q120" t="s">
        <v>584</v>
      </c>
      <c r="R120">
        <v>2023</v>
      </c>
    </row>
    <row r="121" spans="1:18" hidden="1" x14ac:dyDescent="0.35">
      <c r="A121" t="s">
        <v>647</v>
      </c>
      <c r="B121" s="22">
        <v>45231</v>
      </c>
      <c r="C121">
        <v>1.799999952316284</v>
      </c>
      <c r="D121">
        <v>1.9099999666213989</v>
      </c>
      <c r="E121">
        <v>1.320000052452087</v>
      </c>
      <c r="F121">
        <v>1.6000000238418579</v>
      </c>
      <c r="G121">
        <v>39999600</v>
      </c>
      <c r="H121">
        <v>1.6000000238418579</v>
      </c>
      <c r="I121" t="s">
        <v>646</v>
      </c>
      <c r="J121" s="22">
        <v>45550</v>
      </c>
      <c r="M121">
        <v>-0.22000002861022949</v>
      </c>
      <c r="N121">
        <v>-0.1208791331153113</v>
      </c>
      <c r="O121">
        <v>-0.1999999284744263</v>
      </c>
      <c r="P121">
        <v>0.1100000143051147</v>
      </c>
      <c r="Q121" t="s">
        <v>582</v>
      </c>
      <c r="R121">
        <v>2023</v>
      </c>
    </row>
    <row r="122" spans="1:18" hidden="1" x14ac:dyDescent="0.35">
      <c r="A122" t="s">
        <v>647</v>
      </c>
      <c r="B122" s="22">
        <v>45261</v>
      </c>
      <c r="C122">
        <v>1.570000052452087</v>
      </c>
      <c r="D122">
        <v>2.089999914169312</v>
      </c>
      <c r="E122">
        <v>1.5399999618530269</v>
      </c>
      <c r="F122">
        <v>1.889999985694885</v>
      </c>
      <c r="G122">
        <v>48959200</v>
      </c>
      <c r="H122">
        <v>1.889999985694885</v>
      </c>
      <c r="I122" t="s">
        <v>646</v>
      </c>
      <c r="J122" s="22">
        <v>45550</v>
      </c>
      <c r="M122">
        <v>0.28999996185302729</v>
      </c>
      <c r="N122">
        <v>0.18124997345730701</v>
      </c>
      <c r="O122">
        <v>0.31999993324279791</v>
      </c>
      <c r="P122">
        <v>0.51999986171722412</v>
      </c>
      <c r="Q122" t="s">
        <v>585</v>
      </c>
      <c r="R122">
        <v>2023</v>
      </c>
    </row>
    <row r="123" spans="1:18" hidden="1" x14ac:dyDescent="0.35">
      <c r="A123" t="s">
        <v>649</v>
      </c>
      <c r="B123" s="22">
        <v>44287</v>
      </c>
      <c r="C123">
        <v>34.5</v>
      </c>
      <c r="D123">
        <v>44.130001068115227</v>
      </c>
      <c r="E123">
        <v>33.060001373291023</v>
      </c>
      <c r="F123">
        <v>40.700000762939453</v>
      </c>
      <c r="G123">
        <v>4148300</v>
      </c>
      <c r="H123">
        <v>40.700000762939453</v>
      </c>
      <c r="I123" t="s">
        <v>648</v>
      </c>
      <c r="J123" s="22">
        <v>45550</v>
      </c>
      <c r="O123">
        <v>6.2000007629394531</v>
      </c>
      <c r="P123">
        <v>9.6300010681152344</v>
      </c>
      <c r="Q123" t="s">
        <v>588</v>
      </c>
      <c r="R123">
        <v>2021</v>
      </c>
    </row>
    <row r="124" spans="1:18" hidden="1" x14ac:dyDescent="0.35">
      <c r="A124" t="s">
        <v>649</v>
      </c>
      <c r="B124" s="22">
        <v>44317</v>
      </c>
      <c r="C124">
        <v>41</v>
      </c>
      <c r="D124">
        <v>41.349998474121087</v>
      </c>
      <c r="E124">
        <v>33.990001678466797</v>
      </c>
      <c r="F124">
        <v>37.200000762939453</v>
      </c>
      <c r="G124">
        <v>9654800</v>
      </c>
      <c r="H124">
        <v>37.200000762939453</v>
      </c>
      <c r="I124" t="s">
        <v>648</v>
      </c>
      <c r="J124" s="22">
        <v>45550</v>
      </c>
      <c r="M124">
        <v>-3.5</v>
      </c>
      <c r="N124">
        <v>-8.5995084383070242E-2</v>
      </c>
      <c r="O124">
        <v>-3.7999992370605469</v>
      </c>
      <c r="P124">
        <v>0.34999847412109381</v>
      </c>
      <c r="Q124" t="s">
        <v>583</v>
      </c>
      <c r="R124">
        <v>2021</v>
      </c>
    </row>
    <row r="125" spans="1:18" hidden="1" x14ac:dyDescent="0.35">
      <c r="A125" t="s">
        <v>649</v>
      </c>
      <c r="B125" s="22">
        <v>44348</v>
      </c>
      <c r="C125">
        <v>37.426998138427727</v>
      </c>
      <c r="D125">
        <v>42.470001220703118</v>
      </c>
      <c r="E125">
        <v>35.389999389648438</v>
      </c>
      <c r="F125">
        <v>37.009998321533203</v>
      </c>
      <c r="G125">
        <v>17871400</v>
      </c>
      <c r="H125">
        <v>37.009998321533203</v>
      </c>
      <c r="I125" t="s">
        <v>648</v>
      </c>
      <c r="J125" s="22">
        <v>45550</v>
      </c>
      <c r="M125">
        <v>-0.19000244140625</v>
      </c>
      <c r="N125">
        <v>-5.1075924061684264E-3</v>
      </c>
      <c r="O125">
        <v>-0.41699981689453119</v>
      </c>
      <c r="P125">
        <v>5.0430030822753906</v>
      </c>
      <c r="Q125" t="s">
        <v>587</v>
      </c>
      <c r="R125">
        <v>2021</v>
      </c>
    </row>
    <row r="126" spans="1:18" hidden="1" x14ac:dyDescent="0.35">
      <c r="A126" t="s">
        <v>649</v>
      </c>
      <c r="B126" s="22">
        <v>44378</v>
      </c>
      <c r="C126">
        <v>37.229999542236328</v>
      </c>
      <c r="D126">
        <v>38.540000915527337</v>
      </c>
      <c r="E126">
        <v>30</v>
      </c>
      <c r="F126">
        <v>32.490001678466797</v>
      </c>
      <c r="G126">
        <v>4556000</v>
      </c>
      <c r="H126">
        <v>32.490001678466797</v>
      </c>
      <c r="I126" t="s">
        <v>648</v>
      </c>
      <c r="J126" s="22">
        <v>45550</v>
      </c>
      <c r="M126">
        <v>-4.5199966430664063</v>
      </c>
      <c r="N126">
        <v>-0.12212906911796791</v>
      </c>
      <c r="O126">
        <v>-4.7399978637695313</v>
      </c>
      <c r="P126">
        <v>1.3100013732910161</v>
      </c>
      <c r="Q126" t="s">
        <v>588</v>
      </c>
      <c r="R126">
        <v>2021</v>
      </c>
    </row>
    <row r="127" spans="1:18" hidden="1" x14ac:dyDescent="0.35">
      <c r="A127" t="s">
        <v>649</v>
      </c>
      <c r="B127" s="22">
        <v>44409</v>
      </c>
      <c r="C127">
        <v>32.790000915527337</v>
      </c>
      <c r="D127">
        <v>36.340000152587891</v>
      </c>
      <c r="E127">
        <v>29.090000152587891</v>
      </c>
      <c r="F127">
        <v>32.389999389648438</v>
      </c>
      <c r="G127">
        <v>4233700</v>
      </c>
      <c r="H127">
        <v>32.389999389648438</v>
      </c>
      <c r="I127" t="s">
        <v>648</v>
      </c>
      <c r="J127" s="22">
        <v>45550</v>
      </c>
      <c r="M127">
        <v>-0.1000022888183594</v>
      </c>
      <c r="N127">
        <v>-3.0779404017278189E-3</v>
      </c>
      <c r="O127">
        <v>-0.40000152587890619</v>
      </c>
      <c r="P127">
        <v>3.5499992370605469</v>
      </c>
      <c r="Q127" t="s">
        <v>584</v>
      </c>
      <c r="R127">
        <v>2021</v>
      </c>
    </row>
    <row r="128" spans="1:18" hidden="1" x14ac:dyDescent="0.35">
      <c r="A128" t="s">
        <v>649</v>
      </c>
      <c r="B128" s="22">
        <v>44440</v>
      </c>
      <c r="C128">
        <v>32.700000762939453</v>
      </c>
      <c r="D128">
        <v>36.869998931884773</v>
      </c>
      <c r="E128">
        <v>29.829999923706051</v>
      </c>
      <c r="F128">
        <v>33.540000915527337</v>
      </c>
      <c r="G128">
        <v>7004500</v>
      </c>
      <c r="H128">
        <v>33.540000915527337</v>
      </c>
      <c r="I128" t="s">
        <v>648</v>
      </c>
      <c r="J128" s="22">
        <v>45550</v>
      </c>
      <c r="M128">
        <v>1.150001525878906</v>
      </c>
      <c r="N128">
        <v>3.5504833206216002E-2</v>
      </c>
      <c r="O128">
        <v>0.84000015258789063</v>
      </c>
      <c r="P128">
        <v>4.1699981689453116</v>
      </c>
      <c r="Q128" t="s">
        <v>582</v>
      </c>
      <c r="R128">
        <v>2021</v>
      </c>
    </row>
    <row r="129" spans="1:18" hidden="1" x14ac:dyDescent="0.35">
      <c r="A129" t="s">
        <v>649</v>
      </c>
      <c r="B129" s="22">
        <v>44470</v>
      </c>
      <c r="C129">
        <v>34.080001831054688</v>
      </c>
      <c r="D129">
        <v>36.680000305175781</v>
      </c>
      <c r="E129">
        <v>30.14999961853027</v>
      </c>
      <c r="F129">
        <v>30.280000686645511</v>
      </c>
      <c r="G129">
        <v>17133800</v>
      </c>
      <c r="H129">
        <v>30.280000686645511</v>
      </c>
      <c r="I129" t="s">
        <v>648</v>
      </c>
      <c r="J129" s="22">
        <v>45550</v>
      </c>
      <c r="M129">
        <v>-3.2600002288818359</v>
      </c>
      <c r="N129">
        <v>-9.7197380438132863E-2</v>
      </c>
      <c r="O129">
        <v>-3.8000011444091801</v>
      </c>
      <c r="P129">
        <v>2.5999984741210942</v>
      </c>
      <c r="Q129" t="s">
        <v>585</v>
      </c>
      <c r="R129">
        <v>2021</v>
      </c>
    </row>
    <row r="130" spans="1:18" hidden="1" x14ac:dyDescent="0.35">
      <c r="A130" t="s">
        <v>649</v>
      </c>
      <c r="B130" s="22">
        <v>44501</v>
      </c>
      <c r="C130">
        <v>30.29999923706055</v>
      </c>
      <c r="D130">
        <v>33.310001373291023</v>
      </c>
      <c r="E130">
        <v>25.85000038146973</v>
      </c>
      <c r="F130">
        <v>27.430000305175781</v>
      </c>
      <c r="G130">
        <v>9504600</v>
      </c>
      <c r="H130">
        <v>27.430000305175781</v>
      </c>
      <c r="I130" t="s">
        <v>648</v>
      </c>
      <c r="J130" s="22">
        <v>45550</v>
      </c>
      <c r="M130">
        <v>-2.850000381469727</v>
      </c>
      <c r="N130">
        <v>-9.412154282832208E-2</v>
      </c>
      <c r="O130">
        <v>-2.8699989318847661</v>
      </c>
      <c r="P130">
        <v>3.0100021362304692</v>
      </c>
      <c r="Q130" t="s">
        <v>586</v>
      </c>
      <c r="R130">
        <v>2021</v>
      </c>
    </row>
    <row r="131" spans="1:18" hidden="1" x14ac:dyDescent="0.35">
      <c r="A131" t="s">
        <v>649</v>
      </c>
      <c r="B131" s="22">
        <v>44531</v>
      </c>
      <c r="C131">
        <v>28.469999313354489</v>
      </c>
      <c r="D131">
        <v>29.04000091552734</v>
      </c>
      <c r="E131">
        <v>23.969999313354489</v>
      </c>
      <c r="F131">
        <v>27.25</v>
      </c>
      <c r="G131">
        <v>11656800</v>
      </c>
      <c r="H131">
        <v>27.25</v>
      </c>
      <c r="I131" t="s">
        <v>648</v>
      </c>
      <c r="J131" s="22">
        <v>45550</v>
      </c>
      <c r="M131">
        <v>-0.18000030517578119</v>
      </c>
      <c r="N131">
        <v>-6.5621692735386983E-3</v>
      </c>
      <c r="O131">
        <v>-1.219999313354492</v>
      </c>
      <c r="P131">
        <v>0.57000160217285156</v>
      </c>
      <c r="Q131" t="s">
        <v>582</v>
      </c>
      <c r="R131">
        <v>2021</v>
      </c>
    </row>
    <row r="132" spans="1:18" hidden="1" x14ac:dyDescent="0.35">
      <c r="A132" t="s">
        <v>649</v>
      </c>
      <c r="B132" s="22">
        <v>44562</v>
      </c>
      <c r="C132">
        <v>27.590000152587891</v>
      </c>
      <c r="D132">
        <v>29.219999313354489</v>
      </c>
      <c r="E132">
        <v>23.420000076293949</v>
      </c>
      <c r="F132">
        <v>26.579999923706051</v>
      </c>
      <c r="G132">
        <v>7394800</v>
      </c>
      <c r="H132">
        <v>26.579999923706051</v>
      </c>
      <c r="I132" t="s">
        <v>648</v>
      </c>
      <c r="J132" s="22">
        <v>45550</v>
      </c>
      <c r="M132">
        <v>-0.67000007629394531</v>
      </c>
      <c r="N132">
        <v>-2.45871587630806E-2</v>
      </c>
      <c r="O132">
        <v>-1.0100002288818359</v>
      </c>
      <c r="P132">
        <v>1.629999160766602</v>
      </c>
      <c r="Q132" t="s">
        <v>583</v>
      </c>
      <c r="R132">
        <v>2022</v>
      </c>
    </row>
    <row r="133" spans="1:18" hidden="1" x14ac:dyDescent="0.35">
      <c r="A133" t="s">
        <v>649</v>
      </c>
      <c r="B133" s="22">
        <v>44593</v>
      </c>
      <c r="C133">
        <v>26.870000839233398</v>
      </c>
      <c r="D133">
        <v>30.610000610351559</v>
      </c>
      <c r="E133">
        <v>24.659999847412109</v>
      </c>
      <c r="F133">
        <v>27.04999923706055</v>
      </c>
      <c r="G133">
        <v>7890000</v>
      </c>
      <c r="H133">
        <v>27.04999923706055</v>
      </c>
      <c r="I133" t="s">
        <v>648</v>
      </c>
      <c r="J133" s="22">
        <v>45550</v>
      </c>
      <c r="M133">
        <v>0.46999931335449219</v>
      </c>
      <c r="N133">
        <v>1.7682442238658998E-2</v>
      </c>
      <c r="O133">
        <v>0.17999839782714841</v>
      </c>
      <c r="P133">
        <v>3.7399997711181641</v>
      </c>
      <c r="Q133" t="s">
        <v>587</v>
      </c>
      <c r="R133">
        <v>2022</v>
      </c>
    </row>
    <row r="134" spans="1:18" hidden="1" x14ac:dyDescent="0.35">
      <c r="A134" t="s">
        <v>649</v>
      </c>
      <c r="B134" s="22">
        <v>44621</v>
      </c>
      <c r="C134">
        <v>26.889999389648441</v>
      </c>
      <c r="D134">
        <v>27.319999694824219</v>
      </c>
      <c r="E134">
        <v>20.54999923706055</v>
      </c>
      <c r="F134">
        <v>26.180000305175781</v>
      </c>
      <c r="G134">
        <v>11607200</v>
      </c>
      <c r="H134">
        <v>26.180000305175781</v>
      </c>
      <c r="I134" t="s">
        <v>648</v>
      </c>
      <c r="J134" s="22">
        <v>45550</v>
      </c>
      <c r="M134">
        <v>-0.86999893188476563</v>
      </c>
      <c r="N134">
        <v>-3.2162623157963033E-2</v>
      </c>
      <c r="O134">
        <v>-0.70999908447265625</v>
      </c>
      <c r="P134">
        <v>0.43000030517578119</v>
      </c>
      <c r="Q134" t="s">
        <v>587</v>
      </c>
      <c r="R134">
        <v>2022</v>
      </c>
    </row>
    <row r="135" spans="1:18" hidden="1" x14ac:dyDescent="0.35">
      <c r="A135" t="s">
        <v>649</v>
      </c>
      <c r="B135" s="22">
        <v>44652</v>
      </c>
      <c r="C135">
        <v>26.409999847412109</v>
      </c>
      <c r="D135">
        <v>29.979999542236332</v>
      </c>
      <c r="E135">
        <v>23.659999847412109</v>
      </c>
      <c r="F135">
        <v>27.510000228881839</v>
      </c>
      <c r="G135">
        <v>7006100</v>
      </c>
      <c r="H135">
        <v>27.510000228881839</v>
      </c>
      <c r="I135" t="s">
        <v>648</v>
      </c>
      <c r="J135" s="22">
        <v>45550</v>
      </c>
      <c r="M135">
        <v>1.3299999237060549</v>
      </c>
      <c r="N135">
        <v>5.0802135531034187E-2</v>
      </c>
      <c r="O135">
        <v>1.100000381469727</v>
      </c>
      <c r="P135">
        <v>3.5699996948242192</v>
      </c>
      <c r="Q135" t="s">
        <v>585</v>
      </c>
      <c r="R135">
        <v>2022</v>
      </c>
    </row>
    <row r="136" spans="1:18" hidden="1" x14ac:dyDescent="0.35">
      <c r="A136" t="s">
        <v>649</v>
      </c>
      <c r="B136" s="22">
        <v>44682</v>
      </c>
      <c r="C136">
        <v>27.590000152587891</v>
      </c>
      <c r="D136">
        <v>28.85000038146973</v>
      </c>
      <c r="E136">
        <v>21.219999313354489</v>
      </c>
      <c r="F136">
        <v>23.64999961853027</v>
      </c>
      <c r="G136">
        <v>8917800</v>
      </c>
      <c r="H136">
        <v>23.64999961853027</v>
      </c>
      <c r="I136" t="s">
        <v>648</v>
      </c>
      <c r="J136" s="22">
        <v>45550</v>
      </c>
      <c r="M136">
        <v>-3.8600006103515621</v>
      </c>
      <c r="N136">
        <v>-0.1403126346141966</v>
      </c>
      <c r="O136">
        <v>-3.9400005340576172</v>
      </c>
      <c r="P136">
        <v>1.2600002288818359</v>
      </c>
      <c r="Q136" t="s">
        <v>584</v>
      </c>
      <c r="R136">
        <v>2022</v>
      </c>
    </row>
    <row r="137" spans="1:18" hidden="1" x14ac:dyDescent="0.35">
      <c r="A137" t="s">
        <v>649</v>
      </c>
      <c r="B137" s="22">
        <v>44713</v>
      </c>
      <c r="C137">
        <v>24</v>
      </c>
      <c r="D137">
        <v>24</v>
      </c>
      <c r="E137">
        <v>17</v>
      </c>
      <c r="F137">
        <v>18.340000152587891</v>
      </c>
      <c r="G137">
        <v>17669300</v>
      </c>
      <c r="H137">
        <v>18.340000152587891</v>
      </c>
      <c r="I137" t="s">
        <v>648</v>
      </c>
      <c r="J137" s="22">
        <v>45550</v>
      </c>
      <c r="M137">
        <v>-5.3099994659423828</v>
      </c>
      <c r="N137">
        <v>-0.22452429393622009</v>
      </c>
      <c r="O137">
        <v>-5.6599998474121094</v>
      </c>
      <c r="P137">
        <v>0</v>
      </c>
      <c r="Q137" t="s">
        <v>582</v>
      </c>
      <c r="R137">
        <v>2022</v>
      </c>
    </row>
    <row r="138" spans="1:18" hidden="1" x14ac:dyDescent="0.35">
      <c r="A138" t="s">
        <v>649</v>
      </c>
      <c r="B138" s="22">
        <v>44743</v>
      </c>
      <c r="C138">
        <v>18.190000534057621</v>
      </c>
      <c r="D138">
        <v>20.489999771118161</v>
      </c>
      <c r="E138">
        <v>17.45999908447266</v>
      </c>
      <c r="F138">
        <v>20.170000076293949</v>
      </c>
      <c r="G138">
        <v>15125300</v>
      </c>
      <c r="H138">
        <v>20.170000076293949</v>
      </c>
      <c r="I138" t="s">
        <v>648</v>
      </c>
      <c r="J138" s="22">
        <v>45550</v>
      </c>
      <c r="M138">
        <v>1.8299999237060549</v>
      </c>
      <c r="N138">
        <v>9.9781892501665581E-2</v>
      </c>
      <c r="O138">
        <v>1.9799995422363279</v>
      </c>
      <c r="P138">
        <v>2.2999992370605469</v>
      </c>
      <c r="Q138" t="s">
        <v>585</v>
      </c>
      <c r="R138">
        <v>2022</v>
      </c>
    </row>
    <row r="139" spans="1:18" hidden="1" x14ac:dyDescent="0.35">
      <c r="A139" t="s">
        <v>649</v>
      </c>
      <c r="B139" s="22">
        <v>44774</v>
      </c>
      <c r="C139">
        <v>20.079999923706051</v>
      </c>
      <c r="D139">
        <v>21.190000534057621</v>
      </c>
      <c r="E139">
        <v>18</v>
      </c>
      <c r="F139">
        <v>19.920000076293949</v>
      </c>
      <c r="G139">
        <v>9516100</v>
      </c>
      <c r="H139">
        <v>19.920000076293949</v>
      </c>
      <c r="I139" t="s">
        <v>648</v>
      </c>
      <c r="J139" s="22">
        <v>45550</v>
      </c>
      <c r="M139">
        <v>-0.25</v>
      </c>
      <c r="N139">
        <v>-1.239464546625502E-2</v>
      </c>
      <c r="O139">
        <v>-0.1599998474121094</v>
      </c>
      <c r="P139">
        <v>1.1100006103515621</v>
      </c>
      <c r="Q139" t="s">
        <v>586</v>
      </c>
      <c r="R139">
        <v>2022</v>
      </c>
    </row>
    <row r="140" spans="1:18" hidden="1" x14ac:dyDescent="0.35">
      <c r="A140" t="s">
        <v>649</v>
      </c>
      <c r="B140" s="22">
        <v>44805</v>
      </c>
      <c r="C140">
        <v>19.45999908447266</v>
      </c>
      <c r="D140">
        <v>21.129999160766602</v>
      </c>
      <c r="E140">
        <v>13.60999965667725</v>
      </c>
      <c r="F140">
        <v>13.60999965667725</v>
      </c>
      <c r="G140">
        <v>17778800</v>
      </c>
      <c r="H140">
        <v>13.60999965667725</v>
      </c>
      <c r="I140" t="s">
        <v>648</v>
      </c>
      <c r="J140" s="22">
        <v>45550</v>
      </c>
      <c r="M140">
        <v>-6.3100004196166992</v>
      </c>
      <c r="N140">
        <v>-0.31676708812496418</v>
      </c>
      <c r="O140">
        <v>-5.8499994277954102</v>
      </c>
      <c r="P140">
        <v>1.6700000762939451</v>
      </c>
      <c r="Q140" t="s">
        <v>588</v>
      </c>
      <c r="R140">
        <v>2022</v>
      </c>
    </row>
    <row r="141" spans="1:18" hidden="1" x14ac:dyDescent="0.35">
      <c r="A141" t="s">
        <v>649</v>
      </c>
      <c r="B141" s="22">
        <v>44835</v>
      </c>
      <c r="C141">
        <v>13.60999965667725</v>
      </c>
      <c r="D141">
        <v>17.059999465942379</v>
      </c>
      <c r="E141">
        <v>13.25</v>
      </c>
      <c r="F141">
        <v>16.280000686645511</v>
      </c>
      <c r="G141">
        <v>8597800</v>
      </c>
      <c r="H141">
        <v>16.280000686645511</v>
      </c>
      <c r="I141" t="s">
        <v>648</v>
      </c>
      <c r="J141" s="22">
        <v>45550</v>
      </c>
      <c r="M141">
        <v>2.6700010299682622</v>
      </c>
      <c r="N141">
        <v>0.19617936056731081</v>
      </c>
      <c r="O141">
        <v>2.6700010299682622</v>
      </c>
      <c r="P141">
        <v>3.4499998092651372</v>
      </c>
      <c r="Q141" t="s">
        <v>583</v>
      </c>
      <c r="R141">
        <v>2022</v>
      </c>
    </row>
    <row r="142" spans="1:18" hidden="1" x14ac:dyDescent="0.35">
      <c r="A142" t="s">
        <v>649</v>
      </c>
      <c r="B142" s="22">
        <v>44866</v>
      </c>
      <c r="C142">
        <v>16.829999923706051</v>
      </c>
      <c r="D142">
        <v>23.54999923706055</v>
      </c>
      <c r="E142">
        <v>16.129999160766602</v>
      </c>
      <c r="F142">
        <v>20.20000076293945</v>
      </c>
      <c r="G142">
        <v>7703200</v>
      </c>
      <c r="H142">
        <v>20.20000076293945</v>
      </c>
      <c r="I142" t="s">
        <v>648</v>
      </c>
      <c r="J142" s="22">
        <v>45550</v>
      </c>
      <c r="M142">
        <v>3.9200000762939449</v>
      </c>
      <c r="N142">
        <v>0.24078623531690169</v>
      </c>
      <c r="O142">
        <v>3.370000839233398</v>
      </c>
      <c r="P142">
        <v>6.7199993133544922</v>
      </c>
      <c r="Q142" t="s">
        <v>587</v>
      </c>
      <c r="R142">
        <v>2022</v>
      </c>
    </row>
    <row r="143" spans="1:18" hidden="1" x14ac:dyDescent="0.35">
      <c r="A143" t="s">
        <v>649</v>
      </c>
      <c r="B143" s="22">
        <v>44896</v>
      </c>
      <c r="C143">
        <v>20.190000534057621</v>
      </c>
      <c r="D143">
        <v>20.739999771118161</v>
      </c>
      <c r="E143">
        <v>15.02499961853027</v>
      </c>
      <c r="F143">
        <v>15.85999965667725</v>
      </c>
      <c r="G143">
        <v>15650700</v>
      </c>
      <c r="H143">
        <v>15.85999965667725</v>
      </c>
      <c r="I143" t="s">
        <v>648</v>
      </c>
      <c r="J143" s="22">
        <v>45550</v>
      </c>
      <c r="M143">
        <v>-4.340001106262207</v>
      </c>
      <c r="N143">
        <v>-0.21485153179918301</v>
      </c>
      <c r="O143">
        <v>-4.3300008773803711</v>
      </c>
      <c r="P143">
        <v>0.54999923706054688</v>
      </c>
      <c r="Q143" t="s">
        <v>588</v>
      </c>
      <c r="R143">
        <v>2022</v>
      </c>
    </row>
    <row r="144" spans="1:18" hidden="1" x14ac:dyDescent="0.35">
      <c r="A144" t="s">
        <v>649</v>
      </c>
      <c r="B144" s="22">
        <v>44927</v>
      </c>
      <c r="C144">
        <v>16.110000610351559</v>
      </c>
      <c r="D144">
        <v>19.190000534057621</v>
      </c>
      <c r="E144">
        <v>15.63000011444092</v>
      </c>
      <c r="F144">
        <v>18.670000076293949</v>
      </c>
      <c r="G144">
        <v>4553900</v>
      </c>
      <c r="H144">
        <v>18.670000076293949</v>
      </c>
      <c r="I144" t="s">
        <v>648</v>
      </c>
      <c r="J144" s="22">
        <v>45550</v>
      </c>
      <c r="M144">
        <v>2.8100004196166992</v>
      </c>
      <c r="N144">
        <v>0.17717531402553699</v>
      </c>
      <c r="O144">
        <v>2.5599994659423828</v>
      </c>
      <c r="P144">
        <v>3.0799999237060551</v>
      </c>
      <c r="Q144" t="s">
        <v>584</v>
      </c>
      <c r="R144">
        <v>2023</v>
      </c>
    </row>
    <row r="145" spans="1:18" hidden="1" x14ac:dyDescent="0.35">
      <c r="A145" t="s">
        <v>649</v>
      </c>
      <c r="B145" s="22">
        <v>44958</v>
      </c>
      <c r="C145">
        <v>18.60000038146973</v>
      </c>
      <c r="D145">
        <v>22.10000038146973</v>
      </c>
      <c r="E145">
        <v>18.25</v>
      </c>
      <c r="F145">
        <v>20.04999923706055</v>
      </c>
      <c r="G145">
        <v>10258600</v>
      </c>
      <c r="H145">
        <v>20.04999923706055</v>
      </c>
      <c r="I145" t="s">
        <v>648</v>
      </c>
      <c r="J145" s="22">
        <v>45550</v>
      </c>
      <c r="M145">
        <v>1.379999160766602</v>
      </c>
      <c r="N145">
        <v>7.3915327001998321E-2</v>
      </c>
      <c r="O145">
        <v>1.4499988555908201</v>
      </c>
      <c r="P145">
        <v>3.5</v>
      </c>
      <c r="Q145" t="s">
        <v>582</v>
      </c>
      <c r="R145">
        <v>2023</v>
      </c>
    </row>
    <row r="146" spans="1:18" hidden="1" x14ac:dyDescent="0.35">
      <c r="A146" t="s">
        <v>649</v>
      </c>
      <c r="B146" s="22">
        <v>44986</v>
      </c>
      <c r="C146">
        <v>20.069999694824219</v>
      </c>
      <c r="D146">
        <v>23</v>
      </c>
      <c r="E146">
        <v>17.670000076293949</v>
      </c>
      <c r="F146">
        <v>20.5</v>
      </c>
      <c r="G146">
        <v>9521800</v>
      </c>
      <c r="H146">
        <v>20.5</v>
      </c>
      <c r="I146" t="s">
        <v>648</v>
      </c>
      <c r="J146" s="22">
        <v>45550</v>
      </c>
      <c r="M146">
        <v>0.45000076293945313</v>
      </c>
      <c r="N146">
        <v>2.2443929180190111E-2</v>
      </c>
      <c r="O146">
        <v>0.43000030517578119</v>
      </c>
      <c r="P146">
        <v>2.9300003051757808</v>
      </c>
      <c r="Q146" t="s">
        <v>582</v>
      </c>
      <c r="R146">
        <v>2023</v>
      </c>
    </row>
    <row r="147" spans="1:18" hidden="1" x14ac:dyDescent="0.35">
      <c r="A147" t="s">
        <v>649</v>
      </c>
      <c r="B147" s="22">
        <v>45017</v>
      </c>
      <c r="C147">
        <v>20.5</v>
      </c>
      <c r="D147">
        <v>20.5</v>
      </c>
      <c r="E147">
        <v>18.10000038146973</v>
      </c>
      <c r="F147">
        <v>19.729999542236332</v>
      </c>
      <c r="G147">
        <v>3690200</v>
      </c>
      <c r="H147">
        <v>19.729999542236332</v>
      </c>
      <c r="I147" t="s">
        <v>648</v>
      </c>
      <c r="J147" s="22">
        <v>45550</v>
      </c>
      <c r="M147">
        <v>-0.77000045776367188</v>
      </c>
      <c r="N147">
        <v>-3.7560997939691372E-2</v>
      </c>
      <c r="O147">
        <v>-0.77000045776367188</v>
      </c>
      <c r="P147">
        <v>0</v>
      </c>
      <c r="Q147" t="s">
        <v>583</v>
      </c>
      <c r="R147">
        <v>2023</v>
      </c>
    </row>
    <row r="148" spans="1:18" hidden="1" x14ac:dyDescent="0.35">
      <c r="A148" t="s">
        <v>649</v>
      </c>
      <c r="B148" s="22">
        <v>45047</v>
      </c>
      <c r="C148">
        <v>19.590000152587891</v>
      </c>
      <c r="D148">
        <v>19.590000152587891</v>
      </c>
      <c r="E148">
        <v>16.79999923706055</v>
      </c>
      <c r="F148">
        <v>18.79999923706055</v>
      </c>
      <c r="G148">
        <v>6940100</v>
      </c>
      <c r="H148">
        <v>18.79999923706055</v>
      </c>
      <c r="I148" t="s">
        <v>648</v>
      </c>
      <c r="J148" s="22">
        <v>45550</v>
      </c>
      <c r="M148">
        <v>-0.93000030517578125</v>
      </c>
      <c r="N148">
        <v>-4.7136357159305309E-2</v>
      </c>
      <c r="O148">
        <v>-0.79000091552734375</v>
      </c>
      <c r="P148">
        <v>0</v>
      </c>
      <c r="Q148" t="s">
        <v>586</v>
      </c>
      <c r="R148">
        <v>2023</v>
      </c>
    </row>
    <row r="149" spans="1:18" hidden="1" x14ac:dyDescent="0.35">
      <c r="A149" t="s">
        <v>649</v>
      </c>
      <c r="B149" s="22">
        <v>45078</v>
      </c>
      <c r="C149">
        <v>18.829999923706051</v>
      </c>
      <c r="D149">
        <v>22.70999908447266</v>
      </c>
      <c r="E149">
        <v>18.75</v>
      </c>
      <c r="F149">
        <v>22.479999542236332</v>
      </c>
      <c r="G149">
        <v>22262800</v>
      </c>
      <c r="H149">
        <v>22.479999542236332</v>
      </c>
      <c r="I149" t="s">
        <v>648</v>
      </c>
      <c r="J149" s="22">
        <v>45550</v>
      </c>
      <c r="M149">
        <v>3.6800003051757808</v>
      </c>
      <c r="N149">
        <v>0.1957447050275074</v>
      </c>
      <c r="O149">
        <v>3.649999618530273</v>
      </c>
      <c r="P149">
        <v>3.879999160766602</v>
      </c>
      <c r="Q149" t="s">
        <v>588</v>
      </c>
      <c r="R149">
        <v>2023</v>
      </c>
    </row>
    <row r="150" spans="1:18" hidden="1" x14ac:dyDescent="0.35">
      <c r="A150" t="s">
        <v>649</v>
      </c>
      <c r="B150" s="22">
        <v>45108</v>
      </c>
      <c r="C150">
        <v>22.479999542236332</v>
      </c>
      <c r="D150">
        <v>23.79999923706055</v>
      </c>
      <c r="E150">
        <v>20.70999908447266</v>
      </c>
      <c r="F150">
        <v>21.559999465942379</v>
      </c>
      <c r="G150">
        <v>6830000</v>
      </c>
      <c r="H150">
        <v>21.559999465942379</v>
      </c>
      <c r="I150" t="s">
        <v>648</v>
      </c>
      <c r="J150" s="22">
        <v>45550</v>
      </c>
      <c r="M150">
        <v>-0.92000007629394531</v>
      </c>
      <c r="N150">
        <v>-4.0925271131140861E-2</v>
      </c>
      <c r="O150">
        <v>-0.92000007629394531</v>
      </c>
      <c r="P150">
        <v>1.319999694824219</v>
      </c>
      <c r="Q150" t="s">
        <v>583</v>
      </c>
      <c r="R150">
        <v>2023</v>
      </c>
    </row>
    <row r="151" spans="1:18" hidden="1" x14ac:dyDescent="0.35">
      <c r="A151" t="s">
        <v>649</v>
      </c>
      <c r="B151" s="22">
        <v>45139</v>
      </c>
      <c r="C151">
        <v>21.5</v>
      </c>
      <c r="D151">
        <v>21.5</v>
      </c>
      <c r="E151">
        <v>14.02999973297119</v>
      </c>
      <c r="F151">
        <v>14.89000034332275</v>
      </c>
      <c r="G151">
        <v>14903900</v>
      </c>
      <c r="H151">
        <v>14.89000034332275</v>
      </c>
      <c r="I151" t="s">
        <v>648</v>
      </c>
      <c r="J151" s="22">
        <v>45550</v>
      </c>
      <c r="M151">
        <v>-6.6699991226196289</v>
      </c>
      <c r="N151">
        <v>-0.30936916919483259</v>
      </c>
      <c r="O151">
        <v>-6.6099996566772461</v>
      </c>
      <c r="P151">
        <v>0</v>
      </c>
      <c r="Q151" t="s">
        <v>587</v>
      </c>
      <c r="R151">
        <v>2023</v>
      </c>
    </row>
    <row r="152" spans="1:18" hidden="1" x14ac:dyDescent="0.35">
      <c r="A152" t="s">
        <v>649</v>
      </c>
      <c r="B152" s="22">
        <v>45170</v>
      </c>
      <c r="C152">
        <v>15.010000228881839</v>
      </c>
      <c r="D152">
        <v>15.74300003051758</v>
      </c>
      <c r="E152">
        <v>14.039999961853029</v>
      </c>
      <c r="F152">
        <v>14.840000152587891</v>
      </c>
      <c r="G152">
        <v>16548800</v>
      </c>
      <c r="H152">
        <v>14.840000152587891</v>
      </c>
      <c r="I152" t="s">
        <v>648</v>
      </c>
      <c r="J152" s="22">
        <v>45550</v>
      </c>
      <c r="M152">
        <v>-5.0000190734863281E-2</v>
      </c>
      <c r="N152">
        <v>-3.3579710934852351E-3</v>
      </c>
      <c r="O152">
        <v>-0.17000007629394531</v>
      </c>
      <c r="P152">
        <v>0.73299980163574219</v>
      </c>
      <c r="Q152" t="s">
        <v>585</v>
      </c>
      <c r="R152">
        <v>2023</v>
      </c>
    </row>
    <row r="153" spans="1:18" hidden="1" x14ac:dyDescent="0.35">
      <c r="A153" t="s">
        <v>649</v>
      </c>
      <c r="B153" s="22">
        <v>45200</v>
      </c>
      <c r="C153">
        <v>14.72000026702881</v>
      </c>
      <c r="D153">
        <v>15.260000228881839</v>
      </c>
      <c r="E153">
        <v>12.569999694824221</v>
      </c>
      <c r="F153">
        <v>13.02000045776367</v>
      </c>
      <c r="G153">
        <v>9681700</v>
      </c>
      <c r="H153">
        <v>13.02000045776367</v>
      </c>
      <c r="I153" t="s">
        <v>648</v>
      </c>
      <c r="J153" s="22">
        <v>45550</v>
      </c>
      <c r="M153">
        <v>-1.819999694824219</v>
      </c>
      <c r="N153">
        <v>-0.1226414876085319</v>
      </c>
      <c r="O153">
        <v>-1.6999998092651369</v>
      </c>
      <c r="P153">
        <v>0.53999996185302734</v>
      </c>
      <c r="Q153" t="s">
        <v>584</v>
      </c>
      <c r="R153">
        <v>2023</v>
      </c>
    </row>
    <row r="154" spans="1:18" hidden="1" x14ac:dyDescent="0.35">
      <c r="A154" t="s">
        <v>649</v>
      </c>
      <c r="B154" s="22">
        <v>45231</v>
      </c>
      <c r="C154">
        <v>13</v>
      </c>
      <c r="D154">
        <v>15.47999954223633</v>
      </c>
      <c r="E154">
        <v>12.39000034332275</v>
      </c>
      <c r="F154">
        <v>15.180000305175779</v>
      </c>
      <c r="G154">
        <v>8184000</v>
      </c>
      <c r="H154">
        <v>15.180000305175779</v>
      </c>
      <c r="I154" t="s">
        <v>648</v>
      </c>
      <c r="J154" s="22">
        <v>45550</v>
      </c>
      <c r="M154">
        <v>2.1599998474121089</v>
      </c>
      <c r="N154">
        <v>0.16589859995927481</v>
      </c>
      <c r="O154">
        <v>2.1800003051757808</v>
      </c>
      <c r="P154">
        <v>2.4799995422363281</v>
      </c>
      <c r="Q154" t="s">
        <v>582</v>
      </c>
      <c r="R154">
        <v>2023</v>
      </c>
    </row>
    <row r="155" spans="1:18" hidden="1" x14ac:dyDescent="0.35">
      <c r="A155" t="s">
        <v>649</v>
      </c>
      <c r="B155" s="22">
        <v>45261</v>
      </c>
      <c r="C155">
        <v>15.27999973297119</v>
      </c>
      <c r="D155">
        <v>17.559999465942379</v>
      </c>
      <c r="E155">
        <v>14.965000152587891</v>
      </c>
      <c r="F155">
        <v>15.72999954223633</v>
      </c>
      <c r="G155">
        <v>12701700</v>
      </c>
      <c r="H155">
        <v>15.72999954223633</v>
      </c>
      <c r="I155" t="s">
        <v>648</v>
      </c>
      <c r="J155" s="22">
        <v>45550</v>
      </c>
      <c r="M155">
        <v>0.54999923706054688</v>
      </c>
      <c r="N155">
        <v>3.6231833070057277E-2</v>
      </c>
      <c r="O155">
        <v>0.44999980926513672</v>
      </c>
      <c r="P155">
        <v>2.279999732971191</v>
      </c>
      <c r="Q155" t="s">
        <v>585</v>
      </c>
      <c r="R155">
        <v>2023</v>
      </c>
    </row>
    <row r="156" spans="1:18" hidden="1" x14ac:dyDescent="0.35">
      <c r="A156" t="s">
        <v>651</v>
      </c>
      <c r="B156" s="22">
        <v>44197</v>
      </c>
      <c r="C156">
        <v>177.38999938964841</v>
      </c>
      <c r="D156">
        <v>197.49000549316409</v>
      </c>
      <c r="E156">
        <v>170.86000061035159</v>
      </c>
      <c r="F156">
        <v>188.6600036621094</v>
      </c>
      <c r="G156">
        <v>777800</v>
      </c>
      <c r="H156">
        <v>188.6600036621094</v>
      </c>
      <c r="I156" t="s">
        <v>650</v>
      </c>
      <c r="J156" s="22">
        <v>45550</v>
      </c>
      <c r="O156">
        <v>11.270004272460939</v>
      </c>
      <c r="P156">
        <v>20.100006103515621</v>
      </c>
      <c r="Q156" t="s">
        <v>585</v>
      </c>
      <c r="R156">
        <v>2021</v>
      </c>
    </row>
    <row r="157" spans="1:18" hidden="1" x14ac:dyDescent="0.35">
      <c r="A157" t="s">
        <v>651</v>
      </c>
      <c r="B157" s="22">
        <v>44228</v>
      </c>
      <c r="C157">
        <v>193.6499938964844</v>
      </c>
      <c r="D157">
        <v>231.3500061035156</v>
      </c>
      <c r="E157">
        <v>192.3500061035156</v>
      </c>
      <c r="F157">
        <v>210.9100036621094</v>
      </c>
      <c r="G157">
        <v>704500</v>
      </c>
      <c r="H157">
        <v>210.9100036621094</v>
      </c>
      <c r="I157" t="s">
        <v>650</v>
      </c>
      <c r="J157" s="22">
        <v>45550</v>
      </c>
      <c r="M157">
        <v>22.25</v>
      </c>
      <c r="N157">
        <v>0.1179370272877225</v>
      </c>
      <c r="O157">
        <v>17.260009765625</v>
      </c>
      <c r="P157">
        <v>37.70001220703125</v>
      </c>
      <c r="Q157" t="s">
        <v>586</v>
      </c>
      <c r="R157">
        <v>2021</v>
      </c>
    </row>
    <row r="158" spans="1:18" hidden="1" x14ac:dyDescent="0.35">
      <c r="A158" t="s">
        <v>651</v>
      </c>
      <c r="B158" s="22">
        <v>44256</v>
      </c>
      <c r="C158">
        <v>216.74000549316409</v>
      </c>
      <c r="D158">
        <v>232.8800048828125</v>
      </c>
      <c r="E158">
        <v>207.25999450683591</v>
      </c>
      <c r="F158">
        <v>225.61000061035159</v>
      </c>
      <c r="G158">
        <v>1028100</v>
      </c>
      <c r="H158">
        <v>225.61000061035159</v>
      </c>
      <c r="I158" t="s">
        <v>650</v>
      </c>
      <c r="J158" s="22">
        <v>45550</v>
      </c>
      <c r="M158">
        <v>14.699996948242189</v>
      </c>
      <c r="N158">
        <v>6.9697959760090189E-2</v>
      </c>
      <c r="O158">
        <v>8.8699951171875</v>
      </c>
      <c r="P158">
        <v>16.139999389648441</v>
      </c>
      <c r="Q158" t="s">
        <v>586</v>
      </c>
      <c r="R158">
        <v>2021</v>
      </c>
    </row>
    <row r="159" spans="1:18" hidden="1" x14ac:dyDescent="0.35">
      <c r="A159" t="s">
        <v>651</v>
      </c>
      <c r="B159" s="22">
        <v>44287</v>
      </c>
      <c r="C159">
        <v>225.52000427246091</v>
      </c>
      <c r="D159">
        <v>242.05999755859381</v>
      </c>
      <c r="E159">
        <v>208.08000183105469</v>
      </c>
      <c r="F159">
        <v>209.42999267578119</v>
      </c>
      <c r="G159">
        <v>812100</v>
      </c>
      <c r="H159">
        <v>209.42999267578119</v>
      </c>
      <c r="I159" t="s">
        <v>650</v>
      </c>
      <c r="J159" s="22">
        <v>45550</v>
      </c>
      <c r="M159">
        <v>-16.180007934570309</v>
      </c>
      <c r="N159">
        <v>-7.1716714200602438E-2</v>
      </c>
      <c r="O159">
        <v>-16.090011596679691</v>
      </c>
      <c r="P159">
        <v>16.539993286132809</v>
      </c>
      <c r="Q159" t="s">
        <v>588</v>
      </c>
      <c r="R159">
        <v>2021</v>
      </c>
    </row>
    <row r="160" spans="1:18" hidden="1" x14ac:dyDescent="0.35">
      <c r="A160" t="s">
        <v>651</v>
      </c>
      <c r="B160" s="22">
        <v>44317</v>
      </c>
      <c r="C160">
        <v>212.11000061035159</v>
      </c>
      <c r="D160">
        <v>231.05000305175781</v>
      </c>
      <c r="E160">
        <v>196.46000671386719</v>
      </c>
      <c r="F160">
        <v>221.27000427246091</v>
      </c>
      <c r="G160">
        <v>986800</v>
      </c>
      <c r="H160">
        <v>221.27000427246091</v>
      </c>
      <c r="I160" t="s">
        <v>650</v>
      </c>
      <c r="J160" s="22">
        <v>45550</v>
      </c>
      <c r="M160">
        <v>11.840011596679689</v>
      </c>
      <c r="N160">
        <v>5.6534460252831258E-2</v>
      </c>
      <c r="O160">
        <v>9.160003662109375</v>
      </c>
      <c r="P160">
        <v>18.94000244140625</v>
      </c>
      <c r="Q160" t="s">
        <v>583</v>
      </c>
      <c r="R160">
        <v>2021</v>
      </c>
    </row>
    <row r="161" spans="1:18" hidden="1" x14ac:dyDescent="0.35">
      <c r="A161" t="s">
        <v>651</v>
      </c>
      <c r="B161" s="22">
        <v>44348</v>
      </c>
      <c r="C161">
        <v>222.6499938964844</v>
      </c>
      <c r="D161">
        <v>230.6300048828125</v>
      </c>
      <c r="E161">
        <v>214</v>
      </c>
      <c r="F161">
        <v>222.19000244140619</v>
      </c>
      <c r="G161">
        <v>903200</v>
      </c>
      <c r="H161">
        <v>222.19000244140619</v>
      </c>
      <c r="I161" t="s">
        <v>650</v>
      </c>
      <c r="J161" s="22">
        <v>45550</v>
      </c>
      <c r="M161">
        <v>0.9199981689453125</v>
      </c>
      <c r="N161">
        <v>4.1578078871118418E-3</v>
      </c>
      <c r="O161">
        <v>-0.459991455078125</v>
      </c>
      <c r="P161">
        <v>7.980010986328125</v>
      </c>
      <c r="Q161" t="s">
        <v>587</v>
      </c>
      <c r="R161">
        <v>2021</v>
      </c>
    </row>
    <row r="162" spans="1:18" hidden="1" x14ac:dyDescent="0.35">
      <c r="A162" t="s">
        <v>651</v>
      </c>
      <c r="B162" s="22">
        <v>44378</v>
      </c>
      <c r="C162">
        <v>223.72999572753909</v>
      </c>
      <c r="D162">
        <v>240</v>
      </c>
      <c r="E162">
        <v>205</v>
      </c>
      <c r="F162">
        <v>235</v>
      </c>
      <c r="G162">
        <v>662800</v>
      </c>
      <c r="H162">
        <v>235</v>
      </c>
      <c r="I162" t="s">
        <v>650</v>
      </c>
      <c r="J162" s="22">
        <v>45550</v>
      </c>
      <c r="M162">
        <v>12.80999755859375</v>
      </c>
      <c r="N162">
        <v>5.7653348115749958E-2</v>
      </c>
      <c r="O162">
        <v>11.270004272460939</v>
      </c>
      <c r="P162">
        <v>16.270004272460941</v>
      </c>
      <c r="Q162" t="s">
        <v>588</v>
      </c>
      <c r="R162">
        <v>2021</v>
      </c>
    </row>
    <row r="163" spans="1:18" hidden="1" x14ac:dyDescent="0.35">
      <c r="A163" t="s">
        <v>651</v>
      </c>
      <c r="B163" s="22">
        <v>44409</v>
      </c>
      <c r="C163">
        <v>237.78999328613281</v>
      </c>
      <c r="D163">
        <v>266.39999389648438</v>
      </c>
      <c r="E163">
        <v>235</v>
      </c>
      <c r="F163">
        <v>255.5</v>
      </c>
      <c r="G163">
        <v>705100</v>
      </c>
      <c r="H163">
        <v>255.5</v>
      </c>
      <c r="I163" t="s">
        <v>650</v>
      </c>
      <c r="J163" s="22">
        <v>45550</v>
      </c>
      <c r="M163">
        <v>20.5</v>
      </c>
      <c r="N163">
        <v>8.7234042553191449E-2</v>
      </c>
      <c r="O163">
        <v>17.710006713867191</v>
      </c>
      <c r="P163">
        <v>28.610000610351559</v>
      </c>
      <c r="Q163" t="s">
        <v>584</v>
      </c>
      <c r="R163">
        <v>2021</v>
      </c>
    </row>
    <row r="164" spans="1:18" hidden="1" x14ac:dyDescent="0.35">
      <c r="A164" t="s">
        <v>651</v>
      </c>
      <c r="B164" s="22">
        <v>44440</v>
      </c>
      <c r="C164">
        <v>254.8999938964844</v>
      </c>
      <c r="D164">
        <v>259.75</v>
      </c>
      <c r="E164">
        <v>236.32000732421881</v>
      </c>
      <c r="F164">
        <v>236.74000549316409</v>
      </c>
      <c r="G164">
        <v>727200</v>
      </c>
      <c r="H164">
        <v>236.74000549316409</v>
      </c>
      <c r="I164" t="s">
        <v>650</v>
      </c>
      <c r="J164" s="22">
        <v>45550</v>
      </c>
      <c r="M164">
        <v>-18.759994506835941</v>
      </c>
      <c r="N164">
        <v>-7.3424636034582935E-2</v>
      </c>
      <c r="O164">
        <v>-18.159988403320309</v>
      </c>
      <c r="P164">
        <v>4.850006103515625</v>
      </c>
      <c r="Q164" t="s">
        <v>582</v>
      </c>
      <c r="R164">
        <v>2021</v>
      </c>
    </row>
    <row r="165" spans="1:18" hidden="1" x14ac:dyDescent="0.35">
      <c r="A165" t="s">
        <v>651</v>
      </c>
      <c r="B165" s="22">
        <v>44470</v>
      </c>
      <c r="C165">
        <v>237.25</v>
      </c>
      <c r="D165">
        <v>249.97999572753909</v>
      </c>
      <c r="E165">
        <v>228.5</v>
      </c>
      <c r="F165">
        <v>240.3800048828125</v>
      </c>
      <c r="G165">
        <v>610800</v>
      </c>
      <c r="H165">
        <v>240.3800048828125</v>
      </c>
      <c r="I165" t="s">
        <v>650</v>
      </c>
      <c r="J165" s="22">
        <v>45550</v>
      </c>
      <c r="M165">
        <v>3.6399993896484379</v>
      </c>
      <c r="N165">
        <v>1.537551451038355E-2</v>
      </c>
      <c r="O165">
        <v>3.1300048828125</v>
      </c>
      <c r="P165">
        <v>12.729995727539061</v>
      </c>
      <c r="Q165" t="s">
        <v>585</v>
      </c>
      <c r="R165">
        <v>2021</v>
      </c>
    </row>
    <row r="166" spans="1:18" hidden="1" x14ac:dyDescent="0.35">
      <c r="A166" t="s">
        <v>651</v>
      </c>
      <c r="B166" s="22">
        <v>44501</v>
      </c>
      <c r="C166">
        <v>240.30000305175781</v>
      </c>
      <c r="D166">
        <v>315.8599853515625</v>
      </c>
      <c r="E166">
        <v>237.9700012207031</v>
      </c>
      <c r="F166">
        <v>297.489990234375</v>
      </c>
      <c r="G166">
        <v>1097500</v>
      </c>
      <c r="H166">
        <v>297.489990234375</v>
      </c>
      <c r="I166" t="s">
        <v>650</v>
      </c>
      <c r="J166" s="22">
        <v>45550</v>
      </c>
      <c r="M166">
        <v>57.1099853515625</v>
      </c>
      <c r="N166">
        <v>0.23758209581285339</v>
      </c>
      <c r="O166">
        <v>57.189987182617188</v>
      </c>
      <c r="P166">
        <v>75.559982299804688</v>
      </c>
      <c r="Q166" t="s">
        <v>586</v>
      </c>
      <c r="R166">
        <v>2021</v>
      </c>
    </row>
    <row r="167" spans="1:18" hidden="1" x14ac:dyDescent="0.35">
      <c r="A167" t="s">
        <v>651</v>
      </c>
      <c r="B167" s="22">
        <v>44531</v>
      </c>
      <c r="C167">
        <v>302</v>
      </c>
      <c r="D167">
        <v>327.239990234375</v>
      </c>
      <c r="E167">
        <v>281.57998657226563</v>
      </c>
      <c r="F167">
        <v>317.64999389648438</v>
      </c>
      <c r="G167">
        <v>1138500</v>
      </c>
      <c r="H167">
        <v>317.64999389648438</v>
      </c>
      <c r="I167" t="s">
        <v>650</v>
      </c>
      <c r="J167" s="22">
        <v>45550</v>
      </c>
      <c r="M167">
        <v>20.160003662109379</v>
      </c>
      <c r="N167">
        <v>6.7766998298754544E-2</v>
      </c>
      <c r="O167">
        <v>15.64999389648438</v>
      </c>
      <c r="P167">
        <v>25.239990234375</v>
      </c>
      <c r="Q167" t="s">
        <v>582</v>
      </c>
      <c r="R167">
        <v>2021</v>
      </c>
    </row>
    <row r="168" spans="1:18" hidden="1" x14ac:dyDescent="0.35">
      <c r="A168" t="s">
        <v>651</v>
      </c>
      <c r="B168" s="22">
        <v>44562</v>
      </c>
      <c r="C168">
        <v>318.239990234375</v>
      </c>
      <c r="D168">
        <v>324.989990234375</v>
      </c>
      <c r="E168">
        <v>245.58000183105469</v>
      </c>
      <c r="F168">
        <v>269.44000244140619</v>
      </c>
      <c r="G168">
        <v>1065700</v>
      </c>
      <c r="H168">
        <v>269.44000244140619</v>
      </c>
      <c r="I168" t="s">
        <v>650</v>
      </c>
      <c r="J168" s="22">
        <v>45550</v>
      </c>
      <c r="M168">
        <v>-48.209991455078118</v>
      </c>
      <c r="N168">
        <v>-0.15177079295266341</v>
      </c>
      <c r="O168">
        <v>-48.79998779296875</v>
      </c>
      <c r="P168">
        <v>6.75</v>
      </c>
      <c r="Q168" t="s">
        <v>583</v>
      </c>
      <c r="R168">
        <v>2022</v>
      </c>
    </row>
    <row r="169" spans="1:18" hidden="1" x14ac:dyDescent="0.35">
      <c r="A169" t="s">
        <v>651</v>
      </c>
      <c r="B169" s="22">
        <v>44593</v>
      </c>
      <c r="C169">
        <v>270.77999877929688</v>
      </c>
      <c r="D169">
        <v>305.20999145507813</v>
      </c>
      <c r="E169">
        <v>259.67001342773438</v>
      </c>
      <c r="F169">
        <v>272.6300048828125</v>
      </c>
      <c r="G169">
        <v>1266400</v>
      </c>
      <c r="H169">
        <v>272.6300048828125</v>
      </c>
      <c r="I169" t="s">
        <v>650</v>
      </c>
      <c r="J169" s="22">
        <v>45550</v>
      </c>
      <c r="M169">
        <v>3.19000244140625</v>
      </c>
      <c r="N169">
        <v>1.1839379500079961E-2</v>
      </c>
      <c r="O169">
        <v>1.850006103515625</v>
      </c>
      <c r="P169">
        <v>34.42999267578125</v>
      </c>
      <c r="Q169" t="s">
        <v>587</v>
      </c>
      <c r="R169">
        <v>2022</v>
      </c>
    </row>
    <row r="170" spans="1:18" hidden="1" x14ac:dyDescent="0.35">
      <c r="A170" t="s">
        <v>651</v>
      </c>
      <c r="B170" s="22">
        <v>44621</v>
      </c>
      <c r="C170">
        <v>271.1199951171875</v>
      </c>
      <c r="D170">
        <v>290.26998901367188</v>
      </c>
      <c r="E170">
        <v>240.27000427246091</v>
      </c>
      <c r="F170">
        <v>240.8500061035156</v>
      </c>
      <c r="G170">
        <v>1371800</v>
      </c>
      <c r="H170">
        <v>240.8500061035156</v>
      </c>
      <c r="I170" t="s">
        <v>650</v>
      </c>
      <c r="J170" s="22">
        <v>45550</v>
      </c>
      <c r="M170">
        <v>-31.779998779296879</v>
      </c>
      <c r="N170">
        <v>-0.1165682361079706</v>
      </c>
      <c r="O170">
        <v>-30.269989013671879</v>
      </c>
      <c r="P170">
        <v>19.149993896484379</v>
      </c>
      <c r="Q170" t="s">
        <v>587</v>
      </c>
      <c r="R170">
        <v>2022</v>
      </c>
    </row>
    <row r="171" spans="1:18" hidden="1" x14ac:dyDescent="0.35">
      <c r="A171" t="s">
        <v>651</v>
      </c>
      <c r="B171" s="22">
        <v>44652</v>
      </c>
      <c r="C171">
        <v>243.19999694824219</v>
      </c>
      <c r="D171">
        <v>251</v>
      </c>
      <c r="E171">
        <v>224.1300048828125</v>
      </c>
      <c r="F171">
        <v>236.25</v>
      </c>
      <c r="G171">
        <v>1209600</v>
      </c>
      <c r="H171">
        <v>236.25</v>
      </c>
      <c r="I171" t="s">
        <v>650</v>
      </c>
      <c r="J171" s="22">
        <v>45550</v>
      </c>
      <c r="M171">
        <v>-4.600006103515625</v>
      </c>
      <c r="N171">
        <v>-1.9099049146540481E-2</v>
      </c>
      <c r="O171">
        <v>-6.9499969482421884</v>
      </c>
      <c r="P171">
        <v>7.8000030517578116</v>
      </c>
      <c r="Q171" t="s">
        <v>585</v>
      </c>
      <c r="R171">
        <v>2022</v>
      </c>
    </row>
    <row r="172" spans="1:18" hidden="1" x14ac:dyDescent="0.35">
      <c r="A172" t="s">
        <v>651</v>
      </c>
      <c r="B172" s="22">
        <v>44682</v>
      </c>
      <c r="C172">
        <v>236.1000061035156</v>
      </c>
      <c r="D172">
        <v>262.54000854492188</v>
      </c>
      <c r="E172">
        <v>195.69999694824219</v>
      </c>
      <c r="F172">
        <v>222.1600036621094</v>
      </c>
      <c r="G172">
        <v>1106400</v>
      </c>
      <c r="H172">
        <v>222.1600036621094</v>
      </c>
      <c r="I172" t="s">
        <v>650</v>
      </c>
      <c r="J172" s="22">
        <v>45550</v>
      </c>
      <c r="M172">
        <v>-14.08999633789062</v>
      </c>
      <c r="N172">
        <v>-5.9640196139219559E-2</v>
      </c>
      <c r="O172">
        <v>-13.94000244140625</v>
      </c>
      <c r="P172">
        <v>26.44000244140625</v>
      </c>
      <c r="Q172" t="s">
        <v>584</v>
      </c>
      <c r="R172">
        <v>2022</v>
      </c>
    </row>
    <row r="173" spans="1:18" hidden="1" x14ac:dyDescent="0.35">
      <c r="A173" t="s">
        <v>651</v>
      </c>
      <c r="B173" s="22">
        <v>44713</v>
      </c>
      <c r="C173">
        <v>224.44999694824219</v>
      </c>
      <c r="D173">
        <v>224.44999694824219</v>
      </c>
      <c r="E173">
        <v>179.4700012207031</v>
      </c>
      <c r="F173">
        <v>195.99000549316409</v>
      </c>
      <c r="G173">
        <v>1265900</v>
      </c>
      <c r="H173">
        <v>195.99000549316409</v>
      </c>
      <c r="I173" t="s">
        <v>650</v>
      </c>
      <c r="J173" s="22">
        <v>45550</v>
      </c>
      <c r="M173">
        <v>-26.169998168945309</v>
      </c>
      <c r="N173">
        <v>-0.1177979732515135</v>
      </c>
      <c r="O173">
        <v>-28.459991455078121</v>
      </c>
      <c r="P173">
        <v>0</v>
      </c>
      <c r="Q173" t="s">
        <v>582</v>
      </c>
      <c r="R173">
        <v>2022</v>
      </c>
    </row>
    <row r="174" spans="1:18" hidden="1" x14ac:dyDescent="0.35">
      <c r="A174" t="s">
        <v>651</v>
      </c>
      <c r="B174" s="22">
        <v>44743</v>
      </c>
      <c r="C174">
        <v>196.13999938964841</v>
      </c>
      <c r="D174">
        <v>258.04998779296881</v>
      </c>
      <c r="E174">
        <v>195.99000549316409</v>
      </c>
      <c r="F174">
        <v>257.79000854492188</v>
      </c>
      <c r="G174">
        <v>977500</v>
      </c>
      <c r="H174">
        <v>257.79000854492188</v>
      </c>
      <c r="I174" t="s">
        <v>650</v>
      </c>
      <c r="J174" s="22">
        <v>45550</v>
      </c>
      <c r="M174">
        <v>61.800003051757813</v>
      </c>
      <c r="N174">
        <v>0.31532221705005942</v>
      </c>
      <c r="O174">
        <v>61.650009155273438</v>
      </c>
      <c r="P174">
        <v>61.909988403320313</v>
      </c>
      <c r="Q174" t="s">
        <v>585</v>
      </c>
      <c r="R174">
        <v>2022</v>
      </c>
    </row>
    <row r="175" spans="1:18" hidden="1" x14ac:dyDescent="0.35">
      <c r="A175" t="s">
        <v>651</v>
      </c>
      <c r="B175" s="22">
        <v>44774</v>
      </c>
      <c r="C175">
        <v>255.19000244140619</v>
      </c>
      <c r="D175">
        <v>298.07000732421881</v>
      </c>
      <c r="E175">
        <v>233.05000305175781</v>
      </c>
      <c r="F175">
        <v>234.00999450683591</v>
      </c>
      <c r="G175">
        <v>1419000</v>
      </c>
      <c r="H175">
        <v>234.00999450683591</v>
      </c>
      <c r="I175" t="s">
        <v>650</v>
      </c>
      <c r="J175" s="22">
        <v>45550</v>
      </c>
      <c r="M175">
        <v>-23.780014038085941</v>
      </c>
      <c r="N175">
        <v>-9.2245677682818661E-2</v>
      </c>
      <c r="O175">
        <v>-21.180007934570309</v>
      </c>
      <c r="P175">
        <v>42.8800048828125</v>
      </c>
      <c r="Q175" t="s">
        <v>586</v>
      </c>
      <c r="R175">
        <v>2022</v>
      </c>
    </row>
    <row r="176" spans="1:18" hidden="1" x14ac:dyDescent="0.35">
      <c r="A176" t="s">
        <v>651</v>
      </c>
      <c r="B176" s="22">
        <v>44805</v>
      </c>
      <c r="C176">
        <v>231.6600036621094</v>
      </c>
      <c r="D176">
        <v>234.75999450683591</v>
      </c>
      <c r="E176">
        <v>201.57000732421881</v>
      </c>
      <c r="F176">
        <v>205.75999450683591</v>
      </c>
      <c r="G176">
        <v>1474400</v>
      </c>
      <c r="H176">
        <v>205.75999450683591</v>
      </c>
      <c r="I176" t="s">
        <v>650</v>
      </c>
      <c r="J176" s="22">
        <v>45550</v>
      </c>
      <c r="M176">
        <v>-28.25</v>
      </c>
      <c r="N176">
        <v>-0.1207213395288327</v>
      </c>
      <c r="O176">
        <v>-25.900009155273441</v>
      </c>
      <c r="P176">
        <v>3.0999908447265621</v>
      </c>
      <c r="Q176" t="s">
        <v>588</v>
      </c>
      <c r="R176">
        <v>2022</v>
      </c>
    </row>
    <row r="177" spans="1:18" hidden="1" x14ac:dyDescent="0.35">
      <c r="A177" t="s">
        <v>651</v>
      </c>
      <c r="B177" s="22">
        <v>44835</v>
      </c>
      <c r="C177">
        <v>210.21000671386719</v>
      </c>
      <c r="D177">
        <v>236.3500061035156</v>
      </c>
      <c r="E177">
        <v>197.03999328613281</v>
      </c>
      <c r="F177">
        <v>226.66999816894531</v>
      </c>
      <c r="G177">
        <v>1161100</v>
      </c>
      <c r="H177">
        <v>226.66999816894531</v>
      </c>
      <c r="I177" t="s">
        <v>650</v>
      </c>
      <c r="J177" s="22">
        <v>45550</v>
      </c>
      <c r="M177">
        <v>20.910003662109379</v>
      </c>
      <c r="N177">
        <v>0.1016232708997991</v>
      </c>
      <c r="O177">
        <v>16.459991455078121</v>
      </c>
      <c r="P177">
        <v>26.139999389648441</v>
      </c>
      <c r="Q177" t="s">
        <v>583</v>
      </c>
      <c r="R177">
        <v>2022</v>
      </c>
    </row>
    <row r="178" spans="1:18" hidden="1" x14ac:dyDescent="0.35">
      <c r="A178" t="s">
        <v>651</v>
      </c>
      <c r="B178" s="22">
        <v>44866</v>
      </c>
      <c r="C178">
        <v>230.94000244140619</v>
      </c>
      <c r="D178">
        <v>244.6000061035156</v>
      </c>
      <c r="E178">
        <v>193.9100036621094</v>
      </c>
      <c r="F178">
        <v>229.6300048828125</v>
      </c>
      <c r="G178">
        <v>1925200</v>
      </c>
      <c r="H178">
        <v>229.6300048828125</v>
      </c>
      <c r="I178" t="s">
        <v>650</v>
      </c>
      <c r="J178" s="22">
        <v>45550</v>
      </c>
      <c r="M178">
        <v>2.9600067138671879</v>
      </c>
      <c r="N178">
        <v>1.305866121576882E-2</v>
      </c>
      <c r="O178">
        <v>-1.30999755859375</v>
      </c>
      <c r="P178">
        <v>13.66000366210938</v>
      </c>
      <c r="Q178" t="s">
        <v>587</v>
      </c>
      <c r="R178">
        <v>2022</v>
      </c>
    </row>
    <row r="179" spans="1:18" hidden="1" x14ac:dyDescent="0.35">
      <c r="A179" t="s">
        <v>651</v>
      </c>
      <c r="B179" s="22">
        <v>44896</v>
      </c>
      <c r="C179">
        <v>230.57000732421881</v>
      </c>
      <c r="D179">
        <v>261.72000122070313</v>
      </c>
      <c r="E179">
        <v>219.91999816894531</v>
      </c>
      <c r="F179">
        <v>226.25</v>
      </c>
      <c r="G179">
        <v>2014500</v>
      </c>
      <c r="H179">
        <v>226.25</v>
      </c>
      <c r="I179" t="s">
        <v>650</v>
      </c>
      <c r="J179" s="22">
        <v>45550</v>
      </c>
      <c r="M179">
        <v>-3.3800048828125</v>
      </c>
      <c r="N179">
        <v>-1.4719352048689901E-2</v>
      </c>
      <c r="O179">
        <v>-4.32000732421875</v>
      </c>
      <c r="P179">
        <v>31.149993896484379</v>
      </c>
      <c r="Q179" t="s">
        <v>588</v>
      </c>
      <c r="R179">
        <v>2022</v>
      </c>
    </row>
    <row r="180" spans="1:18" hidden="1" x14ac:dyDescent="0.35">
      <c r="A180" t="s">
        <v>651</v>
      </c>
      <c r="B180" s="22">
        <v>44927</v>
      </c>
      <c r="C180">
        <v>228.27000427246091</v>
      </c>
      <c r="D180">
        <v>272.33999633789063</v>
      </c>
      <c r="E180">
        <v>224.6199951171875</v>
      </c>
      <c r="F180">
        <v>266.10000610351563</v>
      </c>
      <c r="G180">
        <v>1347100</v>
      </c>
      <c r="H180">
        <v>266.10000610351563</v>
      </c>
      <c r="I180" t="s">
        <v>650</v>
      </c>
      <c r="J180" s="22">
        <v>45550</v>
      </c>
      <c r="M180">
        <v>39.850006103515618</v>
      </c>
      <c r="N180">
        <v>0.1761326236619476</v>
      </c>
      <c r="O180">
        <v>37.830001831054688</v>
      </c>
      <c r="P180">
        <v>44.069992065429688</v>
      </c>
      <c r="Q180" t="s">
        <v>584</v>
      </c>
      <c r="R180">
        <v>2023</v>
      </c>
    </row>
    <row r="181" spans="1:18" hidden="1" x14ac:dyDescent="0.35">
      <c r="A181" t="s">
        <v>651</v>
      </c>
      <c r="B181" s="22">
        <v>44958</v>
      </c>
      <c r="C181">
        <v>265.69000244140619</v>
      </c>
      <c r="D181">
        <v>299.3599853515625</v>
      </c>
      <c r="E181">
        <v>257</v>
      </c>
      <c r="F181">
        <v>285</v>
      </c>
      <c r="G181">
        <v>1449500</v>
      </c>
      <c r="H181">
        <v>285</v>
      </c>
      <c r="I181" t="s">
        <v>650</v>
      </c>
      <c r="J181" s="22">
        <v>45550</v>
      </c>
      <c r="M181">
        <v>18.899993896484379</v>
      </c>
      <c r="N181">
        <v>7.1025905535425204E-2</v>
      </c>
      <c r="O181">
        <v>19.30999755859375</v>
      </c>
      <c r="P181">
        <v>33.66998291015625</v>
      </c>
      <c r="Q181" t="s">
        <v>582</v>
      </c>
      <c r="R181">
        <v>2023</v>
      </c>
    </row>
    <row r="182" spans="1:18" hidden="1" x14ac:dyDescent="0.35">
      <c r="A182" t="s">
        <v>651</v>
      </c>
      <c r="B182" s="22">
        <v>44986</v>
      </c>
      <c r="C182">
        <v>284.5</v>
      </c>
      <c r="D182">
        <v>317.8599853515625</v>
      </c>
      <c r="E182">
        <v>276.51998901367188</v>
      </c>
      <c r="F182">
        <v>317.739990234375</v>
      </c>
      <c r="G182">
        <v>1717700</v>
      </c>
      <c r="H182">
        <v>317.739990234375</v>
      </c>
      <c r="I182" t="s">
        <v>650</v>
      </c>
      <c r="J182" s="22">
        <v>45550</v>
      </c>
      <c r="M182">
        <v>32.739990234375</v>
      </c>
      <c r="N182">
        <v>0.1148771587171054</v>
      </c>
      <c r="O182">
        <v>33.239990234375</v>
      </c>
      <c r="P182">
        <v>33.3599853515625</v>
      </c>
      <c r="Q182" t="s">
        <v>582</v>
      </c>
      <c r="R182">
        <v>2023</v>
      </c>
    </row>
    <row r="183" spans="1:18" hidden="1" x14ac:dyDescent="0.35">
      <c r="A183" t="s">
        <v>651</v>
      </c>
      <c r="B183" s="22">
        <v>45017</v>
      </c>
      <c r="C183">
        <v>317</v>
      </c>
      <c r="D183">
        <v>318</v>
      </c>
      <c r="E183">
        <v>274.1199951171875</v>
      </c>
      <c r="F183">
        <v>300.22000122070313</v>
      </c>
      <c r="G183">
        <v>985800</v>
      </c>
      <c r="H183">
        <v>300.22000122070313</v>
      </c>
      <c r="I183" t="s">
        <v>650</v>
      </c>
      <c r="J183" s="22">
        <v>45550</v>
      </c>
      <c r="M183">
        <v>-17.519989013671879</v>
      </c>
      <c r="N183">
        <v>-5.5139389287286678E-2</v>
      </c>
      <c r="O183">
        <v>-16.779998779296879</v>
      </c>
      <c r="P183">
        <v>1</v>
      </c>
      <c r="Q183" t="s">
        <v>583</v>
      </c>
      <c r="R183">
        <v>2023</v>
      </c>
    </row>
    <row r="184" spans="1:18" hidden="1" x14ac:dyDescent="0.35">
      <c r="A184" t="s">
        <v>651</v>
      </c>
      <c r="B184" s="22">
        <v>45047</v>
      </c>
      <c r="C184">
        <v>298</v>
      </c>
      <c r="D184">
        <v>306.79998779296881</v>
      </c>
      <c r="E184">
        <v>245.8699951171875</v>
      </c>
      <c r="F184">
        <v>248.97999572753909</v>
      </c>
      <c r="G184">
        <v>1626200</v>
      </c>
      <c r="H184">
        <v>248.97999572753909</v>
      </c>
      <c r="I184" t="s">
        <v>650</v>
      </c>
      <c r="J184" s="22">
        <v>45550</v>
      </c>
      <c r="M184">
        <v>-51.240005493164063</v>
      </c>
      <c r="N184">
        <v>-0.1706748560549621</v>
      </c>
      <c r="O184">
        <v>-49.020004272460938</v>
      </c>
      <c r="P184">
        <v>8.79998779296875</v>
      </c>
      <c r="Q184" t="s">
        <v>586</v>
      </c>
      <c r="R184">
        <v>2023</v>
      </c>
    </row>
    <row r="185" spans="1:18" hidden="1" x14ac:dyDescent="0.35">
      <c r="A185" t="s">
        <v>651</v>
      </c>
      <c r="B185" s="22">
        <v>45078</v>
      </c>
      <c r="C185">
        <v>248.52000427246091</v>
      </c>
      <c r="D185">
        <v>299.04998779296881</v>
      </c>
      <c r="E185">
        <v>248.52000427246091</v>
      </c>
      <c r="F185">
        <v>295</v>
      </c>
      <c r="G185">
        <v>1311100</v>
      </c>
      <c r="H185">
        <v>295</v>
      </c>
      <c r="I185" t="s">
        <v>650</v>
      </c>
      <c r="J185" s="22">
        <v>45550</v>
      </c>
      <c r="M185">
        <v>46.020004272460938</v>
      </c>
      <c r="N185">
        <v>0.18483414355433209</v>
      </c>
      <c r="O185">
        <v>46.479995727539063</v>
      </c>
      <c r="P185">
        <v>50.529983520507813</v>
      </c>
      <c r="Q185" t="s">
        <v>588</v>
      </c>
      <c r="R185">
        <v>2023</v>
      </c>
    </row>
    <row r="186" spans="1:18" hidden="1" x14ac:dyDescent="0.35">
      <c r="A186" t="s">
        <v>651</v>
      </c>
      <c r="B186" s="22">
        <v>45108</v>
      </c>
      <c r="C186">
        <v>294.3900146484375</v>
      </c>
      <c r="D186">
        <v>304.01998901367188</v>
      </c>
      <c r="E186">
        <v>264.02999877929688</v>
      </c>
      <c r="F186">
        <v>295.64999389648438</v>
      </c>
      <c r="G186">
        <v>818500</v>
      </c>
      <c r="H186">
        <v>295.64999389648438</v>
      </c>
      <c r="I186" t="s">
        <v>650</v>
      </c>
      <c r="J186" s="22">
        <v>45550</v>
      </c>
      <c r="M186">
        <v>0.649993896484375</v>
      </c>
      <c r="N186">
        <v>2.2033691406249112E-3</v>
      </c>
      <c r="O186">
        <v>1.259979248046875</v>
      </c>
      <c r="P186">
        <v>9.629974365234375</v>
      </c>
      <c r="Q186" t="s">
        <v>583</v>
      </c>
      <c r="R186">
        <v>2023</v>
      </c>
    </row>
    <row r="187" spans="1:18" hidden="1" x14ac:dyDescent="0.35">
      <c r="A187" t="s">
        <v>651</v>
      </c>
      <c r="B187" s="22">
        <v>45139</v>
      </c>
      <c r="C187">
        <v>294.64999389648438</v>
      </c>
      <c r="D187">
        <v>301</v>
      </c>
      <c r="E187">
        <v>255.38999938964841</v>
      </c>
      <c r="F187">
        <v>279.51998901367188</v>
      </c>
      <c r="G187">
        <v>1336400</v>
      </c>
      <c r="H187">
        <v>279.51998901367188</v>
      </c>
      <c r="I187" t="s">
        <v>650</v>
      </c>
      <c r="J187" s="22">
        <v>45550</v>
      </c>
      <c r="M187">
        <v>-16.1300048828125</v>
      </c>
      <c r="N187">
        <v>-5.4557771742961947E-2</v>
      </c>
      <c r="O187">
        <v>-15.1300048828125</v>
      </c>
      <c r="P187">
        <v>6.350006103515625</v>
      </c>
      <c r="Q187" t="s">
        <v>587</v>
      </c>
      <c r="R187">
        <v>2023</v>
      </c>
    </row>
    <row r="188" spans="1:18" hidden="1" x14ac:dyDescent="0.35">
      <c r="A188" t="s">
        <v>651</v>
      </c>
      <c r="B188" s="22">
        <v>45170</v>
      </c>
      <c r="C188">
        <v>281.26998901367188</v>
      </c>
      <c r="D188">
        <v>287.3800048828125</v>
      </c>
      <c r="E188">
        <v>260.6199951171875</v>
      </c>
      <c r="F188">
        <v>265.66000366210938</v>
      </c>
      <c r="G188">
        <v>1132700</v>
      </c>
      <c r="H188">
        <v>265.66000366210938</v>
      </c>
      <c r="I188" t="s">
        <v>650</v>
      </c>
      <c r="J188" s="22">
        <v>45550</v>
      </c>
      <c r="M188">
        <v>-13.8599853515625</v>
      </c>
      <c r="N188">
        <v>-4.9584952405262839E-2</v>
      </c>
      <c r="O188">
        <v>-15.6099853515625</v>
      </c>
      <c r="P188">
        <v>6.110015869140625</v>
      </c>
      <c r="Q188" t="s">
        <v>585</v>
      </c>
      <c r="R188">
        <v>2023</v>
      </c>
    </row>
    <row r="189" spans="1:18" hidden="1" x14ac:dyDescent="0.35">
      <c r="A189" t="s">
        <v>651</v>
      </c>
      <c r="B189" s="22">
        <v>45200</v>
      </c>
      <c r="C189">
        <v>262.89999389648438</v>
      </c>
      <c r="D189">
        <v>276.48001098632813</v>
      </c>
      <c r="E189">
        <v>245.19999694824219</v>
      </c>
      <c r="F189">
        <v>249.50999450683591</v>
      </c>
      <c r="G189">
        <v>1296500</v>
      </c>
      <c r="H189">
        <v>249.50999450683591</v>
      </c>
      <c r="I189" t="s">
        <v>650</v>
      </c>
      <c r="J189" s="22">
        <v>45550</v>
      </c>
      <c r="M189">
        <v>-16.150009155273441</v>
      </c>
      <c r="N189">
        <v>-6.0792023385705003E-2</v>
      </c>
      <c r="O189">
        <v>-13.389999389648439</v>
      </c>
      <c r="P189">
        <v>13.58001708984375</v>
      </c>
      <c r="Q189" t="s">
        <v>584</v>
      </c>
      <c r="R189">
        <v>2023</v>
      </c>
    </row>
    <row r="190" spans="1:18" hidden="1" x14ac:dyDescent="0.35">
      <c r="A190" t="s">
        <v>651</v>
      </c>
      <c r="B190" s="22">
        <v>45231</v>
      </c>
      <c r="C190">
        <v>247.25</v>
      </c>
      <c r="D190">
        <v>301.02999877929688</v>
      </c>
      <c r="E190">
        <v>233.8399963378906</v>
      </c>
      <c r="F190">
        <v>282.77999877929688</v>
      </c>
      <c r="G190">
        <v>1476200</v>
      </c>
      <c r="H190">
        <v>282.77999877929688</v>
      </c>
      <c r="I190" t="s">
        <v>650</v>
      </c>
      <c r="J190" s="22">
        <v>45550</v>
      </c>
      <c r="M190">
        <v>33.270004272460938</v>
      </c>
      <c r="N190">
        <v>0.13334136910315</v>
      </c>
      <c r="O190">
        <v>35.529998779296882</v>
      </c>
      <c r="P190">
        <v>53.779998779296882</v>
      </c>
      <c r="Q190" t="s">
        <v>582</v>
      </c>
      <c r="R190">
        <v>2023</v>
      </c>
    </row>
    <row r="191" spans="1:18" hidden="1" x14ac:dyDescent="0.35">
      <c r="A191" t="s">
        <v>651</v>
      </c>
      <c r="B191" s="22">
        <v>45261</v>
      </c>
      <c r="C191">
        <v>281.75</v>
      </c>
      <c r="D191">
        <v>365.6300048828125</v>
      </c>
      <c r="E191">
        <v>281.20999145507813</v>
      </c>
      <c r="F191">
        <v>346.6199951171875</v>
      </c>
      <c r="G191">
        <v>1581900</v>
      </c>
      <c r="H191">
        <v>346.6199951171875</v>
      </c>
      <c r="I191" t="s">
        <v>650</v>
      </c>
      <c r="J191" s="22">
        <v>45550</v>
      </c>
      <c r="M191">
        <v>63.839996337890618</v>
      </c>
      <c r="N191">
        <v>0.22575852823210529</v>
      </c>
      <c r="O191">
        <v>64.8699951171875</v>
      </c>
      <c r="P191">
        <v>83.8800048828125</v>
      </c>
      <c r="Q191" t="s">
        <v>585</v>
      </c>
      <c r="R191">
        <v>2023</v>
      </c>
    </row>
    <row r="192" spans="1:18" hidden="1" x14ac:dyDescent="0.35">
      <c r="A192" t="s">
        <v>653</v>
      </c>
      <c r="B192" s="22">
        <v>44197</v>
      </c>
      <c r="C192">
        <v>29.5</v>
      </c>
      <c r="D192">
        <v>42.360000610351563</v>
      </c>
      <c r="E192">
        <v>28.420000076293949</v>
      </c>
      <c r="F192">
        <v>39.319999694824219</v>
      </c>
      <c r="G192">
        <v>11081600</v>
      </c>
      <c r="H192">
        <v>27.08671760559082</v>
      </c>
      <c r="I192" t="s">
        <v>652</v>
      </c>
      <c r="J192" s="22">
        <v>45550</v>
      </c>
      <c r="K192">
        <v>0</v>
      </c>
      <c r="O192">
        <v>9.8199996948242188</v>
      </c>
      <c r="P192">
        <v>12.860000610351561</v>
      </c>
      <c r="Q192" t="s">
        <v>585</v>
      </c>
      <c r="R192">
        <v>2021</v>
      </c>
    </row>
    <row r="193" spans="1:18" hidden="1" x14ac:dyDescent="0.35">
      <c r="A193" t="s">
        <v>653</v>
      </c>
      <c r="B193" s="22">
        <v>44228</v>
      </c>
      <c r="C193">
        <v>39.319999694824219</v>
      </c>
      <c r="D193">
        <v>41.409999847412109</v>
      </c>
      <c r="E193">
        <v>35.770000457763672</v>
      </c>
      <c r="F193">
        <v>38.439998626708977</v>
      </c>
      <c r="G193">
        <v>8084900</v>
      </c>
      <c r="H193">
        <v>26.480503082275391</v>
      </c>
      <c r="I193" t="s">
        <v>652</v>
      </c>
      <c r="J193" s="22">
        <v>45550</v>
      </c>
      <c r="K193">
        <v>0</v>
      </c>
      <c r="M193">
        <v>-0.60621452331542969</v>
      </c>
      <c r="N193">
        <v>-2.2380495293622071E-2</v>
      </c>
      <c r="O193">
        <v>-0.88000106811523438</v>
      </c>
      <c r="P193">
        <v>2.0900001525878911</v>
      </c>
      <c r="Q193" t="s">
        <v>586</v>
      </c>
      <c r="R193">
        <v>2021</v>
      </c>
    </row>
    <row r="194" spans="1:18" hidden="1" x14ac:dyDescent="0.35">
      <c r="A194" t="s">
        <v>653</v>
      </c>
      <c r="B194" s="22">
        <v>44256</v>
      </c>
      <c r="C194">
        <v>39</v>
      </c>
      <c r="D194">
        <v>43.110000610351563</v>
      </c>
      <c r="E194">
        <v>36</v>
      </c>
      <c r="F194">
        <v>39.279998779296882</v>
      </c>
      <c r="G194">
        <v>10498900</v>
      </c>
      <c r="H194">
        <v>27.059160232543949</v>
      </c>
      <c r="I194" t="s">
        <v>652</v>
      </c>
      <c r="J194" s="22">
        <v>45550</v>
      </c>
      <c r="K194">
        <v>0</v>
      </c>
      <c r="M194">
        <v>0.57865715026855469</v>
      </c>
      <c r="N194">
        <v>2.1852242003053579E-2</v>
      </c>
      <c r="O194">
        <v>0.279998779296875</v>
      </c>
      <c r="P194">
        <v>4.1100006103515616</v>
      </c>
      <c r="Q194" t="s">
        <v>586</v>
      </c>
      <c r="R194">
        <v>2021</v>
      </c>
    </row>
    <row r="195" spans="1:18" hidden="1" x14ac:dyDescent="0.35">
      <c r="A195" t="s">
        <v>653</v>
      </c>
      <c r="B195" s="22">
        <v>44287</v>
      </c>
      <c r="C195">
        <v>39.680000305175781</v>
      </c>
      <c r="D195">
        <v>45.529998779296882</v>
      </c>
      <c r="E195">
        <v>38.729999542236328</v>
      </c>
      <c r="F195">
        <v>41.939998626708977</v>
      </c>
      <c r="G195">
        <v>8581100</v>
      </c>
      <c r="H195">
        <v>28.89157676696777</v>
      </c>
      <c r="I195" t="s">
        <v>652</v>
      </c>
      <c r="J195" s="22">
        <v>45550</v>
      </c>
      <c r="K195">
        <v>0.33</v>
      </c>
      <c r="M195">
        <v>1.8324165344238279</v>
      </c>
      <c r="N195">
        <v>6.7718939156742097E-2</v>
      </c>
      <c r="O195">
        <v>2.2599983215332031</v>
      </c>
      <c r="P195">
        <v>5.8499984741210938</v>
      </c>
      <c r="Q195" t="s">
        <v>588</v>
      </c>
      <c r="R195">
        <v>2021</v>
      </c>
    </row>
    <row r="196" spans="1:18" hidden="1" x14ac:dyDescent="0.35">
      <c r="A196" t="s">
        <v>653</v>
      </c>
      <c r="B196" s="22">
        <v>44317</v>
      </c>
      <c r="C196">
        <v>42.380001068115227</v>
      </c>
      <c r="D196">
        <v>46.720001220703118</v>
      </c>
      <c r="E196">
        <v>39.200000762939453</v>
      </c>
      <c r="F196">
        <v>42.119998931884773</v>
      </c>
      <c r="G196">
        <v>12165400</v>
      </c>
      <c r="H196">
        <v>29.243228912353519</v>
      </c>
      <c r="I196" t="s">
        <v>652</v>
      </c>
      <c r="J196" s="22">
        <v>45550</v>
      </c>
      <c r="K196">
        <v>0</v>
      </c>
      <c r="M196">
        <v>0.35165214538574219</v>
      </c>
      <c r="N196">
        <v>4.2918529105804293E-3</v>
      </c>
      <c r="O196">
        <v>-0.26000213623046881</v>
      </c>
      <c r="P196">
        <v>4.3400001525878906</v>
      </c>
      <c r="Q196" t="s">
        <v>583</v>
      </c>
      <c r="R196">
        <v>2021</v>
      </c>
    </row>
    <row r="197" spans="1:18" hidden="1" x14ac:dyDescent="0.35">
      <c r="A197" t="s">
        <v>653</v>
      </c>
      <c r="B197" s="22">
        <v>44348</v>
      </c>
      <c r="C197">
        <v>42.819999694824219</v>
      </c>
      <c r="D197">
        <v>50.369998931884773</v>
      </c>
      <c r="E197">
        <v>38.450000762939453</v>
      </c>
      <c r="F197">
        <v>49.75</v>
      </c>
      <c r="G197">
        <v>15189200</v>
      </c>
      <c r="H197">
        <v>34.540615081787109</v>
      </c>
      <c r="I197" t="s">
        <v>652</v>
      </c>
      <c r="J197" s="22">
        <v>45550</v>
      </c>
      <c r="K197">
        <v>0</v>
      </c>
      <c r="M197">
        <v>5.2973861694335938</v>
      </c>
      <c r="N197">
        <v>0.1811491277683612</v>
      </c>
      <c r="O197">
        <v>6.9300003051757813</v>
      </c>
      <c r="P197">
        <v>7.5499992370605469</v>
      </c>
      <c r="Q197" t="s">
        <v>587</v>
      </c>
      <c r="R197">
        <v>2021</v>
      </c>
    </row>
    <row r="198" spans="1:18" hidden="1" x14ac:dyDescent="0.35">
      <c r="A198" t="s">
        <v>653</v>
      </c>
      <c r="B198" s="22">
        <v>44378</v>
      </c>
      <c r="C198">
        <v>49.950000762939453</v>
      </c>
      <c r="D198">
        <v>50.790000915527337</v>
      </c>
      <c r="E198">
        <v>40.880001068115227</v>
      </c>
      <c r="F198">
        <v>42.080001831054688</v>
      </c>
      <c r="G198">
        <v>9818700</v>
      </c>
      <c r="H198">
        <v>29.215461730957031</v>
      </c>
      <c r="I198" t="s">
        <v>652</v>
      </c>
      <c r="J198" s="22">
        <v>45550</v>
      </c>
      <c r="K198">
        <v>0.33</v>
      </c>
      <c r="M198">
        <v>-5.3251533508300781</v>
      </c>
      <c r="N198">
        <v>-0.1541708174662374</v>
      </c>
      <c r="O198">
        <v>-7.8699989318847656</v>
      </c>
      <c r="P198">
        <v>0.84000015258789063</v>
      </c>
      <c r="Q198" t="s">
        <v>588</v>
      </c>
      <c r="R198">
        <v>2021</v>
      </c>
    </row>
    <row r="199" spans="1:18" hidden="1" x14ac:dyDescent="0.35">
      <c r="A199" t="s">
        <v>653</v>
      </c>
      <c r="B199" s="22">
        <v>44409</v>
      </c>
      <c r="C199">
        <v>42.080001831054688</v>
      </c>
      <c r="D199">
        <v>46.799999237060547</v>
      </c>
      <c r="E199">
        <v>38.349998474121087</v>
      </c>
      <c r="F199">
        <v>38.729999542236328</v>
      </c>
      <c r="G199">
        <v>12842200</v>
      </c>
      <c r="H199">
        <v>27.080972671508789</v>
      </c>
      <c r="I199" t="s">
        <v>652</v>
      </c>
      <c r="J199" s="22">
        <v>45550</v>
      </c>
      <c r="K199">
        <v>0</v>
      </c>
      <c r="M199">
        <v>-2.1344890594482422</v>
      </c>
      <c r="N199">
        <v>-7.9610317087631111E-2</v>
      </c>
      <c r="O199">
        <v>-3.3500022888183589</v>
      </c>
      <c r="P199">
        <v>4.7199974060058594</v>
      </c>
      <c r="Q199" t="s">
        <v>584</v>
      </c>
      <c r="R199">
        <v>2021</v>
      </c>
    </row>
    <row r="200" spans="1:18" hidden="1" x14ac:dyDescent="0.35">
      <c r="A200" t="s">
        <v>653</v>
      </c>
      <c r="B200" s="22">
        <v>44440</v>
      </c>
      <c r="C200">
        <v>39.25</v>
      </c>
      <c r="D200">
        <v>44.779998779296882</v>
      </c>
      <c r="E200">
        <v>38.110000610351563</v>
      </c>
      <c r="F200">
        <v>39.590000152587891</v>
      </c>
      <c r="G200">
        <v>10865100</v>
      </c>
      <c r="H200">
        <v>27.682308197021481</v>
      </c>
      <c r="I200" t="s">
        <v>652</v>
      </c>
      <c r="J200" s="22">
        <v>45550</v>
      </c>
      <c r="K200">
        <v>0</v>
      </c>
      <c r="M200">
        <v>0.60133552551269531</v>
      </c>
      <c r="N200">
        <v>2.2205025058513291E-2</v>
      </c>
      <c r="O200">
        <v>0.34000015258789063</v>
      </c>
      <c r="P200">
        <v>5.529998779296875</v>
      </c>
      <c r="Q200" t="s">
        <v>582</v>
      </c>
      <c r="R200">
        <v>2021</v>
      </c>
    </row>
    <row r="201" spans="1:18" hidden="1" x14ac:dyDescent="0.35">
      <c r="A201" t="s">
        <v>653</v>
      </c>
      <c r="B201" s="22">
        <v>44470</v>
      </c>
      <c r="C201">
        <v>39.779998779296882</v>
      </c>
      <c r="D201">
        <v>43.919998168945313</v>
      </c>
      <c r="E201">
        <v>38.919998168945313</v>
      </c>
      <c r="F201">
        <v>41.619998931884773</v>
      </c>
      <c r="G201">
        <v>7336300</v>
      </c>
      <c r="H201">
        <v>29.101730346679691</v>
      </c>
      <c r="I201" t="s">
        <v>652</v>
      </c>
      <c r="J201" s="22">
        <v>45550</v>
      </c>
      <c r="K201">
        <v>0.33</v>
      </c>
      <c r="M201">
        <v>1.4194221496582029</v>
      </c>
      <c r="N201">
        <v>5.127554360881148E-2</v>
      </c>
      <c r="O201">
        <v>1.8400001525878911</v>
      </c>
      <c r="P201">
        <v>4.1399993896484384</v>
      </c>
      <c r="Q201" t="s">
        <v>585</v>
      </c>
      <c r="R201">
        <v>2021</v>
      </c>
    </row>
    <row r="202" spans="1:18" hidden="1" x14ac:dyDescent="0.35">
      <c r="A202" t="s">
        <v>653</v>
      </c>
      <c r="B202" s="22">
        <v>44501</v>
      </c>
      <c r="C202">
        <v>42.150001525878913</v>
      </c>
      <c r="D202">
        <v>57.099998474121087</v>
      </c>
      <c r="E202">
        <v>42.110000610351563</v>
      </c>
      <c r="F202">
        <v>47.040000915527337</v>
      </c>
      <c r="G202">
        <v>9733800</v>
      </c>
      <c r="H202">
        <v>33.163906097412109</v>
      </c>
      <c r="I202" t="s">
        <v>652</v>
      </c>
      <c r="J202" s="22">
        <v>45550</v>
      </c>
      <c r="K202">
        <v>0</v>
      </c>
      <c r="M202">
        <v>4.0621757507324219</v>
      </c>
      <c r="N202">
        <v>0.1302259039581655</v>
      </c>
      <c r="O202">
        <v>4.8899993896484384</v>
      </c>
      <c r="P202">
        <v>14.949996948242189</v>
      </c>
      <c r="Q202" t="s">
        <v>586</v>
      </c>
      <c r="R202">
        <v>2021</v>
      </c>
    </row>
    <row r="203" spans="1:18" hidden="1" x14ac:dyDescent="0.35">
      <c r="A203" t="s">
        <v>653</v>
      </c>
      <c r="B203" s="22">
        <v>44531</v>
      </c>
      <c r="C203">
        <v>48.060001373291023</v>
      </c>
      <c r="D203">
        <v>51.549999237060547</v>
      </c>
      <c r="E203">
        <v>38.159999847412109</v>
      </c>
      <c r="F203">
        <v>42.310001373291023</v>
      </c>
      <c r="G203">
        <v>16759100</v>
      </c>
      <c r="H203">
        <v>29.82918548583984</v>
      </c>
      <c r="I203" t="s">
        <v>652</v>
      </c>
      <c r="J203" s="22">
        <v>45550</v>
      </c>
      <c r="K203">
        <v>6</v>
      </c>
      <c r="M203">
        <v>-3.3347206115722661</v>
      </c>
      <c r="N203">
        <v>-0.1005527094000335</v>
      </c>
      <c r="O203">
        <v>-5.75</v>
      </c>
      <c r="P203">
        <v>3.4899978637695308</v>
      </c>
      <c r="Q203" t="s">
        <v>582</v>
      </c>
      <c r="R203">
        <v>2021</v>
      </c>
    </row>
    <row r="204" spans="1:18" hidden="1" x14ac:dyDescent="0.35">
      <c r="A204" t="s">
        <v>653</v>
      </c>
      <c r="B204" s="22">
        <v>44562</v>
      </c>
      <c r="C204">
        <v>42.220001220703118</v>
      </c>
      <c r="D204">
        <v>43</v>
      </c>
      <c r="E204">
        <v>32.259998321533203</v>
      </c>
      <c r="F204">
        <v>37.639999389648438</v>
      </c>
      <c r="G204">
        <v>16377500</v>
      </c>
      <c r="H204">
        <v>30.415462493896481</v>
      </c>
      <c r="I204" t="s">
        <v>652</v>
      </c>
      <c r="J204" s="22">
        <v>45550</v>
      </c>
      <c r="K204">
        <v>0</v>
      </c>
      <c r="M204">
        <v>0.58627700805664063</v>
      </c>
      <c r="N204">
        <v>-0.1103758409847418</v>
      </c>
      <c r="O204">
        <v>-4.5800018310546884</v>
      </c>
      <c r="P204">
        <v>0.779998779296875</v>
      </c>
      <c r="Q204" t="s">
        <v>583</v>
      </c>
      <c r="R204">
        <v>2022</v>
      </c>
    </row>
    <row r="205" spans="1:18" hidden="1" x14ac:dyDescent="0.35">
      <c r="A205" t="s">
        <v>653</v>
      </c>
      <c r="B205" s="22">
        <v>44593</v>
      </c>
      <c r="C205">
        <v>37.450000762939453</v>
      </c>
      <c r="D205">
        <v>40.069999694824219</v>
      </c>
      <c r="E205">
        <v>33.840000152587891</v>
      </c>
      <c r="F205">
        <v>36</v>
      </c>
      <c r="G205">
        <v>9662500</v>
      </c>
      <c r="H205">
        <v>29.090238571166989</v>
      </c>
      <c r="I205" t="s">
        <v>652</v>
      </c>
      <c r="J205" s="22">
        <v>45550</v>
      </c>
      <c r="K205">
        <v>0</v>
      </c>
      <c r="M205">
        <v>-1.325223922729492</v>
      </c>
      <c r="N205">
        <v>-4.3570653991547692E-2</v>
      </c>
      <c r="O205">
        <v>-1.4500007629394529</v>
      </c>
      <c r="P205">
        <v>2.6199989318847661</v>
      </c>
      <c r="Q205" t="s">
        <v>587</v>
      </c>
      <c r="R205">
        <v>2022</v>
      </c>
    </row>
    <row r="206" spans="1:18" hidden="1" x14ac:dyDescent="0.35">
      <c r="A206" t="s">
        <v>653</v>
      </c>
      <c r="B206" s="22">
        <v>44621</v>
      </c>
      <c r="C206">
        <v>35.959999084472663</v>
      </c>
      <c r="D206">
        <v>39.270000457763672</v>
      </c>
      <c r="E206">
        <v>32.970001220703118</v>
      </c>
      <c r="F206">
        <v>33.040000915527337</v>
      </c>
      <c r="G206">
        <v>16994100</v>
      </c>
      <c r="H206">
        <v>26.69837760925293</v>
      </c>
      <c r="I206" t="s">
        <v>652</v>
      </c>
      <c r="J206" s="22">
        <v>45550</v>
      </c>
      <c r="K206">
        <v>0</v>
      </c>
      <c r="M206">
        <v>-2.3918609619140621</v>
      </c>
      <c r="N206">
        <v>-8.2222196790907143E-2</v>
      </c>
      <c r="O206">
        <v>-2.9199981689453121</v>
      </c>
      <c r="P206">
        <v>3.3100013732910161</v>
      </c>
      <c r="Q206" t="s">
        <v>587</v>
      </c>
      <c r="R206">
        <v>2022</v>
      </c>
    </row>
    <row r="207" spans="1:18" hidden="1" x14ac:dyDescent="0.35">
      <c r="A207" t="s">
        <v>653</v>
      </c>
      <c r="B207" s="22">
        <v>44652</v>
      </c>
      <c r="C207">
        <v>33.220001220703118</v>
      </c>
      <c r="D207">
        <v>34.470001220703118</v>
      </c>
      <c r="E207">
        <v>30.29999923706055</v>
      </c>
      <c r="F207">
        <v>31.059999465942379</v>
      </c>
      <c r="G207">
        <v>18161400</v>
      </c>
      <c r="H207">
        <v>25.098415374755859</v>
      </c>
      <c r="I207" t="s">
        <v>652</v>
      </c>
      <c r="J207" s="22">
        <v>45550</v>
      </c>
      <c r="K207">
        <v>0.35</v>
      </c>
      <c r="M207">
        <v>-1.5999622344970701</v>
      </c>
      <c r="N207">
        <v>-5.9927402987886902E-2</v>
      </c>
      <c r="O207">
        <v>-2.1600017547607422</v>
      </c>
      <c r="P207">
        <v>1.25</v>
      </c>
      <c r="Q207" t="s">
        <v>585</v>
      </c>
      <c r="R207">
        <v>2022</v>
      </c>
    </row>
    <row r="208" spans="1:18" hidden="1" x14ac:dyDescent="0.35">
      <c r="A208" t="s">
        <v>653</v>
      </c>
      <c r="B208" s="22">
        <v>44682</v>
      </c>
      <c r="C208">
        <v>31.260000228881839</v>
      </c>
      <c r="D208">
        <v>33.939998626708977</v>
      </c>
      <c r="E208">
        <v>26.559999465942379</v>
      </c>
      <c r="F208">
        <v>32.860000610351563</v>
      </c>
      <c r="G208">
        <v>15293900</v>
      </c>
      <c r="H208">
        <v>26.846282958984379</v>
      </c>
      <c r="I208" t="s">
        <v>652</v>
      </c>
      <c r="J208" s="22">
        <v>45550</v>
      </c>
      <c r="K208">
        <v>0</v>
      </c>
      <c r="M208">
        <v>1.7478675842285161</v>
      </c>
      <c r="N208">
        <v>5.7952388131329517E-2</v>
      </c>
      <c r="O208">
        <v>1.600000381469727</v>
      </c>
      <c r="P208">
        <v>2.679998397827148</v>
      </c>
      <c r="Q208" t="s">
        <v>584</v>
      </c>
      <c r="R208">
        <v>2022</v>
      </c>
    </row>
    <row r="209" spans="1:18" hidden="1" x14ac:dyDescent="0.35">
      <c r="A209" t="s">
        <v>653</v>
      </c>
      <c r="B209" s="22">
        <v>44713</v>
      </c>
      <c r="C209">
        <v>33.349998474121087</v>
      </c>
      <c r="D209">
        <v>33.470001220703118</v>
      </c>
      <c r="E209">
        <v>27.29999923706055</v>
      </c>
      <c r="F209">
        <v>27.690000534057621</v>
      </c>
      <c r="G209">
        <v>8498400</v>
      </c>
      <c r="H209">
        <v>22.6224479675293</v>
      </c>
      <c r="I209" t="s">
        <v>652</v>
      </c>
      <c r="J209" s="22">
        <v>45550</v>
      </c>
      <c r="K209">
        <v>0</v>
      </c>
      <c r="M209">
        <v>-4.2238349914550781</v>
      </c>
      <c r="N209">
        <v>-0.15733414425638481</v>
      </c>
      <c r="O209">
        <v>-5.6599979400634766</v>
      </c>
      <c r="P209">
        <v>0.12000274658203119</v>
      </c>
      <c r="Q209" t="s">
        <v>582</v>
      </c>
      <c r="R209">
        <v>2022</v>
      </c>
    </row>
    <row r="210" spans="1:18" hidden="1" x14ac:dyDescent="0.35">
      <c r="A210" t="s">
        <v>653</v>
      </c>
      <c r="B210" s="22">
        <v>44743</v>
      </c>
      <c r="C210">
        <v>27.70000076293945</v>
      </c>
      <c r="D210">
        <v>31.35000038146973</v>
      </c>
      <c r="E210">
        <v>26.5</v>
      </c>
      <c r="F210">
        <v>30.20000076293945</v>
      </c>
      <c r="G210">
        <v>7589500</v>
      </c>
      <c r="H210">
        <v>24.673089981079102</v>
      </c>
      <c r="I210" t="s">
        <v>652</v>
      </c>
      <c r="J210" s="22">
        <v>45550</v>
      </c>
      <c r="K210">
        <v>0.35</v>
      </c>
      <c r="M210">
        <v>2.0506420135498051</v>
      </c>
      <c r="N210">
        <v>9.0646449276684971E-2</v>
      </c>
      <c r="O210">
        <v>2.5</v>
      </c>
      <c r="P210">
        <v>3.649999618530273</v>
      </c>
      <c r="Q210" t="s">
        <v>585</v>
      </c>
      <c r="R210">
        <v>2022</v>
      </c>
    </row>
    <row r="211" spans="1:18" hidden="1" x14ac:dyDescent="0.35">
      <c r="A211" t="s">
        <v>653</v>
      </c>
      <c r="B211" s="22">
        <v>44774</v>
      </c>
      <c r="C211">
        <v>29.85000038146973</v>
      </c>
      <c r="D211">
        <v>34.939998626708977</v>
      </c>
      <c r="E211">
        <v>29.54999923706055</v>
      </c>
      <c r="F211">
        <v>32.279998779296882</v>
      </c>
      <c r="G211">
        <v>10265700</v>
      </c>
      <c r="H211">
        <v>26.710042953491211</v>
      </c>
      <c r="I211" t="s">
        <v>652</v>
      </c>
      <c r="J211" s="22">
        <v>45550</v>
      </c>
      <c r="K211">
        <v>0</v>
      </c>
      <c r="M211">
        <v>2.0369529724121089</v>
      </c>
      <c r="N211">
        <v>6.8874104761942112E-2</v>
      </c>
      <c r="O211">
        <v>2.429998397827148</v>
      </c>
      <c r="P211">
        <v>5.0899982452392578</v>
      </c>
      <c r="Q211" t="s">
        <v>586</v>
      </c>
      <c r="R211">
        <v>2022</v>
      </c>
    </row>
    <row r="212" spans="1:18" hidden="1" x14ac:dyDescent="0.35">
      <c r="A212" t="s">
        <v>653</v>
      </c>
      <c r="B212" s="22">
        <v>44805</v>
      </c>
      <c r="C212">
        <v>32.369998931884773</v>
      </c>
      <c r="D212">
        <v>35.130001068115227</v>
      </c>
      <c r="E212">
        <v>30.54999923706055</v>
      </c>
      <c r="F212">
        <v>31.659999847412109</v>
      </c>
      <c r="G212">
        <v>7901600</v>
      </c>
      <c r="H212">
        <v>26.197025299072269</v>
      </c>
      <c r="I212" t="s">
        <v>652</v>
      </c>
      <c r="J212" s="22">
        <v>45550</v>
      </c>
      <c r="K212">
        <v>0</v>
      </c>
      <c r="M212">
        <v>-0.51301765441894531</v>
      </c>
      <c r="N212">
        <v>-1.9206906918546981E-2</v>
      </c>
      <c r="O212">
        <v>-0.70999908447265625</v>
      </c>
      <c r="P212">
        <v>2.7600021362304692</v>
      </c>
      <c r="Q212" t="s">
        <v>588</v>
      </c>
      <c r="R212">
        <v>2022</v>
      </c>
    </row>
    <row r="213" spans="1:18" hidden="1" x14ac:dyDescent="0.35">
      <c r="A213" t="s">
        <v>653</v>
      </c>
      <c r="B213" s="22">
        <v>44835</v>
      </c>
      <c r="C213">
        <v>32.060001373291023</v>
      </c>
      <c r="D213">
        <v>40.549999237060547</v>
      </c>
      <c r="E213">
        <v>31.889999389648441</v>
      </c>
      <c r="F213">
        <v>39.330001831054688</v>
      </c>
      <c r="G213">
        <v>8644800</v>
      </c>
      <c r="H213">
        <v>32.543556213378913</v>
      </c>
      <c r="I213" t="s">
        <v>652</v>
      </c>
      <c r="J213" s="22">
        <v>45550</v>
      </c>
      <c r="K213">
        <v>0.35</v>
      </c>
      <c r="M213">
        <v>6.3465309143066406</v>
      </c>
      <c r="N213">
        <v>0.2422615925650273</v>
      </c>
      <c r="O213">
        <v>7.2700004577636719</v>
      </c>
      <c r="P213">
        <v>8.4899978637695313</v>
      </c>
      <c r="Q213" t="s">
        <v>583</v>
      </c>
      <c r="R213">
        <v>2022</v>
      </c>
    </row>
    <row r="214" spans="1:18" hidden="1" x14ac:dyDescent="0.35">
      <c r="A214" t="s">
        <v>653</v>
      </c>
      <c r="B214" s="22">
        <v>44866</v>
      </c>
      <c r="C214">
        <v>39.849998474121087</v>
      </c>
      <c r="D214">
        <v>44.959999084472663</v>
      </c>
      <c r="E214">
        <v>37.200000762939453</v>
      </c>
      <c r="F214">
        <v>43.950000762939453</v>
      </c>
      <c r="G214">
        <v>8425100</v>
      </c>
      <c r="H214">
        <v>36.74859619140625</v>
      </c>
      <c r="I214" t="s">
        <v>652</v>
      </c>
      <c r="J214" s="22">
        <v>45550</v>
      </c>
      <c r="K214">
        <v>0</v>
      </c>
      <c r="M214">
        <v>4.2050399780273438</v>
      </c>
      <c r="N214">
        <v>0.1174675493718602</v>
      </c>
      <c r="O214">
        <v>4.1000022888183594</v>
      </c>
      <c r="P214">
        <v>5.1100006103515616</v>
      </c>
      <c r="Q214" t="s">
        <v>587</v>
      </c>
      <c r="R214">
        <v>2022</v>
      </c>
    </row>
    <row r="215" spans="1:18" hidden="1" x14ac:dyDescent="0.35">
      <c r="A215" t="s">
        <v>653</v>
      </c>
      <c r="B215" s="22">
        <v>44896</v>
      </c>
      <c r="C215">
        <v>43.939998626708977</v>
      </c>
      <c r="D215">
        <v>46.669998168945313</v>
      </c>
      <c r="E215">
        <v>43.069999694824219</v>
      </c>
      <c r="F215">
        <v>45.349998474121087</v>
      </c>
      <c r="G215">
        <v>9733000</v>
      </c>
      <c r="H215">
        <v>37.919197082519531</v>
      </c>
      <c r="I215" t="s">
        <v>652</v>
      </c>
      <c r="J215" s="22">
        <v>45550</v>
      </c>
      <c r="K215">
        <v>0</v>
      </c>
      <c r="M215">
        <v>1.170600891113281</v>
      </c>
      <c r="N215">
        <v>3.1854327346501073E-2</v>
      </c>
      <c r="O215">
        <v>1.4099998474121089</v>
      </c>
      <c r="P215">
        <v>2.7299995422363281</v>
      </c>
      <c r="Q215" t="s">
        <v>588</v>
      </c>
      <c r="R215">
        <v>2022</v>
      </c>
    </row>
    <row r="216" spans="1:18" hidden="1" x14ac:dyDescent="0.35">
      <c r="A216" t="s">
        <v>653</v>
      </c>
      <c r="B216" s="22">
        <v>44927</v>
      </c>
      <c r="C216">
        <v>45.659999847412109</v>
      </c>
      <c r="D216">
        <v>50.349998474121087</v>
      </c>
      <c r="E216">
        <v>42.450000762939453</v>
      </c>
      <c r="F216">
        <v>44</v>
      </c>
      <c r="G216">
        <v>11284500</v>
      </c>
      <c r="H216">
        <v>36.790401458740227</v>
      </c>
      <c r="I216" t="s">
        <v>652</v>
      </c>
      <c r="J216" s="22">
        <v>45550</v>
      </c>
      <c r="K216">
        <v>3</v>
      </c>
      <c r="M216">
        <v>-1.1287956237792971</v>
      </c>
      <c r="N216">
        <v>-2.9768434830079848E-2</v>
      </c>
      <c r="O216">
        <v>-1.6599998474121089</v>
      </c>
      <c r="P216">
        <v>4.6899986267089844</v>
      </c>
      <c r="Q216" t="s">
        <v>584</v>
      </c>
      <c r="R216">
        <v>2023</v>
      </c>
    </row>
    <row r="217" spans="1:18" hidden="1" x14ac:dyDescent="0.35">
      <c r="A217" t="s">
        <v>653</v>
      </c>
      <c r="B217" s="22">
        <v>44958</v>
      </c>
      <c r="C217">
        <v>44.029998779296882</v>
      </c>
      <c r="D217">
        <v>45.729999542236328</v>
      </c>
      <c r="E217">
        <v>40.119998931884773</v>
      </c>
      <c r="F217">
        <v>40.790000915527337</v>
      </c>
      <c r="G217">
        <v>7249800</v>
      </c>
      <c r="H217">
        <v>36.295490264892578</v>
      </c>
      <c r="I217" t="s">
        <v>652</v>
      </c>
      <c r="J217" s="22">
        <v>45550</v>
      </c>
      <c r="K217">
        <v>0</v>
      </c>
      <c r="M217">
        <v>-0.49491119384765619</v>
      </c>
      <c r="N217">
        <v>-7.2954524647105834E-2</v>
      </c>
      <c r="O217">
        <v>-3.2399978637695308</v>
      </c>
      <c r="P217">
        <v>1.7000007629394529</v>
      </c>
      <c r="Q217" t="s">
        <v>582</v>
      </c>
      <c r="R217">
        <v>2023</v>
      </c>
    </row>
    <row r="218" spans="1:18" hidden="1" x14ac:dyDescent="0.35">
      <c r="A218" t="s">
        <v>653</v>
      </c>
      <c r="B218" s="22">
        <v>44986</v>
      </c>
      <c r="C218">
        <v>40.709999084472663</v>
      </c>
      <c r="D218">
        <v>41.689998626708977</v>
      </c>
      <c r="E218">
        <v>33.970001220703118</v>
      </c>
      <c r="F218">
        <v>35.689998626708977</v>
      </c>
      <c r="G218">
        <v>11931000</v>
      </c>
      <c r="H218">
        <v>31.757440567016602</v>
      </c>
      <c r="I218" t="s">
        <v>652</v>
      </c>
      <c r="J218" s="22">
        <v>45550</v>
      </c>
      <c r="K218">
        <v>0</v>
      </c>
      <c r="M218">
        <v>-4.5380496978759766</v>
      </c>
      <c r="N218">
        <v>-0.12503069807181511</v>
      </c>
      <c r="O218">
        <v>-5.0200004577636719</v>
      </c>
      <c r="P218">
        <v>0.97999954223632813</v>
      </c>
      <c r="Q218" t="s">
        <v>582</v>
      </c>
      <c r="R218">
        <v>2023</v>
      </c>
    </row>
    <row r="219" spans="1:18" hidden="1" x14ac:dyDescent="0.35">
      <c r="A219" t="s">
        <v>653</v>
      </c>
      <c r="B219" s="22">
        <v>45017</v>
      </c>
      <c r="C219">
        <v>35.950000762939453</v>
      </c>
      <c r="D219">
        <v>36.779998779296882</v>
      </c>
      <c r="E219">
        <v>32.630001068115227</v>
      </c>
      <c r="F219">
        <v>33.529998779296882</v>
      </c>
      <c r="G219">
        <v>6949400</v>
      </c>
      <c r="H219">
        <v>29.835441589355469</v>
      </c>
      <c r="I219" t="s">
        <v>652</v>
      </c>
      <c r="J219" s="22">
        <v>45550</v>
      </c>
      <c r="K219">
        <v>0.35</v>
      </c>
      <c r="M219">
        <v>-1.921998977661133</v>
      </c>
      <c r="N219">
        <v>-6.0521152438365533E-2</v>
      </c>
      <c r="O219">
        <v>-2.4200019836425781</v>
      </c>
      <c r="P219">
        <v>0.82999801635742188</v>
      </c>
      <c r="Q219" t="s">
        <v>583</v>
      </c>
      <c r="R219">
        <v>2023</v>
      </c>
    </row>
    <row r="220" spans="1:18" hidden="1" x14ac:dyDescent="0.35">
      <c r="A220" t="s">
        <v>653</v>
      </c>
      <c r="B220" s="22">
        <v>45047</v>
      </c>
      <c r="C220">
        <v>33.590000152587891</v>
      </c>
      <c r="D220">
        <v>34.069999694824219</v>
      </c>
      <c r="E220">
        <v>30.180000305175781</v>
      </c>
      <c r="F220">
        <v>30.70999908447266</v>
      </c>
      <c r="G220">
        <v>8009100</v>
      </c>
      <c r="H220">
        <v>27.612262725830082</v>
      </c>
      <c r="I220" t="s">
        <v>652</v>
      </c>
      <c r="J220" s="22">
        <v>45550</v>
      </c>
      <c r="K220">
        <v>0</v>
      </c>
      <c r="M220">
        <v>-2.2231788635253911</v>
      </c>
      <c r="N220">
        <v>-8.4103781613181217E-2</v>
      </c>
      <c r="O220">
        <v>-2.8800010681152339</v>
      </c>
      <c r="P220">
        <v>0.47999954223632813</v>
      </c>
      <c r="Q220" t="s">
        <v>586</v>
      </c>
      <c r="R220">
        <v>2023</v>
      </c>
    </row>
    <row r="221" spans="1:18" hidden="1" x14ac:dyDescent="0.35">
      <c r="A221" t="s">
        <v>653</v>
      </c>
      <c r="B221" s="22">
        <v>45078</v>
      </c>
      <c r="C221">
        <v>30.760000228881839</v>
      </c>
      <c r="D221">
        <v>35.360000610351563</v>
      </c>
      <c r="E221">
        <v>30.29000091552734</v>
      </c>
      <c r="F221">
        <v>34.599998474121087</v>
      </c>
      <c r="G221">
        <v>8637600</v>
      </c>
      <c r="H221">
        <v>31.109878540039059</v>
      </c>
      <c r="I221" t="s">
        <v>652</v>
      </c>
      <c r="J221" s="22">
        <v>45550</v>
      </c>
      <c r="K221">
        <v>0</v>
      </c>
      <c r="M221">
        <v>3.4976158142089839</v>
      </c>
      <c r="N221">
        <v>0.1266688214137808</v>
      </c>
      <c r="O221">
        <v>3.8399982452392578</v>
      </c>
      <c r="P221">
        <v>4.6000003814697266</v>
      </c>
      <c r="Q221" t="s">
        <v>588</v>
      </c>
      <c r="R221">
        <v>2023</v>
      </c>
    </row>
    <row r="222" spans="1:18" hidden="1" x14ac:dyDescent="0.35">
      <c r="A222" t="s">
        <v>653</v>
      </c>
      <c r="B222" s="22">
        <v>45108</v>
      </c>
      <c r="C222">
        <v>34.779998779296882</v>
      </c>
      <c r="D222">
        <v>36.860000610351563</v>
      </c>
      <c r="E222">
        <v>33.080001831054688</v>
      </c>
      <c r="F222">
        <v>36.560001373291023</v>
      </c>
      <c r="G222">
        <v>6899800</v>
      </c>
      <c r="H222">
        <v>32.872177124023438</v>
      </c>
      <c r="I222" t="s">
        <v>652</v>
      </c>
      <c r="J222" s="22">
        <v>45550</v>
      </c>
      <c r="K222">
        <v>0.35</v>
      </c>
      <c r="M222">
        <v>1.762298583984375</v>
      </c>
      <c r="N222">
        <v>5.6647485133153992E-2</v>
      </c>
      <c r="O222">
        <v>1.7800025939941411</v>
      </c>
      <c r="P222">
        <v>2.0800018310546879</v>
      </c>
      <c r="Q222" t="s">
        <v>583</v>
      </c>
      <c r="R222">
        <v>2023</v>
      </c>
    </row>
    <row r="223" spans="1:18" hidden="1" x14ac:dyDescent="0.35">
      <c r="A223" t="s">
        <v>653</v>
      </c>
      <c r="B223" s="22">
        <v>45139</v>
      </c>
      <c r="C223">
        <v>36.520000457763672</v>
      </c>
      <c r="D223">
        <v>38.369998931884773</v>
      </c>
      <c r="E223">
        <v>35.340000152587891</v>
      </c>
      <c r="F223">
        <v>36.540000915527337</v>
      </c>
      <c r="G223">
        <v>6544500</v>
      </c>
      <c r="H223">
        <v>33.190029144287109</v>
      </c>
      <c r="I223" t="s">
        <v>652</v>
      </c>
      <c r="J223" s="22">
        <v>45550</v>
      </c>
      <c r="K223">
        <v>0</v>
      </c>
      <c r="M223">
        <v>0.31785202026367188</v>
      </c>
      <c r="N223">
        <v>-5.4705845219915616E-4</v>
      </c>
      <c r="O223">
        <v>2.0000457763671878E-2</v>
      </c>
      <c r="P223">
        <v>1.849998474121094</v>
      </c>
      <c r="Q223" t="s">
        <v>587</v>
      </c>
      <c r="R223">
        <v>2023</v>
      </c>
    </row>
    <row r="224" spans="1:18" hidden="1" x14ac:dyDescent="0.35">
      <c r="A224" t="s">
        <v>653</v>
      </c>
      <c r="B224" s="22">
        <v>45170</v>
      </c>
      <c r="C224">
        <v>36.680000305175781</v>
      </c>
      <c r="D224">
        <v>36.959999084472663</v>
      </c>
      <c r="E224">
        <v>31.860000610351559</v>
      </c>
      <c r="F224">
        <v>33.389999389648438</v>
      </c>
      <c r="G224">
        <v>6677600</v>
      </c>
      <c r="H224">
        <v>30.328815460205082</v>
      </c>
      <c r="I224" t="s">
        <v>652</v>
      </c>
      <c r="J224" s="22">
        <v>45550</v>
      </c>
      <c r="K224">
        <v>0</v>
      </c>
      <c r="M224">
        <v>-2.8612136840820308</v>
      </c>
      <c r="N224">
        <v>-8.62069361509058E-2</v>
      </c>
      <c r="O224">
        <v>-3.2900009155273442</v>
      </c>
      <c r="P224">
        <v>0.279998779296875</v>
      </c>
      <c r="Q224" t="s">
        <v>585</v>
      </c>
      <c r="R224">
        <v>2023</v>
      </c>
    </row>
    <row r="225" spans="1:18" hidden="1" x14ac:dyDescent="0.35">
      <c r="A225" t="s">
        <v>653</v>
      </c>
      <c r="B225" s="22">
        <v>45200</v>
      </c>
      <c r="C225">
        <v>33.340000152587891</v>
      </c>
      <c r="D225">
        <v>35.770000457763672</v>
      </c>
      <c r="E225">
        <v>30.309999465942379</v>
      </c>
      <c r="F225">
        <v>33.770000457763672</v>
      </c>
      <c r="G225">
        <v>8694200</v>
      </c>
      <c r="H225">
        <v>30.673978805541989</v>
      </c>
      <c r="I225" t="s">
        <v>652</v>
      </c>
      <c r="J225" s="22">
        <v>45550</v>
      </c>
      <c r="K225">
        <v>0.35</v>
      </c>
      <c r="M225">
        <v>0.34516334533691412</v>
      </c>
      <c r="N225">
        <v>1.138068508719536E-2</v>
      </c>
      <c r="O225">
        <v>0.43000030517578119</v>
      </c>
      <c r="P225">
        <v>2.4300003051757808</v>
      </c>
      <c r="Q225" t="s">
        <v>584</v>
      </c>
      <c r="R225">
        <v>2023</v>
      </c>
    </row>
    <row r="226" spans="1:18" hidden="1" x14ac:dyDescent="0.35">
      <c r="A226" t="s">
        <v>653</v>
      </c>
      <c r="B226" s="22">
        <v>45231</v>
      </c>
      <c r="C226">
        <v>33.849998474121087</v>
      </c>
      <c r="D226">
        <v>39.430000305175781</v>
      </c>
      <c r="E226">
        <v>32.159999847412109</v>
      </c>
      <c r="F226">
        <v>38.560001373291023</v>
      </c>
      <c r="G226">
        <v>7460900</v>
      </c>
      <c r="H226">
        <v>35.391860961914063</v>
      </c>
      <c r="I226" t="s">
        <v>652</v>
      </c>
      <c r="J226" s="22">
        <v>45550</v>
      </c>
      <c r="K226">
        <v>0</v>
      </c>
      <c r="M226">
        <v>4.7178821563720703</v>
      </c>
      <c r="N226">
        <v>0.14184189667152139</v>
      </c>
      <c r="O226">
        <v>4.7100028991699219</v>
      </c>
      <c r="P226">
        <v>5.5800018310546884</v>
      </c>
      <c r="Q226" t="s">
        <v>582</v>
      </c>
      <c r="R226">
        <v>2023</v>
      </c>
    </row>
    <row r="227" spans="1:18" hidden="1" x14ac:dyDescent="0.35">
      <c r="A227" t="s">
        <v>653</v>
      </c>
      <c r="B227" s="22">
        <v>45261</v>
      </c>
      <c r="C227">
        <v>38.419998168945313</v>
      </c>
      <c r="D227">
        <v>48.150001525878913</v>
      </c>
      <c r="E227">
        <v>38.369998931884773</v>
      </c>
      <c r="F227">
        <v>47.520000457763672</v>
      </c>
      <c r="G227">
        <v>8538400</v>
      </c>
      <c r="H227">
        <v>43.615692138671882</v>
      </c>
      <c r="I227" t="s">
        <v>652</v>
      </c>
      <c r="J227" s="22">
        <v>45550</v>
      </c>
      <c r="K227">
        <v>0</v>
      </c>
      <c r="M227">
        <v>8.2238311767578125</v>
      </c>
      <c r="N227">
        <v>0.23236511320974421</v>
      </c>
      <c r="O227">
        <v>9.1000022888183594</v>
      </c>
      <c r="P227">
        <v>9.7300033569335938</v>
      </c>
      <c r="Q227" t="s">
        <v>585</v>
      </c>
      <c r="R227">
        <v>2023</v>
      </c>
    </row>
    <row r="228" spans="1:18" hidden="1" x14ac:dyDescent="0.35">
      <c r="A228" t="s">
        <v>655</v>
      </c>
      <c r="B228" s="22">
        <v>43466</v>
      </c>
      <c r="C228">
        <v>7.9854722023010254</v>
      </c>
      <c r="D228">
        <v>9.4010591506958008</v>
      </c>
      <c r="E228">
        <v>7.8248071670532227</v>
      </c>
      <c r="F228">
        <v>9.3055276870727539</v>
      </c>
      <c r="G228">
        <v>21142577</v>
      </c>
      <c r="H228">
        <v>7.244779109954834</v>
      </c>
      <c r="I228" t="s">
        <v>654</v>
      </c>
      <c r="J228" s="22">
        <v>45550</v>
      </c>
      <c r="K228">
        <v>0</v>
      </c>
      <c r="O228">
        <v>1.320055484771729</v>
      </c>
      <c r="P228">
        <v>1.4155869483947749</v>
      </c>
      <c r="Q228" t="s">
        <v>587</v>
      </c>
      <c r="R228">
        <v>2019</v>
      </c>
    </row>
    <row r="229" spans="1:18" hidden="1" x14ac:dyDescent="0.35">
      <c r="A229" t="s">
        <v>655</v>
      </c>
      <c r="B229" s="22">
        <v>43497</v>
      </c>
      <c r="C229">
        <v>9.279475212097168</v>
      </c>
      <c r="D229">
        <v>10.63209819793701</v>
      </c>
      <c r="E229">
        <v>9.118809700012207</v>
      </c>
      <c r="F229">
        <v>10.4214973449707</v>
      </c>
      <c r="G229">
        <v>21460789</v>
      </c>
      <c r="H229">
        <v>8.1136131286621094</v>
      </c>
      <c r="I229" t="s">
        <v>654</v>
      </c>
      <c r="J229" s="22">
        <v>45550</v>
      </c>
      <c r="K229">
        <v>0</v>
      </c>
      <c r="M229">
        <v>0.86883401870727539</v>
      </c>
      <c r="N229">
        <v>0.1199254567205528</v>
      </c>
      <c r="O229">
        <v>1.1420221328735349</v>
      </c>
      <c r="P229">
        <v>1.352622985839844</v>
      </c>
      <c r="Q229" t="s">
        <v>585</v>
      </c>
      <c r="R229">
        <v>2019</v>
      </c>
    </row>
    <row r="230" spans="1:18" hidden="1" x14ac:dyDescent="0.35">
      <c r="A230" t="s">
        <v>655</v>
      </c>
      <c r="B230" s="22">
        <v>43525</v>
      </c>
      <c r="C230">
        <v>10.50834274291992</v>
      </c>
      <c r="D230">
        <v>10.77322292327881</v>
      </c>
      <c r="E230">
        <v>9.600804328918457</v>
      </c>
      <c r="F230">
        <v>10.16096019744873</v>
      </c>
      <c r="G230">
        <v>29230114</v>
      </c>
      <c r="H230">
        <v>7.9107718467712402</v>
      </c>
      <c r="I230" t="s">
        <v>654</v>
      </c>
      <c r="J230" s="22">
        <v>45550</v>
      </c>
      <c r="K230">
        <v>0.2</v>
      </c>
      <c r="M230">
        <v>-0.20284128189086911</v>
      </c>
      <c r="N230">
        <v>-2.499997254691089E-2</v>
      </c>
      <c r="O230">
        <v>-0.34738254547119141</v>
      </c>
      <c r="P230">
        <v>0.26488018035888672</v>
      </c>
      <c r="Q230" t="s">
        <v>585</v>
      </c>
      <c r="R230">
        <v>2019</v>
      </c>
    </row>
    <row r="231" spans="1:18" hidden="1" x14ac:dyDescent="0.35">
      <c r="A231" t="s">
        <v>655</v>
      </c>
      <c r="B231" s="22">
        <v>43556</v>
      </c>
      <c r="C231">
        <v>10.226094245910639</v>
      </c>
      <c r="D231">
        <v>11.22047805786133</v>
      </c>
      <c r="E231">
        <v>10.20438194274902</v>
      </c>
      <c r="F231">
        <v>10.790592193603519</v>
      </c>
      <c r="G231">
        <v>18553872</v>
      </c>
      <c r="H231">
        <v>8.5660495758056641</v>
      </c>
      <c r="I231" t="s">
        <v>654</v>
      </c>
      <c r="J231" s="22">
        <v>45550</v>
      </c>
      <c r="K231">
        <v>0</v>
      </c>
      <c r="M231">
        <v>0.65527772903442383</v>
      </c>
      <c r="N231">
        <v>6.1965796924672301E-2</v>
      </c>
      <c r="O231">
        <v>0.56449794769287109</v>
      </c>
      <c r="P231">
        <v>0.99438381195068359</v>
      </c>
      <c r="Q231" t="s">
        <v>586</v>
      </c>
      <c r="R231">
        <v>2019</v>
      </c>
    </row>
    <row r="232" spans="1:18" hidden="1" x14ac:dyDescent="0.35">
      <c r="A232" t="s">
        <v>655</v>
      </c>
      <c r="B232" s="22">
        <v>43586</v>
      </c>
      <c r="C232">
        <v>10.83401489257812</v>
      </c>
      <c r="D232">
        <v>11.064155578613279</v>
      </c>
      <c r="E232">
        <v>9.0276222229003906</v>
      </c>
      <c r="F232">
        <v>9.1231517791748047</v>
      </c>
      <c r="G232">
        <v>20846375</v>
      </c>
      <c r="H232">
        <v>7.2423605918884277</v>
      </c>
      <c r="I232" t="s">
        <v>654</v>
      </c>
      <c r="J232" s="22">
        <v>45550</v>
      </c>
      <c r="K232">
        <v>0.2</v>
      </c>
      <c r="M232">
        <v>-1.3236889839172361</v>
      </c>
      <c r="N232">
        <v>-0.1545272385900324</v>
      </c>
      <c r="O232">
        <v>-1.7108631134033201</v>
      </c>
      <c r="P232">
        <v>0.23014068603515619</v>
      </c>
      <c r="Q232" t="s">
        <v>582</v>
      </c>
      <c r="R232">
        <v>2019</v>
      </c>
    </row>
    <row r="233" spans="1:18" hidden="1" x14ac:dyDescent="0.35">
      <c r="A233" t="s">
        <v>655</v>
      </c>
      <c r="B233" s="22">
        <v>43617</v>
      </c>
      <c r="C233">
        <v>9.1665754318237305</v>
      </c>
      <c r="D233">
        <v>9.375004768371582</v>
      </c>
      <c r="E233">
        <v>8.2112712860107422</v>
      </c>
      <c r="F233">
        <v>8.9407758712768555</v>
      </c>
      <c r="G233">
        <v>25152271</v>
      </c>
      <c r="H233">
        <v>7.2507047653198242</v>
      </c>
      <c r="I233" t="s">
        <v>654</v>
      </c>
      <c r="J233" s="22">
        <v>45550</v>
      </c>
      <c r="K233">
        <v>0</v>
      </c>
      <c r="M233">
        <v>8.3441734313964844E-3</v>
      </c>
      <c r="N233">
        <v>-1.9990449826150499E-2</v>
      </c>
      <c r="O233">
        <v>-0.225799560546875</v>
      </c>
      <c r="P233">
        <v>0.20842933654785159</v>
      </c>
      <c r="Q233" t="s">
        <v>583</v>
      </c>
      <c r="R233">
        <v>2019</v>
      </c>
    </row>
    <row r="234" spans="1:18" hidden="1" x14ac:dyDescent="0.35">
      <c r="A234" t="s">
        <v>655</v>
      </c>
      <c r="B234" s="22">
        <v>43647</v>
      </c>
      <c r="C234">
        <v>9.088414192199707</v>
      </c>
      <c r="D234">
        <v>9.7180461883544922</v>
      </c>
      <c r="E234">
        <v>8.6481924057006836</v>
      </c>
      <c r="F234">
        <v>9.2707901000976563</v>
      </c>
      <c r="G234">
        <v>15308352</v>
      </c>
      <c r="H234">
        <v>7.518333911895752</v>
      </c>
      <c r="I234" t="s">
        <v>654</v>
      </c>
      <c r="J234" s="22">
        <v>45550</v>
      </c>
      <c r="K234">
        <v>0</v>
      </c>
      <c r="M234">
        <v>0.26762914657592768</v>
      </c>
      <c r="N234">
        <v>3.6911139880041688E-2</v>
      </c>
      <c r="O234">
        <v>0.18237590789794919</v>
      </c>
      <c r="P234">
        <v>0.62963199615478516</v>
      </c>
      <c r="Q234" t="s">
        <v>586</v>
      </c>
      <c r="R234">
        <v>2019</v>
      </c>
    </row>
    <row r="235" spans="1:18" hidden="1" x14ac:dyDescent="0.35">
      <c r="A235" t="s">
        <v>655</v>
      </c>
      <c r="B235" s="22">
        <v>43678</v>
      </c>
      <c r="C235">
        <v>9.2056560516357422</v>
      </c>
      <c r="D235">
        <v>9.4800882339477539</v>
      </c>
      <c r="E235">
        <v>7.6901960372924796</v>
      </c>
      <c r="F235">
        <v>7.9550762176513672</v>
      </c>
      <c r="G235">
        <v>19925476</v>
      </c>
      <c r="H235">
        <v>6.451331615447998</v>
      </c>
      <c r="I235" t="s">
        <v>654</v>
      </c>
      <c r="J235" s="22">
        <v>45550</v>
      </c>
      <c r="K235">
        <v>0.2</v>
      </c>
      <c r="M235">
        <v>-1.0670022964477539</v>
      </c>
      <c r="N235">
        <v>-0.14192036150537271</v>
      </c>
      <c r="O235">
        <v>-1.250579833984375</v>
      </c>
      <c r="P235">
        <v>0.27443218231201172</v>
      </c>
      <c r="Q235" t="s">
        <v>588</v>
      </c>
      <c r="R235">
        <v>2019</v>
      </c>
    </row>
    <row r="236" spans="1:18" hidden="1" x14ac:dyDescent="0.35">
      <c r="A236" t="s">
        <v>655</v>
      </c>
      <c r="B236" s="22">
        <v>43709</v>
      </c>
      <c r="C236">
        <v>7.9550762176513672</v>
      </c>
      <c r="D236">
        <v>9.1709165573120117</v>
      </c>
      <c r="E236">
        <v>7.8942837715148926</v>
      </c>
      <c r="F236">
        <v>8.9798555374145508</v>
      </c>
      <c r="G236">
        <v>16603921</v>
      </c>
      <c r="H236">
        <v>7.4635138511657706</v>
      </c>
      <c r="I236" t="s">
        <v>654</v>
      </c>
      <c r="J236" s="22">
        <v>45550</v>
      </c>
      <c r="K236">
        <v>0</v>
      </c>
      <c r="M236">
        <v>1.012182235717773</v>
      </c>
      <c r="N236">
        <v>0.1288208046944064</v>
      </c>
      <c r="O236">
        <v>1.024779319763184</v>
      </c>
      <c r="P236">
        <v>1.215840339660645</v>
      </c>
      <c r="Q236" t="s">
        <v>584</v>
      </c>
      <c r="R236">
        <v>2019</v>
      </c>
    </row>
    <row r="237" spans="1:18" hidden="1" x14ac:dyDescent="0.35">
      <c r="A237" t="s">
        <v>655</v>
      </c>
      <c r="B237" s="22">
        <v>43739</v>
      </c>
      <c r="C237">
        <v>9.0493326187133789</v>
      </c>
      <c r="D237">
        <v>9.2895050048828125</v>
      </c>
      <c r="E237">
        <v>8.5152311325073242</v>
      </c>
      <c r="F237">
        <v>8.817021369934082</v>
      </c>
      <c r="G237">
        <v>11637260</v>
      </c>
      <c r="H237">
        <v>7.3281750679016113</v>
      </c>
      <c r="I237" t="s">
        <v>654</v>
      </c>
      <c r="J237" s="22">
        <v>45550</v>
      </c>
      <c r="K237">
        <v>0</v>
      </c>
      <c r="M237">
        <v>-0.13533878326416021</v>
      </c>
      <c r="N237">
        <v>-1.8133272501102079E-2</v>
      </c>
      <c r="O237">
        <v>-0.2323112487792969</v>
      </c>
      <c r="P237">
        <v>0.24017238616943359</v>
      </c>
      <c r="Q237" t="s">
        <v>587</v>
      </c>
      <c r="R237">
        <v>2019</v>
      </c>
    </row>
    <row r="238" spans="1:18" hidden="1" x14ac:dyDescent="0.35">
      <c r="A238" t="s">
        <v>655</v>
      </c>
      <c r="B238" s="22">
        <v>43770</v>
      </c>
      <c r="C238">
        <v>8.8712987899780273</v>
      </c>
      <c r="D238">
        <v>9.4271116256713867</v>
      </c>
      <c r="E238">
        <v>8.2677211761474609</v>
      </c>
      <c r="F238">
        <v>8.5933933258056641</v>
      </c>
      <c r="G238">
        <v>11226518</v>
      </c>
      <c r="H238">
        <v>7.1423087120056152</v>
      </c>
      <c r="I238" t="s">
        <v>654</v>
      </c>
      <c r="J238" s="22">
        <v>45550</v>
      </c>
      <c r="K238">
        <v>0.2</v>
      </c>
      <c r="M238">
        <v>-0.18586635589599609</v>
      </c>
      <c r="N238">
        <v>-2.5363219022127681E-2</v>
      </c>
      <c r="O238">
        <v>-0.27790546417236328</v>
      </c>
      <c r="P238">
        <v>0.55581283569335938</v>
      </c>
      <c r="Q238" t="s">
        <v>585</v>
      </c>
      <c r="R238">
        <v>2019</v>
      </c>
    </row>
    <row r="239" spans="1:18" hidden="1" x14ac:dyDescent="0.35">
      <c r="A239" t="s">
        <v>655</v>
      </c>
      <c r="B239" s="22">
        <v>43800</v>
      </c>
      <c r="C239">
        <v>8.5760231018066406</v>
      </c>
      <c r="D239">
        <v>9.2577629089355469</v>
      </c>
      <c r="E239">
        <v>7.8595461845397949</v>
      </c>
      <c r="F239">
        <v>8.0332374572753906</v>
      </c>
      <c r="G239">
        <v>35365655</v>
      </c>
      <c r="H239">
        <v>6.835960865020752</v>
      </c>
      <c r="I239" t="s">
        <v>654</v>
      </c>
      <c r="J239" s="22">
        <v>45550</v>
      </c>
      <c r="K239">
        <v>0</v>
      </c>
      <c r="M239">
        <v>-0.30634784698486328</v>
      </c>
      <c r="N239">
        <v>-6.5184479203127421E-2</v>
      </c>
      <c r="O239">
        <v>-0.54278564453125</v>
      </c>
      <c r="P239">
        <v>0.68173980712890625</v>
      </c>
      <c r="Q239" t="s">
        <v>584</v>
      </c>
      <c r="R239">
        <v>2019</v>
      </c>
    </row>
    <row r="240" spans="1:18" hidden="1" x14ac:dyDescent="0.35">
      <c r="A240" t="s">
        <v>655</v>
      </c>
      <c r="B240" s="22">
        <v>43831</v>
      </c>
      <c r="C240">
        <v>8.0332374572753906</v>
      </c>
      <c r="D240">
        <v>8.1982440948486328</v>
      </c>
      <c r="E240">
        <v>6.9780611991882324</v>
      </c>
      <c r="F240">
        <v>6.9867448806762704</v>
      </c>
      <c r="G240">
        <v>32770292</v>
      </c>
      <c r="H240">
        <v>5.9454374313354492</v>
      </c>
      <c r="I240" t="s">
        <v>654</v>
      </c>
      <c r="J240" s="22">
        <v>45550</v>
      </c>
      <c r="K240">
        <v>0</v>
      </c>
      <c r="M240">
        <v>-0.89052343368530273</v>
      </c>
      <c r="N240">
        <v>-0.13027034021649059</v>
      </c>
      <c r="O240">
        <v>-1.0464925765991211</v>
      </c>
      <c r="P240">
        <v>0.16500663757324219</v>
      </c>
      <c r="Q240" t="s">
        <v>582</v>
      </c>
      <c r="R240">
        <v>2020</v>
      </c>
    </row>
    <row r="241" spans="1:18" hidden="1" x14ac:dyDescent="0.35">
      <c r="A241" t="s">
        <v>655</v>
      </c>
      <c r="B241" s="22">
        <v>43862</v>
      </c>
      <c r="C241">
        <v>6.9737181663513184</v>
      </c>
      <c r="D241">
        <v>8.6758956909179688</v>
      </c>
      <c r="E241">
        <v>6.4265899658203116</v>
      </c>
      <c r="F241">
        <v>7.4643969535827637</v>
      </c>
      <c r="G241">
        <v>41324589</v>
      </c>
      <c r="H241">
        <v>6.351900577545166</v>
      </c>
      <c r="I241" t="s">
        <v>654</v>
      </c>
      <c r="J241" s="22">
        <v>45550</v>
      </c>
      <c r="K241">
        <v>0</v>
      </c>
      <c r="M241">
        <v>0.4064631462097168</v>
      </c>
      <c r="N241">
        <v>6.8365466474605396E-2</v>
      </c>
      <c r="O241">
        <v>0.49067878723144531</v>
      </c>
      <c r="P241">
        <v>1.7021775245666499</v>
      </c>
      <c r="Q241" t="s">
        <v>583</v>
      </c>
      <c r="R241">
        <v>2020</v>
      </c>
    </row>
    <row r="242" spans="1:18" hidden="1" x14ac:dyDescent="0.35">
      <c r="A242" t="s">
        <v>655</v>
      </c>
      <c r="B242" s="22">
        <v>43891</v>
      </c>
      <c r="C242">
        <v>7.4643969535827637</v>
      </c>
      <c r="D242">
        <v>7.5902800559997559</v>
      </c>
      <c r="E242">
        <v>3.9124031066894531</v>
      </c>
      <c r="F242">
        <v>6.040125846862793</v>
      </c>
      <c r="G242">
        <v>44003988</v>
      </c>
      <c r="H242">
        <v>5.1399035453796387</v>
      </c>
      <c r="I242" t="s">
        <v>654</v>
      </c>
      <c r="J242" s="22">
        <v>45550</v>
      </c>
      <c r="K242">
        <v>0.2</v>
      </c>
      <c r="M242">
        <v>-1.2119970321655269</v>
      </c>
      <c r="N242">
        <v>-0.19080859653857879</v>
      </c>
      <c r="O242">
        <v>-1.4242711067199709</v>
      </c>
      <c r="P242">
        <v>0.12588310241699219</v>
      </c>
      <c r="Q242" t="s">
        <v>584</v>
      </c>
      <c r="R242">
        <v>2020</v>
      </c>
    </row>
    <row r="243" spans="1:18" hidden="1" x14ac:dyDescent="0.35">
      <c r="A243" t="s">
        <v>655</v>
      </c>
      <c r="B243" s="22">
        <v>43922</v>
      </c>
      <c r="C243">
        <v>5.8838028907775879</v>
      </c>
      <c r="D243">
        <v>7.0475368499755859</v>
      </c>
      <c r="E243">
        <v>5.2845668792724609</v>
      </c>
      <c r="F243">
        <v>6.6350197792053223</v>
      </c>
      <c r="G243">
        <v>20509621</v>
      </c>
      <c r="H243">
        <v>5.8003816604614258</v>
      </c>
      <c r="I243" t="s">
        <v>654</v>
      </c>
      <c r="J243" s="22">
        <v>45550</v>
      </c>
      <c r="K243">
        <v>0</v>
      </c>
      <c r="M243">
        <v>0.66047811508178711</v>
      </c>
      <c r="N243">
        <v>9.8490320802092857E-2</v>
      </c>
      <c r="O243">
        <v>0.75121688842773438</v>
      </c>
      <c r="P243">
        <v>1.163733959197998</v>
      </c>
      <c r="Q243" t="s">
        <v>582</v>
      </c>
      <c r="R243">
        <v>2020</v>
      </c>
    </row>
    <row r="244" spans="1:18" hidden="1" x14ac:dyDescent="0.35">
      <c r="A244" t="s">
        <v>655</v>
      </c>
      <c r="B244" s="22">
        <v>43952</v>
      </c>
      <c r="C244">
        <v>6.4526429176330566</v>
      </c>
      <c r="D244">
        <v>6.9780611991882324</v>
      </c>
      <c r="E244">
        <v>5.7882728576660156</v>
      </c>
      <c r="F244">
        <v>5.9706487655639648</v>
      </c>
      <c r="G244">
        <v>33111272</v>
      </c>
      <c r="H244">
        <v>5.2195830345153809</v>
      </c>
      <c r="I244" t="s">
        <v>654</v>
      </c>
      <c r="J244" s="22">
        <v>45550</v>
      </c>
      <c r="K244">
        <v>0.2</v>
      </c>
      <c r="M244">
        <v>-0.58079862594604492</v>
      </c>
      <c r="N244">
        <v>-0.10013097711080669</v>
      </c>
      <c r="O244">
        <v>-0.4819941520690918</v>
      </c>
      <c r="P244">
        <v>0.52541828155517578</v>
      </c>
      <c r="Q244" t="s">
        <v>585</v>
      </c>
      <c r="R244">
        <v>2020</v>
      </c>
    </row>
    <row r="245" spans="1:18" hidden="1" x14ac:dyDescent="0.35">
      <c r="A245" t="s">
        <v>655</v>
      </c>
      <c r="B245" s="22">
        <v>43983</v>
      </c>
      <c r="C245">
        <v>6.1139450073242188</v>
      </c>
      <c r="D245">
        <v>6.4873819351196289</v>
      </c>
      <c r="E245">
        <v>5.0891637802124023</v>
      </c>
      <c r="F245">
        <v>6.4092202186584473</v>
      </c>
      <c r="G245">
        <v>57860272</v>
      </c>
      <c r="H245">
        <v>5.7751517295837402</v>
      </c>
      <c r="I245" t="s">
        <v>654</v>
      </c>
      <c r="J245" s="22">
        <v>45550</v>
      </c>
      <c r="K245">
        <v>0</v>
      </c>
      <c r="M245">
        <v>0.55556869506835938</v>
      </c>
      <c r="N245">
        <v>7.3454572579108479E-2</v>
      </c>
      <c r="O245">
        <v>0.29527521133422852</v>
      </c>
      <c r="P245">
        <v>0.37343692779541021</v>
      </c>
      <c r="Q245" t="s">
        <v>586</v>
      </c>
      <c r="R245">
        <v>2020</v>
      </c>
    </row>
    <row r="246" spans="1:18" hidden="1" x14ac:dyDescent="0.35">
      <c r="A246" t="s">
        <v>655</v>
      </c>
      <c r="B246" s="22">
        <v>44013</v>
      </c>
      <c r="C246">
        <v>6.3527708053588867</v>
      </c>
      <c r="D246">
        <v>8.1808748245239258</v>
      </c>
      <c r="E246">
        <v>5.801300048828125</v>
      </c>
      <c r="F246">
        <v>8.0071830749511719</v>
      </c>
      <c r="G246">
        <v>49339661</v>
      </c>
      <c r="H246">
        <v>7.2150273323059082</v>
      </c>
      <c r="I246" t="s">
        <v>654</v>
      </c>
      <c r="J246" s="22">
        <v>45550</v>
      </c>
      <c r="K246">
        <v>0</v>
      </c>
      <c r="M246">
        <v>1.439875602722168</v>
      </c>
      <c r="N246">
        <v>0.2493225075401144</v>
      </c>
      <c r="O246">
        <v>1.6544122695922849</v>
      </c>
      <c r="P246">
        <v>1.8281040191650391</v>
      </c>
      <c r="Q246" t="s">
        <v>582</v>
      </c>
      <c r="R246">
        <v>2020</v>
      </c>
    </row>
    <row r="247" spans="1:18" hidden="1" x14ac:dyDescent="0.35">
      <c r="A247" t="s">
        <v>655</v>
      </c>
      <c r="B247" s="22">
        <v>44044</v>
      </c>
      <c r="C247">
        <v>8.0332374572753906</v>
      </c>
      <c r="D247">
        <v>8.4609527587890625</v>
      </c>
      <c r="E247">
        <v>5.4278631210327148</v>
      </c>
      <c r="F247">
        <v>5.440889835357666</v>
      </c>
      <c r="G247">
        <v>47880289</v>
      </c>
      <c r="H247">
        <v>4.9026203155517578</v>
      </c>
      <c r="I247" t="s">
        <v>654</v>
      </c>
      <c r="J247" s="22">
        <v>45550</v>
      </c>
      <c r="K247">
        <v>0.05</v>
      </c>
      <c r="M247">
        <v>-2.3124070167541499</v>
      </c>
      <c r="N247">
        <v>-0.32049888401098597</v>
      </c>
      <c r="O247">
        <v>-2.5923476219177251</v>
      </c>
      <c r="P247">
        <v>0.42771530151367188</v>
      </c>
      <c r="Q247" t="s">
        <v>583</v>
      </c>
      <c r="R247">
        <v>2020</v>
      </c>
    </row>
    <row r="248" spans="1:18" hidden="1" x14ac:dyDescent="0.35">
      <c r="A248" t="s">
        <v>655</v>
      </c>
      <c r="B248" s="22">
        <v>44075</v>
      </c>
      <c r="C248">
        <v>5.4278631210327148</v>
      </c>
      <c r="D248">
        <v>5.7101120948791504</v>
      </c>
      <c r="E248">
        <v>4.8633651733398438</v>
      </c>
      <c r="F248">
        <v>4.9892911911010742</v>
      </c>
      <c r="G248">
        <v>55962105</v>
      </c>
      <c r="H248">
        <v>4.5362510681152344</v>
      </c>
      <c r="I248" t="s">
        <v>654</v>
      </c>
      <c r="J248" s="22">
        <v>45550</v>
      </c>
      <c r="K248">
        <v>0</v>
      </c>
      <c r="M248">
        <v>-0.36636924743652338</v>
      </c>
      <c r="N248">
        <v>-8.3000879988761156E-2</v>
      </c>
      <c r="O248">
        <v>-0.43857192993164063</v>
      </c>
      <c r="P248">
        <v>0.28224897384643549</v>
      </c>
      <c r="Q248" t="s">
        <v>587</v>
      </c>
      <c r="R248">
        <v>2020</v>
      </c>
    </row>
    <row r="249" spans="1:18" hidden="1" x14ac:dyDescent="0.35">
      <c r="A249" t="s">
        <v>655</v>
      </c>
      <c r="B249" s="22">
        <v>44105</v>
      </c>
      <c r="C249">
        <v>5.0023179054260254</v>
      </c>
      <c r="D249">
        <v>5.7535347938537598</v>
      </c>
      <c r="E249">
        <v>4.789546012878418</v>
      </c>
      <c r="F249">
        <v>5.3844399452209473</v>
      </c>
      <c r="G249">
        <v>35455806</v>
      </c>
      <c r="H249">
        <v>4.8955187797546387</v>
      </c>
      <c r="I249" t="s">
        <v>654</v>
      </c>
      <c r="J249" s="22">
        <v>45550</v>
      </c>
      <c r="K249">
        <v>0</v>
      </c>
      <c r="M249">
        <v>0.3592677116394043</v>
      </c>
      <c r="N249">
        <v>7.9199377022664441E-2</v>
      </c>
      <c r="O249">
        <v>0.38212203979492188</v>
      </c>
      <c r="P249">
        <v>0.75121688842773438</v>
      </c>
      <c r="Q249" t="s">
        <v>588</v>
      </c>
      <c r="R249">
        <v>2020</v>
      </c>
    </row>
    <row r="250" spans="1:18" hidden="1" x14ac:dyDescent="0.35">
      <c r="A250" t="s">
        <v>655</v>
      </c>
      <c r="B250" s="22">
        <v>44136</v>
      </c>
      <c r="C250">
        <v>5.458259105682373</v>
      </c>
      <c r="D250">
        <v>8.4500970840454102</v>
      </c>
      <c r="E250">
        <v>5.3149628639221191</v>
      </c>
      <c r="F250">
        <v>8.285090446472168</v>
      </c>
      <c r="G250">
        <v>53832851</v>
      </c>
      <c r="H250">
        <v>7.5327835083007813</v>
      </c>
      <c r="I250" t="s">
        <v>654</v>
      </c>
      <c r="J250" s="22">
        <v>45550</v>
      </c>
      <c r="K250">
        <v>0.05</v>
      </c>
      <c r="M250">
        <v>2.637264728546143</v>
      </c>
      <c r="N250">
        <v>0.53870978797446578</v>
      </c>
      <c r="O250">
        <v>2.8268313407897949</v>
      </c>
      <c r="P250">
        <v>2.9918379783630371</v>
      </c>
      <c r="Q250" t="s">
        <v>584</v>
      </c>
      <c r="R250">
        <v>2020</v>
      </c>
    </row>
    <row r="251" spans="1:18" hidden="1" x14ac:dyDescent="0.35">
      <c r="A251" t="s">
        <v>655</v>
      </c>
      <c r="B251" s="22">
        <v>44166</v>
      </c>
      <c r="C251">
        <v>8.3762779235839844</v>
      </c>
      <c r="D251">
        <v>9.2360515594482422</v>
      </c>
      <c r="E251">
        <v>8.0636329650878906</v>
      </c>
      <c r="F251">
        <v>9.0753870010375977</v>
      </c>
      <c r="G251">
        <v>34481163</v>
      </c>
      <c r="H251">
        <v>8.3015508651733398</v>
      </c>
      <c r="I251" t="s">
        <v>654</v>
      </c>
      <c r="J251" s="22">
        <v>45550</v>
      </c>
      <c r="K251">
        <v>0</v>
      </c>
      <c r="M251">
        <v>0.76876735687255859</v>
      </c>
      <c r="N251">
        <v>9.5387800491899544E-2</v>
      </c>
      <c r="O251">
        <v>0.69910907745361328</v>
      </c>
      <c r="P251">
        <v>0.85977363586425781</v>
      </c>
      <c r="Q251" t="s">
        <v>587</v>
      </c>
      <c r="R251">
        <v>2020</v>
      </c>
    </row>
    <row r="252" spans="1:18" hidden="1" x14ac:dyDescent="0.35">
      <c r="A252" t="s">
        <v>655</v>
      </c>
      <c r="B252" s="22">
        <v>44197</v>
      </c>
      <c r="C252">
        <v>9.0753870010375977</v>
      </c>
      <c r="D252">
        <v>9.5921192169189453</v>
      </c>
      <c r="E252">
        <v>8.332855224609375</v>
      </c>
      <c r="F252">
        <v>8.363250732421875</v>
      </c>
      <c r="G252">
        <v>21734158</v>
      </c>
      <c r="H252">
        <v>7.6501355171203613</v>
      </c>
      <c r="I252" t="s">
        <v>654</v>
      </c>
      <c r="J252" s="22">
        <v>45550</v>
      </c>
      <c r="K252">
        <v>0</v>
      </c>
      <c r="M252">
        <v>-0.65141534805297852</v>
      </c>
      <c r="N252">
        <v>-7.8468969811899325E-2</v>
      </c>
      <c r="O252">
        <v>-0.71213626861572266</v>
      </c>
      <c r="P252">
        <v>0.51673221588134766</v>
      </c>
      <c r="Q252" t="s">
        <v>585</v>
      </c>
      <c r="R252">
        <v>2021</v>
      </c>
    </row>
    <row r="253" spans="1:18" hidden="1" x14ac:dyDescent="0.35">
      <c r="A253" t="s">
        <v>655</v>
      </c>
      <c r="B253" s="22">
        <v>44228</v>
      </c>
      <c r="C253">
        <v>8.4197006225585938</v>
      </c>
      <c r="D253">
        <v>9.6094894409179688</v>
      </c>
      <c r="E253">
        <v>8.2199563980102539</v>
      </c>
      <c r="F253">
        <v>9.1622333526611328</v>
      </c>
      <c r="G253">
        <v>27597900</v>
      </c>
      <c r="H253">
        <v>8.3809919357299805</v>
      </c>
      <c r="I253" t="s">
        <v>654</v>
      </c>
      <c r="J253" s="22">
        <v>45550</v>
      </c>
      <c r="K253">
        <v>0</v>
      </c>
      <c r="M253">
        <v>0.73085641860961914</v>
      </c>
      <c r="N253">
        <v>9.5534935613234229E-2</v>
      </c>
      <c r="O253">
        <v>0.74253273010253906</v>
      </c>
      <c r="P253">
        <v>1.189788818359375</v>
      </c>
      <c r="Q253" t="s">
        <v>586</v>
      </c>
      <c r="R253">
        <v>2021</v>
      </c>
    </row>
    <row r="254" spans="1:18" hidden="1" x14ac:dyDescent="0.35">
      <c r="A254" t="s">
        <v>655</v>
      </c>
      <c r="B254" s="22">
        <v>44256</v>
      </c>
      <c r="C254">
        <v>8.6758956909179688</v>
      </c>
      <c r="D254">
        <v>10.868753433227541</v>
      </c>
      <c r="E254">
        <v>8.6715536117553711</v>
      </c>
      <c r="F254">
        <v>9.4531660079956055</v>
      </c>
      <c r="G254">
        <v>43015237</v>
      </c>
      <c r="H254">
        <v>8.6471166610717773</v>
      </c>
      <c r="I254" t="s">
        <v>654</v>
      </c>
      <c r="J254" s="22">
        <v>45550</v>
      </c>
      <c r="K254">
        <v>0.05</v>
      </c>
      <c r="M254">
        <v>0.26612472534179688</v>
      </c>
      <c r="N254">
        <v>3.1753464918023777E-2</v>
      </c>
      <c r="O254">
        <v>0.77727031707763672</v>
      </c>
      <c r="P254">
        <v>2.1928577423095699</v>
      </c>
      <c r="Q254" t="s">
        <v>586</v>
      </c>
      <c r="R254">
        <v>2021</v>
      </c>
    </row>
    <row r="255" spans="1:18" hidden="1" x14ac:dyDescent="0.35">
      <c r="A255" t="s">
        <v>655</v>
      </c>
      <c r="B255" s="22">
        <v>44287</v>
      </c>
      <c r="C255">
        <v>9.4965887069702148</v>
      </c>
      <c r="D255">
        <v>9.9698991775512695</v>
      </c>
      <c r="E255">
        <v>8.8061647415161133</v>
      </c>
      <c r="F255">
        <v>8.9234066009521484</v>
      </c>
      <c r="G255">
        <v>20678094</v>
      </c>
      <c r="H255">
        <v>8.2017641067504883</v>
      </c>
      <c r="I255" t="s">
        <v>654</v>
      </c>
      <c r="J255" s="22">
        <v>45550</v>
      </c>
      <c r="K255">
        <v>0</v>
      </c>
      <c r="M255">
        <v>-0.44535255432128912</v>
      </c>
      <c r="N255">
        <v>-5.6040421441385879E-2</v>
      </c>
      <c r="O255">
        <v>-0.57318210601806641</v>
      </c>
      <c r="P255">
        <v>0.47331047058105469</v>
      </c>
      <c r="Q255" t="s">
        <v>588</v>
      </c>
      <c r="R255">
        <v>2021</v>
      </c>
    </row>
    <row r="256" spans="1:18" hidden="1" x14ac:dyDescent="0.35">
      <c r="A256" t="s">
        <v>655</v>
      </c>
      <c r="B256" s="22">
        <v>44317</v>
      </c>
      <c r="C256">
        <v>9.0363063812255859</v>
      </c>
      <c r="D256">
        <v>9.4271116256713867</v>
      </c>
      <c r="E256">
        <v>8.2981166839599609</v>
      </c>
      <c r="F256">
        <v>9.3011856079101563</v>
      </c>
      <c r="G256">
        <v>23609812</v>
      </c>
      <c r="H256">
        <v>8.5489940643310547</v>
      </c>
      <c r="I256" t="s">
        <v>654</v>
      </c>
      <c r="J256" s="22">
        <v>45550</v>
      </c>
      <c r="K256">
        <v>0.05</v>
      </c>
      <c r="M256">
        <v>0.34722995758056641</v>
      </c>
      <c r="N256">
        <v>4.2335738339850833E-2</v>
      </c>
      <c r="O256">
        <v>0.26487922668457031</v>
      </c>
      <c r="P256">
        <v>0.39080524444580078</v>
      </c>
      <c r="Q256" t="s">
        <v>583</v>
      </c>
      <c r="R256">
        <v>2021</v>
      </c>
    </row>
    <row r="257" spans="1:18" hidden="1" x14ac:dyDescent="0.35">
      <c r="A257" t="s">
        <v>655</v>
      </c>
      <c r="B257" s="22">
        <v>44348</v>
      </c>
      <c r="C257">
        <v>9.3228969573974609</v>
      </c>
      <c r="D257">
        <v>9.9047641754150391</v>
      </c>
      <c r="E257">
        <v>9.0449905395507813</v>
      </c>
      <c r="F257">
        <v>9.6572542190551758</v>
      </c>
      <c r="G257">
        <v>29704145</v>
      </c>
      <c r="H257">
        <v>8.9254617691040039</v>
      </c>
      <c r="I257" t="s">
        <v>654</v>
      </c>
      <c r="J257" s="22">
        <v>45550</v>
      </c>
      <c r="K257">
        <v>0</v>
      </c>
      <c r="M257">
        <v>0.37646770477294922</v>
      </c>
      <c r="N257">
        <v>3.8282067056290447E-2</v>
      </c>
      <c r="O257">
        <v>0.33435726165771479</v>
      </c>
      <c r="P257">
        <v>0.58186721801757813</v>
      </c>
      <c r="Q257" t="s">
        <v>587</v>
      </c>
      <c r="R257">
        <v>2021</v>
      </c>
    </row>
    <row r="258" spans="1:18" hidden="1" x14ac:dyDescent="0.35">
      <c r="A258" t="s">
        <v>655</v>
      </c>
      <c r="B258" s="22">
        <v>44378</v>
      </c>
      <c r="C258">
        <v>9.6746225357055664</v>
      </c>
      <c r="D258">
        <v>9.7180461883544922</v>
      </c>
      <c r="E258">
        <v>8.363250732421875</v>
      </c>
      <c r="F258">
        <v>9.0189371109008789</v>
      </c>
      <c r="G258">
        <v>17929270</v>
      </c>
      <c r="H258">
        <v>8.3355140686035156</v>
      </c>
      <c r="I258" t="s">
        <v>654</v>
      </c>
      <c r="J258" s="22">
        <v>45550</v>
      </c>
      <c r="K258">
        <v>0</v>
      </c>
      <c r="M258">
        <v>-0.58994770050048828</v>
      </c>
      <c r="N258">
        <v>-6.6097163197257891E-2</v>
      </c>
      <c r="O258">
        <v>-0.6556854248046875</v>
      </c>
      <c r="P258">
        <v>4.3423652648925781E-2</v>
      </c>
      <c r="Q258" t="s">
        <v>588</v>
      </c>
      <c r="R258">
        <v>2021</v>
      </c>
    </row>
    <row r="259" spans="1:18" hidden="1" x14ac:dyDescent="0.35">
      <c r="A259" t="s">
        <v>655</v>
      </c>
      <c r="B259" s="22">
        <v>44409</v>
      </c>
      <c r="C259">
        <v>9.0797290802001953</v>
      </c>
      <c r="D259">
        <v>9.5183010101318359</v>
      </c>
      <c r="E259">
        <v>8.6237888336181641</v>
      </c>
      <c r="F259">
        <v>9.279475212097168</v>
      </c>
      <c r="G259">
        <v>16568309</v>
      </c>
      <c r="H259">
        <v>8.5763101577758789</v>
      </c>
      <c r="I259" t="s">
        <v>654</v>
      </c>
      <c r="J259" s="22">
        <v>45550</v>
      </c>
      <c r="K259">
        <v>0.05</v>
      </c>
      <c r="M259">
        <v>0.24079608917236331</v>
      </c>
      <c r="N259">
        <v>2.8887894215537498E-2</v>
      </c>
      <c r="O259">
        <v>0.19974613189697271</v>
      </c>
      <c r="P259">
        <v>0.43857192993164063</v>
      </c>
      <c r="Q259" t="s">
        <v>584</v>
      </c>
      <c r="R259">
        <v>2021</v>
      </c>
    </row>
    <row r="260" spans="1:18" hidden="1" x14ac:dyDescent="0.35">
      <c r="A260" t="s">
        <v>655</v>
      </c>
      <c r="B260" s="22">
        <v>44440</v>
      </c>
      <c r="C260">
        <v>9.2099981307983398</v>
      </c>
      <c r="D260">
        <v>9.2903299331665039</v>
      </c>
      <c r="E260">
        <v>8.1417942047119141</v>
      </c>
      <c r="F260">
        <v>8.1808748245239258</v>
      </c>
      <c r="G260">
        <v>22519184</v>
      </c>
      <c r="H260">
        <v>7.6030073165893546</v>
      </c>
      <c r="I260" t="s">
        <v>654</v>
      </c>
      <c r="J260" s="22">
        <v>45550</v>
      </c>
      <c r="K260">
        <v>0</v>
      </c>
      <c r="M260">
        <v>-0.97330284118652344</v>
      </c>
      <c r="N260">
        <v>-0.1183903574785192</v>
      </c>
      <c r="O260">
        <v>-1.0291233062744141</v>
      </c>
      <c r="P260">
        <v>8.0331802368164063E-2</v>
      </c>
      <c r="Q260" t="s">
        <v>582</v>
      </c>
      <c r="R260">
        <v>2021</v>
      </c>
    </row>
    <row r="261" spans="1:18" hidden="1" x14ac:dyDescent="0.35">
      <c r="A261" t="s">
        <v>655</v>
      </c>
      <c r="B261" s="22">
        <v>44470</v>
      </c>
      <c r="C261">
        <v>8.1548213958740234</v>
      </c>
      <c r="D261">
        <v>8.3198280334472656</v>
      </c>
      <c r="E261">
        <v>7.5686120986938477</v>
      </c>
      <c r="F261">
        <v>7.7813839912414551</v>
      </c>
      <c r="G261">
        <v>15671078</v>
      </c>
      <c r="H261">
        <v>7.2317357063293457</v>
      </c>
      <c r="I261" t="s">
        <v>654</v>
      </c>
      <c r="J261" s="22">
        <v>45550</v>
      </c>
      <c r="K261">
        <v>0</v>
      </c>
      <c r="M261">
        <v>-0.37127161026000982</v>
      </c>
      <c r="N261">
        <v>-4.8832287726113477E-2</v>
      </c>
      <c r="O261">
        <v>-0.37343740463256841</v>
      </c>
      <c r="P261">
        <v>0.16500663757324219</v>
      </c>
      <c r="Q261" t="s">
        <v>585</v>
      </c>
      <c r="R261">
        <v>2021</v>
      </c>
    </row>
    <row r="262" spans="1:18" hidden="1" x14ac:dyDescent="0.35">
      <c r="A262" t="s">
        <v>655</v>
      </c>
      <c r="B262" s="22">
        <v>44501</v>
      </c>
      <c r="C262">
        <v>7.7944111824035636</v>
      </c>
      <c r="D262">
        <v>8.5847082138061523</v>
      </c>
      <c r="E262">
        <v>7.4643969535827637</v>
      </c>
      <c r="F262">
        <v>7.7813839912414551</v>
      </c>
      <c r="G262">
        <v>18643227</v>
      </c>
      <c r="H262">
        <v>7.2317357063293457</v>
      </c>
      <c r="I262" t="s">
        <v>654</v>
      </c>
      <c r="J262" s="22">
        <v>45550</v>
      </c>
      <c r="K262">
        <v>0.05</v>
      </c>
      <c r="M262">
        <v>0</v>
      </c>
      <c r="N262">
        <v>0</v>
      </c>
      <c r="O262">
        <v>-1.302719116210938E-2</v>
      </c>
      <c r="P262">
        <v>0.79029703140258789</v>
      </c>
      <c r="Q262" t="s">
        <v>586</v>
      </c>
      <c r="R262">
        <v>2021</v>
      </c>
    </row>
    <row r="263" spans="1:18" hidden="1" x14ac:dyDescent="0.35">
      <c r="A263" t="s">
        <v>655</v>
      </c>
      <c r="B263" s="22">
        <v>44531</v>
      </c>
      <c r="C263">
        <v>7.9681029319763184</v>
      </c>
      <c r="D263">
        <v>8.9972257614135742</v>
      </c>
      <c r="E263">
        <v>7.8508610725402832</v>
      </c>
      <c r="F263">
        <v>8.2112712860107422</v>
      </c>
      <c r="G263">
        <v>24461928</v>
      </c>
      <c r="H263">
        <v>7.678436279296875</v>
      </c>
      <c r="I263" t="s">
        <v>654</v>
      </c>
      <c r="J263" s="22">
        <v>45550</v>
      </c>
      <c r="K263">
        <v>0</v>
      </c>
      <c r="M263">
        <v>0.4467005729675293</v>
      </c>
      <c r="N263">
        <v>5.5245608654342027E-2</v>
      </c>
      <c r="O263">
        <v>0.2431683540344238</v>
      </c>
      <c r="P263">
        <v>1.0291228294372561</v>
      </c>
      <c r="Q263" t="s">
        <v>582</v>
      </c>
      <c r="R263">
        <v>2021</v>
      </c>
    </row>
    <row r="264" spans="1:18" hidden="1" x14ac:dyDescent="0.35">
      <c r="A264" t="s">
        <v>655</v>
      </c>
      <c r="B264" s="22">
        <v>44562</v>
      </c>
      <c r="C264">
        <v>8.315485954284668</v>
      </c>
      <c r="D264">
        <v>8.6411581039428711</v>
      </c>
      <c r="E264">
        <v>7.0475368499755859</v>
      </c>
      <c r="F264">
        <v>7.325444221496582</v>
      </c>
      <c r="G264">
        <v>21773189</v>
      </c>
      <c r="H264">
        <v>6.8500909805297852</v>
      </c>
      <c r="I264" t="s">
        <v>654</v>
      </c>
      <c r="J264" s="22">
        <v>45550</v>
      </c>
      <c r="K264">
        <v>0</v>
      </c>
      <c r="M264">
        <v>-0.82834529876708984</v>
      </c>
      <c r="N264">
        <v>-0.10787940547321979</v>
      </c>
      <c r="O264">
        <v>-0.99004173278808594</v>
      </c>
      <c r="P264">
        <v>0.32567214965820313</v>
      </c>
      <c r="Q264" t="s">
        <v>583</v>
      </c>
      <c r="R264">
        <v>2022</v>
      </c>
    </row>
    <row r="265" spans="1:18" hidden="1" x14ac:dyDescent="0.35">
      <c r="A265" t="s">
        <v>655</v>
      </c>
      <c r="B265" s="22">
        <v>44593</v>
      </c>
      <c r="C265">
        <v>7.3341279029846191</v>
      </c>
      <c r="D265">
        <v>7.5990080833435059</v>
      </c>
      <c r="E265">
        <v>6.8260798454284668</v>
      </c>
      <c r="F265">
        <v>7.5208468437194824</v>
      </c>
      <c r="G265">
        <v>24345878</v>
      </c>
      <c r="H265">
        <v>7.0328145027160636</v>
      </c>
      <c r="I265" t="s">
        <v>654</v>
      </c>
      <c r="J265" s="22">
        <v>45550</v>
      </c>
      <c r="K265">
        <v>0</v>
      </c>
      <c r="M265">
        <v>0.1827235221862793</v>
      </c>
      <c r="N265">
        <v>2.667450823657758E-2</v>
      </c>
      <c r="O265">
        <v>0.18671894073486331</v>
      </c>
      <c r="P265">
        <v>0.26488018035888672</v>
      </c>
      <c r="Q265" t="s">
        <v>587</v>
      </c>
      <c r="R265">
        <v>2022</v>
      </c>
    </row>
    <row r="266" spans="1:18" hidden="1" x14ac:dyDescent="0.35">
      <c r="A266" t="s">
        <v>655</v>
      </c>
      <c r="B266" s="22">
        <v>44621</v>
      </c>
      <c r="C266">
        <v>7.412290096282959</v>
      </c>
      <c r="D266">
        <v>7.7683568000793457</v>
      </c>
      <c r="E266">
        <v>6.8738460540771484</v>
      </c>
      <c r="F266">
        <v>7.5208468437194824</v>
      </c>
      <c r="G266">
        <v>30064903</v>
      </c>
      <c r="H266">
        <v>7.0328145027160636</v>
      </c>
      <c r="I266" t="s">
        <v>654</v>
      </c>
      <c r="J266" s="22">
        <v>45550</v>
      </c>
      <c r="K266">
        <v>0.05</v>
      </c>
      <c r="M266">
        <v>0</v>
      </c>
      <c r="N266">
        <v>0</v>
      </c>
      <c r="O266">
        <v>0.1085567474365234</v>
      </c>
      <c r="P266">
        <v>0.35606670379638672</v>
      </c>
      <c r="Q266" t="s">
        <v>587</v>
      </c>
      <c r="R266">
        <v>2022</v>
      </c>
    </row>
    <row r="267" spans="1:18" hidden="1" x14ac:dyDescent="0.35">
      <c r="A267" t="s">
        <v>655</v>
      </c>
      <c r="B267" s="22">
        <v>44652</v>
      </c>
      <c r="C267">
        <v>7.5555849075317383</v>
      </c>
      <c r="D267">
        <v>7.6163768768310547</v>
      </c>
      <c r="E267">
        <v>6.5915970802307129</v>
      </c>
      <c r="F267">
        <v>6.7739729881286621</v>
      </c>
      <c r="G267">
        <v>17323635</v>
      </c>
      <c r="H267">
        <v>6.3791666030883789</v>
      </c>
      <c r="I267" t="s">
        <v>654</v>
      </c>
      <c r="J267" s="22">
        <v>45550</v>
      </c>
      <c r="K267">
        <v>0</v>
      </c>
      <c r="M267">
        <v>-0.65364789962768555</v>
      </c>
      <c r="N267">
        <v>-9.9307148664318334E-2</v>
      </c>
      <c r="O267">
        <v>-0.78161191940307617</v>
      </c>
      <c r="P267">
        <v>6.0791969299316413E-2</v>
      </c>
      <c r="Q267" t="s">
        <v>585</v>
      </c>
      <c r="R267">
        <v>2022</v>
      </c>
    </row>
    <row r="268" spans="1:18" hidden="1" x14ac:dyDescent="0.35">
      <c r="A268" t="s">
        <v>655</v>
      </c>
      <c r="B268" s="22">
        <v>44682</v>
      </c>
      <c r="C268">
        <v>6.7696309089660636</v>
      </c>
      <c r="D268">
        <v>7.4426422119140616</v>
      </c>
      <c r="E268">
        <v>6.4873819351196289</v>
      </c>
      <c r="F268">
        <v>7.1474099159240723</v>
      </c>
      <c r="G268">
        <v>21277218</v>
      </c>
      <c r="H268">
        <v>6.7308392524719238</v>
      </c>
      <c r="I268" t="s">
        <v>654</v>
      </c>
      <c r="J268" s="22">
        <v>45550</v>
      </c>
      <c r="K268">
        <v>0.05</v>
      </c>
      <c r="M268">
        <v>0.35167264938354492</v>
      </c>
      <c r="N268">
        <v>5.5128198540185469E-2</v>
      </c>
      <c r="O268">
        <v>0.37777900695800781</v>
      </c>
      <c r="P268">
        <v>0.67301130294799805</v>
      </c>
      <c r="Q268" t="s">
        <v>584</v>
      </c>
      <c r="R268">
        <v>2022</v>
      </c>
    </row>
    <row r="269" spans="1:18" hidden="1" x14ac:dyDescent="0.35">
      <c r="A269" t="s">
        <v>655</v>
      </c>
      <c r="B269" s="22">
        <v>44713</v>
      </c>
      <c r="C269">
        <v>7.1908330917358398</v>
      </c>
      <c r="D269">
        <v>7.3601818084716797</v>
      </c>
      <c r="E269">
        <v>5.8143267631530762</v>
      </c>
      <c r="F269">
        <v>6.2659249305725098</v>
      </c>
      <c r="G269">
        <v>30045262</v>
      </c>
      <c r="H269">
        <v>5.983619213104248</v>
      </c>
      <c r="I269" t="s">
        <v>654</v>
      </c>
      <c r="J269" s="22">
        <v>45550</v>
      </c>
      <c r="K269">
        <v>0.05</v>
      </c>
      <c r="M269">
        <v>-0.74722003936767578</v>
      </c>
      <c r="N269">
        <v>-0.1233292893118748</v>
      </c>
      <c r="O269">
        <v>-0.92490816116333008</v>
      </c>
      <c r="P269">
        <v>0.16934871673583979</v>
      </c>
      <c r="Q269" t="s">
        <v>582</v>
      </c>
      <c r="R269">
        <v>2022</v>
      </c>
    </row>
    <row r="270" spans="1:18" hidden="1" x14ac:dyDescent="0.35">
      <c r="A270" t="s">
        <v>655</v>
      </c>
      <c r="B270" s="22">
        <v>44743</v>
      </c>
      <c r="C270">
        <v>6.2311868667602539</v>
      </c>
      <c r="D270">
        <v>7.2950482368469238</v>
      </c>
      <c r="E270">
        <v>6.0748639106750488</v>
      </c>
      <c r="F270">
        <v>7.2776789665222168</v>
      </c>
      <c r="G270">
        <v>17833493</v>
      </c>
      <c r="H270">
        <v>6.9497904777526864</v>
      </c>
      <c r="I270" t="s">
        <v>654</v>
      </c>
      <c r="J270" s="22">
        <v>45550</v>
      </c>
      <c r="K270">
        <v>0</v>
      </c>
      <c r="M270">
        <v>0.9661712646484375</v>
      </c>
      <c r="N270">
        <v>0.16146922396296001</v>
      </c>
      <c r="O270">
        <v>1.0464920997619629</v>
      </c>
      <c r="P270">
        <v>1.0638613700866699</v>
      </c>
      <c r="Q270" t="s">
        <v>585</v>
      </c>
      <c r="R270">
        <v>2022</v>
      </c>
    </row>
    <row r="271" spans="1:18" hidden="1" x14ac:dyDescent="0.35">
      <c r="A271" t="s">
        <v>655</v>
      </c>
      <c r="B271" s="22">
        <v>44774</v>
      </c>
      <c r="C271">
        <v>7.2125439643859863</v>
      </c>
      <c r="D271">
        <v>7.4513697624206543</v>
      </c>
      <c r="E271">
        <v>6.7522611618041992</v>
      </c>
      <c r="F271">
        <v>6.9085841178894043</v>
      </c>
      <c r="G271">
        <v>22444645</v>
      </c>
      <c r="H271">
        <v>6.5973248481750488</v>
      </c>
      <c r="I271" t="s">
        <v>654</v>
      </c>
      <c r="J271" s="22">
        <v>45550</v>
      </c>
      <c r="K271">
        <v>0.05</v>
      </c>
      <c r="M271">
        <v>-0.35246562957763672</v>
      </c>
      <c r="N271">
        <v>-5.071601129023029E-2</v>
      </c>
      <c r="O271">
        <v>-0.30395984649658198</v>
      </c>
      <c r="P271">
        <v>0.238825798034668</v>
      </c>
      <c r="Q271" t="s">
        <v>586</v>
      </c>
      <c r="R271">
        <v>2022</v>
      </c>
    </row>
    <row r="272" spans="1:18" hidden="1" x14ac:dyDescent="0.35">
      <c r="A272" t="s">
        <v>655</v>
      </c>
      <c r="B272" s="22">
        <v>44805</v>
      </c>
      <c r="C272">
        <v>6.7696309089660636</v>
      </c>
      <c r="D272">
        <v>6.9433221817016602</v>
      </c>
      <c r="E272">
        <v>6.1182870864868164</v>
      </c>
      <c r="F272">
        <v>6.1399979591369629</v>
      </c>
      <c r="G272">
        <v>28801995</v>
      </c>
      <c r="H272">
        <v>5.9050545692443848</v>
      </c>
      <c r="I272" t="s">
        <v>654</v>
      </c>
      <c r="J272" s="22">
        <v>45550</v>
      </c>
      <c r="K272">
        <v>0</v>
      </c>
      <c r="M272">
        <v>-0.69227027893066406</v>
      </c>
      <c r="N272">
        <v>-0.1112508939078022</v>
      </c>
      <c r="O272">
        <v>-0.62963294982910156</v>
      </c>
      <c r="P272">
        <v>0.1736912727355957</v>
      </c>
      <c r="Q272" t="s">
        <v>588</v>
      </c>
      <c r="R272">
        <v>2022</v>
      </c>
    </row>
    <row r="273" spans="1:18" hidden="1" x14ac:dyDescent="0.35">
      <c r="A273" t="s">
        <v>655</v>
      </c>
      <c r="B273" s="22">
        <v>44835</v>
      </c>
      <c r="C273">
        <v>6.6500000953674316</v>
      </c>
      <c r="D273">
        <v>11.35999965667725</v>
      </c>
      <c r="E273">
        <v>6.5199999809265137</v>
      </c>
      <c r="F273">
        <v>11.180000305175779</v>
      </c>
      <c r="G273">
        <v>23550559</v>
      </c>
      <c r="H273">
        <v>10.752205848693849</v>
      </c>
      <c r="I273" t="s">
        <v>654</v>
      </c>
      <c r="J273" s="22">
        <v>45550</v>
      </c>
      <c r="K273">
        <v>0</v>
      </c>
      <c r="M273">
        <v>4.8471512794494629</v>
      </c>
      <c r="N273">
        <v>0.82084756046844687</v>
      </c>
      <c r="O273">
        <v>4.5300002098083496</v>
      </c>
      <c r="P273">
        <v>4.7099995613098136</v>
      </c>
      <c r="Q273" t="s">
        <v>583</v>
      </c>
      <c r="R273">
        <v>2022</v>
      </c>
    </row>
    <row r="274" spans="1:18" hidden="1" x14ac:dyDescent="0.35">
      <c r="A274" t="s">
        <v>655</v>
      </c>
      <c r="B274" s="22">
        <v>44866</v>
      </c>
      <c r="C274">
        <v>11.289999961853029</v>
      </c>
      <c r="D274">
        <v>11.85000038146973</v>
      </c>
      <c r="E274">
        <v>9.5299997329711914</v>
      </c>
      <c r="F274">
        <v>11.05000019073486</v>
      </c>
      <c r="G274">
        <v>11691643</v>
      </c>
      <c r="H274">
        <v>10.62717914581299</v>
      </c>
      <c r="I274" t="s">
        <v>654</v>
      </c>
      <c r="J274" s="22">
        <v>45550</v>
      </c>
      <c r="K274">
        <v>0.05</v>
      </c>
      <c r="M274">
        <v>-0.1250267028808594</v>
      </c>
      <c r="N274">
        <v>-1.1627916895559859E-2</v>
      </c>
      <c r="O274">
        <v>-0.23999977111816409</v>
      </c>
      <c r="P274">
        <v>0.56000041961669922</v>
      </c>
      <c r="Q274" t="s">
        <v>587</v>
      </c>
      <c r="R274">
        <v>2022</v>
      </c>
    </row>
    <row r="275" spans="1:18" hidden="1" x14ac:dyDescent="0.35">
      <c r="A275" t="s">
        <v>655</v>
      </c>
      <c r="B275" s="22">
        <v>44896</v>
      </c>
      <c r="C275">
        <v>10.94999980926514</v>
      </c>
      <c r="D275">
        <v>11.50500011444092</v>
      </c>
      <c r="E275">
        <v>9.0100002288818359</v>
      </c>
      <c r="F275">
        <v>9.4799995422363281</v>
      </c>
      <c r="G275">
        <v>12369751</v>
      </c>
      <c r="H275">
        <v>9.1615123748779297</v>
      </c>
      <c r="I275" t="s">
        <v>654</v>
      </c>
      <c r="J275" s="22">
        <v>45550</v>
      </c>
      <c r="K275">
        <v>0</v>
      </c>
      <c r="M275">
        <v>-1.465666770935059</v>
      </c>
      <c r="N275">
        <v>-0.14208150419897181</v>
      </c>
      <c r="O275">
        <v>-1.470000267028809</v>
      </c>
      <c r="P275">
        <v>0.55500030517578125</v>
      </c>
      <c r="Q275" t="s">
        <v>588</v>
      </c>
      <c r="R275">
        <v>2022</v>
      </c>
    </row>
    <row r="276" spans="1:18" hidden="1" x14ac:dyDescent="0.35">
      <c r="A276" t="s">
        <v>655</v>
      </c>
      <c r="B276" s="22">
        <v>44927</v>
      </c>
      <c r="C276">
        <v>9.6099996566772461</v>
      </c>
      <c r="D276">
        <v>11.60999965667725</v>
      </c>
      <c r="E276">
        <v>9.4700002670288086</v>
      </c>
      <c r="F276">
        <v>10.94999980926514</v>
      </c>
      <c r="G276">
        <v>10378225</v>
      </c>
      <c r="H276">
        <v>10.582125663757321</v>
      </c>
      <c r="I276" t="s">
        <v>654</v>
      </c>
      <c r="J276" s="22">
        <v>45550</v>
      </c>
      <c r="K276">
        <v>0</v>
      </c>
      <c r="M276">
        <v>1.420613288879395</v>
      </c>
      <c r="N276">
        <v>0.1550633267944268</v>
      </c>
      <c r="O276">
        <v>1.3400001525878911</v>
      </c>
      <c r="P276">
        <v>2</v>
      </c>
      <c r="Q276" t="s">
        <v>584</v>
      </c>
      <c r="R276">
        <v>2023</v>
      </c>
    </row>
    <row r="277" spans="1:18" hidden="1" x14ac:dyDescent="0.35">
      <c r="A277" t="s">
        <v>655</v>
      </c>
      <c r="B277" s="22">
        <v>44958</v>
      </c>
      <c r="C277">
        <v>11.010000228881839</v>
      </c>
      <c r="D277">
        <v>11.659999847412109</v>
      </c>
      <c r="E277">
        <v>9.6698999404907227</v>
      </c>
      <c r="F277">
        <v>9.8599996566772461</v>
      </c>
      <c r="G277">
        <v>8987635</v>
      </c>
      <c r="H277">
        <v>9.5287456512451172</v>
      </c>
      <c r="I277" t="s">
        <v>654</v>
      </c>
      <c r="J277" s="22">
        <v>45550</v>
      </c>
      <c r="K277">
        <v>0</v>
      </c>
      <c r="M277">
        <v>-1.053380012512207</v>
      </c>
      <c r="N277">
        <v>-9.9543394664318385E-2</v>
      </c>
      <c r="O277">
        <v>-1.1500005722045901</v>
      </c>
      <c r="P277">
        <v>0.64999961853027344</v>
      </c>
      <c r="Q277" t="s">
        <v>582</v>
      </c>
      <c r="R277">
        <v>2023</v>
      </c>
    </row>
    <row r="278" spans="1:18" hidden="1" x14ac:dyDescent="0.35">
      <c r="A278" t="s">
        <v>655</v>
      </c>
      <c r="B278" s="22">
        <v>44986</v>
      </c>
      <c r="C278">
        <v>9.7399997711181641</v>
      </c>
      <c r="D278">
        <v>10.27000045776367</v>
      </c>
      <c r="E278">
        <v>7.8899998664855957</v>
      </c>
      <c r="F278">
        <v>8.8599996566772461</v>
      </c>
      <c r="G278">
        <v>14614154</v>
      </c>
      <c r="H278">
        <v>8.562342643737793</v>
      </c>
      <c r="I278" t="s">
        <v>654</v>
      </c>
      <c r="J278" s="22">
        <v>45550</v>
      </c>
      <c r="K278">
        <v>0.05</v>
      </c>
      <c r="M278">
        <v>-0.96640300750732422</v>
      </c>
      <c r="N278">
        <v>-0.10141988182756111</v>
      </c>
      <c r="O278">
        <v>-0.88000011444091797</v>
      </c>
      <c r="P278">
        <v>0.53000068664550781</v>
      </c>
      <c r="Q278" t="s">
        <v>582</v>
      </c>
      <c r="R278">
        <v>2023</v>
      </c>
    </row>
    <row r="279" spans="1:18" hidden="1" x14ac:dyDescent="0.35">
      <c r="A279" t="s">
        <v>655</v>
      </c>
      <c r="B279" s="22">
        <v>45017</v>
      </c>
      <c r="C279">
        <v>8.869999885559082</v>
      </c>
      <c r="D279">
        <v>8.9200000762939453</v>
      </c>
      <c r="E279">
        <v>7.559999942779541</v>
      </c>
      <c r="F279">
        <v>7.6399998664855957</v>
      </c>
      <c r="G279">
        <v>8563363</v>
      </c>
      <c r="H279">
        <v>7.4267086982727051</v>
      </c>
      <c r="I279" t="s">
        <v>654</v>
      </c>
      <c r="J279" s="22">
        <v>45550</v>
      </c>
      <c r="K279">
        <v>0</v>
      </c>
      <c r="M279">
        <v>-1.1356339454650879</v>
      </c>
      <c r="N279">
        <v>-0.13769749858536509</v>
      </c>
      <c r="O279">
        <v>-1.2300000190734861</v>
      </c>
      <c r="P279">
        <v>5.0000190734863281E-2</v>
      </c>
      <c r="Q279" t="s">
        <v>583</v>
      </c>
      <c r="R279">
        <v>2023</v>
      </c>
    </row>
    <row r="280" spans="1:18" hidden="1" x14ac:dyDescent="0.35">
      <c r="A280" t="s">
        <v>655</v>
      </c>
      <c r="B280" s="22">
        <v>45047</v>
      </c>
      <c r="C280">
        <v>7.6399998664855957</v>
      </c>
      <c r="D280">
        <v>10.14999961853027</v>
      </c>
      <c r="E280">
        <v>7.119999885559082</v>
      </c>
      <c r="F280">
        <v>9.8100004196166992</v>
      </c>
      <c r="G280">
        <v>13077792</v>
      </c>
      <c r="H280">
        <v>9.536128044128418</v>
      </c>
      <c r="I280" t="s">
        <v>654</v>
      </c>
      <c r="J280" s="22">
        <v>45550</v>
      </c>
      <c r="K280">
        <v>0.05</v>
      </c>
      <c r="M280">
        <v>2.1094193458557129</v>
      </c>
      <c r="N280">
        <v>0.28403149097557567</v>
      </c>
      <c r="O280">
        <v>2.170000553131104</v>
      </c>
      <c r="P280">
        <v>2.5099997520446782</v>
      </c>
      <c r="Q280" t="s">
        <v>586</v>
      </c>
      <c r="R280">
        <v>2023</v>
      </c>
    </row>
    <row r="281" spans="1:18" hidden="1" x14ac:dyDescent="0.35">
      <c r="A281" t="s">
        <v>655</v>
      </c>
      <c r="B281" s="22">
        <v>45078</v>
      </c>
      <c r="C281">
        <v>9.7299995422363281</v>
      </c>
      <c r="D281">
        <v>11.22500038146973</v>
      </c>
      <c r="E281">
        <v>9.2299995422363281</v>
      </c>
      <c r="F281">
        <v>11.010000228881839</v>
      </c>
      <c r="G281">
        <v>15489556</v>
      </c>
      <c r="H281">
        <v>10.76016807556152</v>
      </c>
      <c r="I281" t="s">
        <v>654</v>
      </c>
      <c r="J281" s="22">
        <v>45550</v>
      </c>
      <c r="K281">
        <v>0</v>
      </c>
      <c r="M281">
        <v>1.224040031433105</v>
      </c>
      <c r="N281">
        <v>0.12232413434616581</v>
      </c>
      <c r="O281">
        <v>1.280000686645508</v>
      </c>
      <c r="P281">
        <v>1.495000839233398</v>
      </c>
      <c r="Q281" t="s">
        <v>588</v>
      </c>
      <c r="R281">
        <v>2023</v>
      </c>
    </row>
    <row r="282" spans="1:18" hidden="1" x14ac:dyDescent="0.35">
      <c r="A282" t="s">
        <v>655</v>
      </c>
      <c r="B282" s="22">
        <v>45108</v>
      </c>
      <c r="C282">
        <v>10.97000026702881</v>
      </c>
      <c r="D282">
        <v>12.10999965667725</v>
      </c>
      <c r="E282">
        <v>10.47000026702881</v>
      </c>
      <c r="F282">
        <v>12.02000045776367</v>
      </c>
      <c r="G282">
        <v>7999387</v>
      </c>
      <c r="H282">
        <v>11.747249603271481</v>
      </c>
      <c r="I282" t="s">
        <v>654</v>
      </c>
      <c r="J282" s="22">
        <v>45550</v>
      </c>
      <c r="K282">
        <v>0</v>
      </c>
      <c r="M282">
        <v>0.98708152770996094</v>
      </c>
      <c r="N282">
        <v>9.1734805439183109E-2</v>
      </c>
      <c r="O282">
        <v>1.0500001907348631</v>
      </c>
      <c r="P282">
        <v>1.1399993896484379</v>
      </c>
      <c r="Q282" t="s">
        <v>583</v>
      </c>
      <c r="R282">
        <v>2023</v>
      </c>
    </row>
    <row r="283" spans="1:18" hidden="1" x14ac:dyDescent="0.35">
      <c r="A283" t="s">
        <v>655</v>
      </c>
      <c r="B283" s="22">
        <v>45139</v>
      </c>
      <c r="C283">
        <v>12.10000038146973</v>
      </c>
      <c r="D283">
        <v>12.36999988555908</v>
      </c>
      <c r="E283">
        <v>9.5900001525878906</v>
      </c>
      <c r="F283">
        <v>10.060000419616699</v>
      </c>
      <c r="G283">
        <v>12538176</v>
      </c>
      <c r="H283">
        <v>9.8317251205444336</v>
      </c>
      <c r="I283" t="s">
        <v>654</v>
      </c>
      <c r="J283" s="22">
        <v>45550</v>
      </c>
      <c r="K283">
        <v>0.05</v>
      </c>
      <c r="M283">
        <v>-1.915524482727051</v>
      </c>
      <c r="N283">
        <v>-0.1630615610235702</v>
      </c>
      <c r="O283">
        <v>-2.0399999618530269</v>
      </c>
      <c r="P283">
        <v>0.26999950408935552</v>
      </c>
      <c r="Q283" t="s">
        <v>587</v>
      </c>
      <c r="R283">
        <v>2023</v>
      </c>
    </row>
    <row r="284" spans="1:18" hidden="1" x14ac:dyDescent="0.35">
      <c r="A284" t="s">
        <v>655</v>
      </c>
      <c r="B284" s="22">
        <v>45170</v>
      </c>
      <c r="C284">
        <v>10.10000038146973</v>
      </c>
      <c r="D284">
        <v>10.77000045776367</v>
      </c>
      <c r="E284">
        <v>9.1800003051757813</v>
      </c>
      <c r="F284">
        <v>10.680000305175779</v>
      </c>
      <c r="G284">
        <v>11687867</v>
      </c>
      <c r="H284">
        <v>10.491127967834471</v>
      </c>
      <c r="I284" t="s">
        <v>654</v>
      </c>
      <c r="J284" s="22">
        <v>45550</v>
      </c>
      <c r="K284">
        <v>0</v>
      </c>
      <c r="M284">
        <v>0.65940284729003906</v>
      </c>
      <c r="N284">
        <v>6.1630204741353722E-2</v>
      </c>
      <c r="O284">
        <v>0.57999992370605469</v>
      </c>
      <c r="P284">
        <v>0.67000007629394531</v>
      </c>
      <c r="Q284" t="s">
        <v>585</v>
      </c>
      <c r="R284">
        <v>2023</v>
      </c>
    </row>
    <row r="285" spans="1:18" hidden="1" x14ac:dyDescent="0.35">
      <c r="A285" t="s">
        <v>655</v>
      </c>
      <c r="B285" s="22">
        <v>45200</v>
      </c>
      <c r="C285">
        <v>10.760000228881839</v>
      </c>
      <c r="D285">
        <v>10.84500026702881</v>
      </c>
      <c r="E285">
        <v>8.1099996566772461</v>
      </c>
      <c r="F285">
        <v>8.4300003051757813</v>
      </c>
      <c r="G285">
        <v>12235088</v>
      </c>
      <c r="H285">
        <v>8.280919075012207</v>
      </c>
      <c r="I285" t="s">
        <v>654</v>
      </c>
      <c r="J285" s="22">
        <v>45550</v>
      </c>
      <c r="K285">
        <v>0</v>
      </c>
      <c r="M285">
        <v>-2.2102088928222661</v>
      </c>
      <c r="N285">
        <v>-0.2106741512834599</v>
      </c>
      <c r="O285">
        <v>-2.3299999237060551</v>
      </c>
      <c r="P285">
        <v>8.5000038146972656E-2</v>
      </c>
      <c r="Q285" t="s">
        <v>584</v>
      </c>
      <c r="R285">
        <v>2023</v>
      </c>
    </row>
    <row r="286" spans="1:18" hidden="1" x14ac:dyDescent="0.35">
      <c r="A286" t="s">
        <v>655</v>
      </c>
      <c r="B286" s="22">
        <v>45231</v>
      </c>
      <c r="C286">
        <v>8.4700002670288086</v>
      </c>
      <c r="D286">
        <v>10.069999694824221</v>
      </c>
      <c r="E286">
        <v>8.2799997329711914</v>
      </c>
      <c r="F286">
        <v>9.1899995803833008</v>
      </c>
      <c r="G286">
        <v>9377409</v>
      </c>
      <c r="H286">
        <v>9.0274772644042969</v>
      </c>
      <c r="I286" t="s">
        <v>654</v>
      </c>
      <c r="J286" s="22">
        <v>45550</v>
      </c>
      <c r="K286">
        <v>0.05</v>
      </c>
      <c r="M286">
        <v>0.74655818939208984</v>
      </c>
      <c r="N286">
        <v>9.0154121909213014E-2</v>
      </c>
      <c r="O286">
        <v>0.71999931335449219</v>
      </c>
      <c r="P286">
        <v>1.5999994277954099</v>
      </c>
      <c r="Q286" t="s">
        <v>582</v>
      </c>
      <c r="R286">
        <v>2023</v>
      </c>
    </row>
    <row r="287" spans="1:18" hidden="1" x14ac:dyDescent="0.35">
      <c r="A287" t="s">
        <v>655</v>
      </c>
      <c r="B287" s="22">
        <v>45261</v>
      </c>
      <c r="C287">
        <v>9.1899995803833008</v>
      </c>
      <c r="D287">
        <v>12.715000152587891</v>
      </c>
      <c r="E287">
        <v>9.0500001907348633</v>
      </c>
      <c r="F287">
        <v>12.39000034332275</v>
      </c>
      <c r="G287">
        <v>13558693</v>
      </c>
      <c r="H287">
        <v>12.23292064666748</v>
      </c>
      <c r="I287" t="s">
        <v>654</v>
      </c>
      <c r="J287" s="22">
        <v>45550</v>
      </c>
      <c r="K287">
        <v>0</v>
      </c>
      <c r="M287">
        <v>3.205443382263184</v>
      </c>
      <c r="N287">
        <v>0.34820466910249692</v>
      </c>
      <c r="O287">
        <v>3.2000007629394531</v>
      </c>
      <c r="P287">
        <v>3.5250005722045898</v>
      </c>
      <c r="Q287" t="s">
        <v>585</v>
      </c>
      <c r="R287">
        <v>2023</v>
      </c>
    </row>
    <row r="288" spans="1:18" hidden="1" x14ac:dyDescent="0.35">
      <c r="A288" t="s">
        <v>657</v>
      </c>
      <c r="B288" s="22">
        <v>44197</v>
      </c>
      <c r="C288">
        <v>18.930000305175781</v>
      </c>
      <c r="D288">
        <v>19.360000610351559</v>
      </c>
      <c r="E288">
        <v>14.460000038146971</v>
      </c>
      <c r="F288">
        <v>15.19999980926514</v>
      </c>
      <c r="G288">
        <v>2536800</v>
      </c>
      <c r="H288">
        <v>15.19999980926514</v>
      </c>
      <c r="I288" t="s">
        <v>656</v>
      </c>
      <c r="J288" s="22">
        <v>45550</v>
      </c>
      <c r="O288">
        <v>-3.730000495910645</v>
      </c>
      <c r="P288">
        <v>0.43000030517578119</v>
      </c>
      <c r="Q288" t="s">
        <v>585</v>
      </c>
      <c r="R288">
        <v>2021</v>
      </c>
    </row>
    <row r="289" spans="1:18" hidden="1" x14ac:dyDescent="0.35">
      <c r="A289" t="s">
        <v>657</v>
      </c>
      <c r="B289" s="22">
        <v>44228</v>
      </c>
      <c r="C289">
        <v>15.289999961853029</v>
      </c>
      <c r="D289">
        <v>45</v>
      </c>
      <c r="E289">
        <v>14.329999923706049</v>
      </c>
      <c r="F289">
        <v>32.869998931884773</v>
      </c>
      <c r="G289">
        <v>52218500</v>
      </c>
      <c r="H289">
        <v>32.869998931884773</v>
      </c>
      <c r="I289" t="s">
        <v>656</v>
      </c>
      <c r="J289" s="22">
        <v>45550</v>
      </c>
      <c r="M289">
        <v>17.669999122619629</v>
      </c>
      <c r="N289">
        <v>1.1624999568650589</v>
      </c>
      <c r="O289">
        <v>17.579998970031738</v>
      </c>
      <c r="P289">
        <v>29.710000038146969</v>
      </c>
      <c r="Q289" t="s">
        <v>586</v>
      </c>
      <c r="R289">
        <v>2021</v>
      </c>
    </row>
    <row r="290" spans="1:18" hidden="1" x14ac:dyDescent="0.35">
      <c r="A290" t="s">
        <v>657</v>
      </c>
      <c r="B290" s="22">
        <v>44256</v>
      </c>
      <c r="C290">
        <v>33.509998321533203</v>
      </c>
      <c r="D290">
        <v>36.209999084472663</v>
      </c>
      <c r="E290">
        <v>25.25</v>
      </c>
      <c r="F290">
        <v>25.690000534057621</v>
      </c>
      <c r="G290">
        <v>9972800</v>
      </c>
      <c r="H290">
        <v>25.690000534057621</v>
      </c>
      <c r="I290" t="s">
        <v>656</v>
      </c>
      <c r="J290" s="22">
        <v>45550</v>
      </c>
      <c r="M290">
        <v>-7.1799983978271484</v>
      </c>
      <c r="N290">
        <v>-0.2184362224259874</v>
      </c>
      <c r="O290">
        <v>-7.8199977874755859</v>
      </c>
      <c r="P290">
        <v>2.7000007629394531</v>
      </c>
      <c r="Q290" t="s">
        <v>586</v>
      </c>
      <c r="R290">
        <v>2021</v>
      </c>
    </row>
    <row r="291" spans="1:18" hidden="1" x14ac:dyDescent="0.35">
      <c r="A291" t="s">
        <v>657</v>
      </c>
      <c r="B291" s="22">
        <v>44287</v>
      </c>
      <c r="C291">
        <v>25.89999961853027</v>
      </c>
      <c r="D291">
        <v>28.639999389648441</v>
      </c>
      <c r="E291">
        <v>20.379999160766602</v>
      </c>
      <c r="F291">
        <v>24.969999313354489</v>
      </c>
      <c r="G291">
        <v>8604300</v>
      </c>
      <c r="H291">
        <v>24.969999313354489</v>
      </c>
      <c r="I291" t="s">
        <v>656</v>
      </c>
      <c r="J291" s="22">
        <v>45550</v>
      </c>
      <c r="M291">
        <v>-0.720001220703125</v>
      </c>
      <c r="N291">
        <v>-2.802651637739784E-2</v>
      </c>
      <c r="O291">
        <v>-0.93000030517578125</v>
      </c>
      <c r="P291">
        <v>2.7399997711181641</v>
      </c>
      <c r="Q291" t="s">
        <v>588</v>
      </c>
      <c r="R291">
        <v>2021</v>
      </c>
    </row>
    <row r="292" spans="1:18" hidden="1" x14ac:dyDescent="0.35">
      <c r="A292" t="s">
        <v>657</v>
      </c>
      <c r="B292" s="22">
        <v>44317</v>
      </c>
      <c r="C292">
        <v>24.739999771118161</v>
      </c>
      <c r="D292">
        <v>28.14999961853027</v>
      </c>
      <c r="E292">
        <v>23.70000076293945</v>
      </c>
      <c r="F292">
        <v>27</v>
      </c>
      <c r="G292">
        <v>4514800</v>
      </c>
      <c r="H292">
        <v>27</v>
      </c>
      <c r="I292" t="s">
        <v>656</v>
      </c>
      <c r="J292" s="22">
        <v>45550</v>
      </c>
      <c r="M292">
        <v>2.0300006866455078</v>
      </c>
      <c r="N292">
        <v>8.1297586802888677E-2</v>
      </c>
      <c r="O292">
        <v>2.2600002288818359</v>
      </c>
      <c r="P292">
        <v>3.4099998474121089</v>
      </c>
      <c r="Q292" t="s">
        <v>583</v>
      </c>
      <c r="R292">
        <v>2021</v>
      </c>
    </row>
    <row r="293" spans="1:18" hidden="1" x14ac:dyDescent="0.35">
      <c r="A293" t="s">
        <v>657</v>
      </c>
      <c r="B293" s="22">
        <v>44348</v>
      </c>
      <c r="C293">
        <v>26.930000305175781</v>
      </c>
      <c r="D293">
        <v>30.70000076293945</v>
      </c>
      <c r="E293">
        <v>23.5</v>
      </c>
      <c r="F293">
        <v>23.95999908447266</v>
      </c>
      <c r="G293">
        <v>6436200</v>
      </c>
      <c r="H293">
        <v>23.95999908447266</v>
      </c>
      <c r="I293" t="s">
        <v>656</v>
      </c>
      <c r="J293" s="22">
        <v>45550</v>
      </c>
      <c r="M293">
        <v>-3.0400009155273442</v>
      </c>
      <c r="N293">
        <v>-0.1125926265010128</v>
      </c>
      <c r="O293">
        <v>-2.970001220703125</v>
      </c>
      <c r="P293">
        <v>3.7700004577636719</v>
      </c>
      <c r="Q293" t="s">
        <v>587</v>
      </c>
      <c r="R293">
        <v>2021</v>
      </c>
    </row>
    <row r="294" spans="1:18" hidden="1" x14ac:dyDescent="0.35">
      <c r="A294" t="s">
        <v>657</v>
      </c>
      <c r="B294" s="22">
        <v>44378</v>
      </c>
      <c r="C294">
        <v>23.809999465942379</v>
      </c>
      <c r="D294">
        <v>24.79999923706055</v>
      </c>
      <c r="E294">
        <v>19.989999771118161</v>
      </c>
      <c r="F294">
        <v>20.139999389648441</v>
      </c>
      <c r="G294">
        <v>4219000</v>
      </c>
      <c r="H294">
        <v>20.139999389648441</v>
      </c>
      <c r="I294" t="s">
        <v>656</v>
      </c>
      <c r="J294" s="22">
        <v>45550</v>
      </c>
      <c r="M294">
        <v>-3.8199996948242192</v>
      </c>
      <c r="N294">
        <v>-0.15943238066731741</v>
      </c>
      <c r="O294">
        <v>-3.6700000762939449</v>
      </c>
      <c r="P294">
        <v>0.98999977111816406</v>
      </c>
      <c r="Q294" t="s">
        <v>588</v>
      </c>
      <c r="R294">
        <v>2021</v>
      </c>
    </row>
    <row r="295" spans="1:18" hidden="1" x14ac:dyDescent="0.35">
      <c r="A295" t="s">
        <v>657</v>
      </c>
      <c r="B295" s="22">
        <v>44409</v>
      </c>
      <c r="C295">
        <v>20.360000610351559</v>
      </c>
      <c r="D295">
        <v>21.430000305175781</v>
      </c>
      <c r="E295">
        <v>17.469999313354489</v>
      </c>
      <c r="F295">
        <v>20.440000534057621</v>
      </c>
      <c r="G295">
        <v>2655000</v>
      </c>
      <c r="H295">
        <v>20.440000534057621</v>
      </c>
      <c r="I295" t="s">
        <v>656</v>
      </c>
      <c r="J295" s="22">
        <v>45550</v>
      </c>
      <c r="M295">
        <v>0.30000114440917969</v>
      </c>
      <c r="N295">
        <v>1.489578716488804E-2</v>
      </c>
      <c r="O295">
        <v>7.9999923706054688E-2</v>
      </c>
      <c r="P295">
        <v>1.069999694824219</v>
      </c>
      <c r="Q295" t="s">
        <v>584</v>
      </c>
      <c r="R295">
        <v>2021</v>
      </c>
    </row>
    <row r="296" spans="1:18" hidden="1" x14ac:dyDescent="0.35">
      <c r="A296" t="s">
        <v>657</v>
      </c>
      <c r="B296" s="22">
        <v>44440</v>
      </c>
      <c r="C296">
        <v>20.5</v>
      </c>
      <c r="D296">
        <v>21.764999389648441</v>
      </c>
      <c r="E296">
        <v>16.860000610351559</v>
      </c>
      <c r="F296">
        <v>17.45000076293945</v>
      </c>
      <c r="G296">
        <v>4791400</v>
      </c>
      <c r="H296">
        <v>17.45000076293945</v>
      </c>
      <c r="I296" t="s">
        <v>656</v>
      </c>
      <c r="J296" s="22">
        <v>45550</v>
      </c>
      <c r="M296">
        <v>-2.9899997711181641</v>
      </c>
      <c r="N296">
        <v>-0.1462817853715882</v>
      </c>
      <c r="O296">
        <v>-3.0499992370605469</v>
      </c>
      <c r="P296">
        <v>1.2649993896484379</v>
      </c>
      <c r="Q296" t="s">
        <v>582</v>
      </c>
      <c r="R296">
        <v>2021</v>
      </c>
    </row>
    <row r="297" spans="1:18" hidden="1" x14ac:dyDescent="0.35">
      <c r="A297" t="s">
        <v>657</v>
      </c>
      <c r="B297" s="22">
        <v>44470</v>
      </c>
      <c r="C297">
        <v>17.469999313354489</v>
      </c>
      <c r="D297">
        <v>18.530000686645511</v>
      </c>
      <c r="E297">
        <v>15.805000305175779</v>
      </c>
      <c r="F297">
        <v>17.979999542236332</v>
      </c>
      <c r="G297">
        <v>4482600</v>
      </c>
      <c r="H297">
        <v>17.979999542236332</v>
      </c>
      <c r="I297" t="s">
        <v>656</v>
      </c>
      <c r="J297" s="22">
        <v>45550</v>
      </c>
      <c r="M297">
        <v>0.529998779296875</v>
      </c>
      <c r="N297">
        <v>3.0372421554415881E-2</v>
      </c>
      <c r="O297">
        <v>0.51000022888183594</v>
      </c>
      <c r="P297">
        <v>1.0600013732910161</v>
      </c>
      <c r="Q297" t="s">
        <v>585</v>
      </c>
      <c r="R297">
        <v>2021</v>
      </c>
    </row>
    <row r="298" spans="1:18" hidden="1" x14ac:dyDescent="0.35">
      <c r="A298" t="s">
        <v>657</v>
      </c>
      <c r="B298" s="22">
        <v>44501</v>
      </c>
      <c r="C298">
        <v>18.10000038146973</v>
      </c>
      <c r="D298">
        <v>18.45000076293945</v>
      </c>
      <c r="E298">
        <v>14.27000045776367</v>
      </c>
      <c r="F298">
        <v>14.5</v>
      </c>
      <c r="G298">
        <v>3236700</v>
      </c>
      <c r="H298">
        <v>14.5</v>
      </c>
      <c r="I298" t="s">
        <v>656</v>
      </c>
      <c r="J298" s="22">
        <v>45550</v>
      </c>
      <c r="M298">
        <v>-3.4799995422363281</v>
      </c>
      <c r="N298">
        <v>-0.19354836656483529</v>
      </c>
      <c r="O298">
        <v>-3.600000381469727</v>
      </c>
      <c r="P298">
        <v>0.35000038146972662</v>
      </c>
      <c r="Q298" t="s">
        <v>586</v>
      </c>
      <c r="R298">
        <v>2021</v>
      </c>
    </row>
    <row r="299" spans="1:18" hidden="1" x14ac:dyDescent="0.35">
      <c r="A299" t="s">
        <v>657</v>
      </c>
      <c r="B299" s="22">
        <v>44531</v>
      </c>
      <c r="C299">
        <v>14.85999965667725</v>
      </c>
      <c r="D299">
        <v>14.960000038146971</v>
      </c>
      <c r="E299">
        <v>11.989999771118161</v>
      </c>
      <c r="F299">
        <v>13.22999954223633</v>
      </c>
      <c r="G299">
        <v>5619400</v>
      </c>
      <c r="H299">
        <v>13.22999954223633</v>
      </c>
      <c r="I299" t="s">
        <v>656</v>
      </c>
      <c r="J299" s="22">
        <v>45550</v>
      </c>
      <c r="M299">
        <v>-1.2700004577636721</v>
      </c>
      <c r="N299">
        <v>-8.7586238466460076E-2</v>
      </c>
      <c r="O299">
        <v>-1.630000114440918</v>
      </c>
      <c r="P299">
        <v>0.1000003814697266</v>
      </c>
      <c r="Q299" t="s">
        <v>582</v>
      </c>
      <c r="R299">
        <v>2021</v>
      </c>
    </row>
    <row r="300" spans="1:18" hidden="1" x14ac:dyDescent="0.35">
      <c r="A300" t="s">
        <v>657</v>
      </c>
      <c r="B300" s="22">
        <v>44562</v>
      </c>
      <c r="C300">
        <v>13.27000045776367</v>
      </c>
      <c r="D300">
        <v>14.185000419616699</v>
      </c>
      <c r="E300">
        <v>10.789999961853029</v>
      </c>
      <c r="F300">
        <v>12.61999988555908</v>
      </c>
      <c r="G300">
        <v>4130300</v>
      </c>
      <c r="H300">
        <v>12.61999988555908</v>
      </c>
      <c r="I300" t="s">
        <v>656</v>
      </c>
      <c r="J300" s="22">
        <v>45550</v>
      </c>
      <c r="M300">
        <v>-0.60999965667724609</v>
      </c>
      <c r="N300">
        <v>-4.6107307466628611E-2</v>
      </c>
      <c r="O300">
        <v>-0.65000057220458984</v>
      </c>
      <c r="P300">
        <v>0.91499996185302734</v>
      </c>
      <c r="Q300" t="s">
        <v>583</v>
      </c>
      <c r="R300">
        <v>2022</v>
      </c>
    </row>
    <row r="301" spans="1:18" hidden="1" x14ac:dyDescent="0.35">
      <c r="A301" t="s">
        <v>657</v>
      </c>
      <c r="B301" s="22">
        <v>44593</v>
      </c>
      <c r="C301">
        <v>12.64999961853027</v>
      </c>
      <c r="D301">
        <v>16.60000038146973</v>
      </c>
      <c r="E301">
        <v>12.260000228881839</v>
      </c>
      <c r="F301">
        <v>16.04999923706055</v>
      </c>
      <c r="G301">
        <v>4077200</v>
      </c>
      <c r="H301">
        <v>16.04999923706055</v>
      </c>
      <c r="I301" t="s">
        <v>656</v>
      </c>
      <c r="J301" s="22">
        <v>45550</v>
      </c>
      <c r="M301">
        <v>3.4299993515014648</v>
      </c>
      <c r="N301">
        <v>0.27179075931897367</v>
      </c>
      <c r="O301">
        <v>3.399999618530273</v>
      </c>
      <c r="P301">
        <v>3.9500007629394531</v>
      </c>
      <c r="Q301" t="s">
        <v>587</v>
      </c>
      <c r="R301">
        <v>2022</v>
      </c>
    </row>
    <row r="302" spans="1:18" hidden="1" x14ac:dyDescent="0.35">
      <c r="A302" t="s">
        <v>657</v>
      </c>
      <c r="B302" s="22">
        <v>44621</v>
      </c>
      <c r="C302">
        <v>15.94999980926514</v>
      </c>
      <c r="D302">
        <v>17.344999313354489</v>
      </c>
      <c r="E302">
        <v>13.819999694824221</v>
      </c>
      <c r="F302">
        <v>14.739999771118161</v>
      </c>
      <c r="G302">
        <v>3786000</v>
      </c>
      <c r="H302">
        <v>14.739999771118161</v>
      </c>
      <c r="I302" t="s">
        <v>656</v>
      </c>
      <c r="J302" s="22">
        <v>45550</v>
      </c>
      <c r="M302">
        <v>-1.309999465942383</v>
      </c>
      <c r="N302">
        <v>-8.1619908299902288E-2</v>
      </c>
      <c r="O302">
        <v>-1.2100000381469731</v>
      </c>
      <c r="P302">
        <v>1.394999504089355</v>
      </c>
      <c r="Q302" t="s">
        <v>587</v>
      </c>
      <c r="R302">
        <v>2022</v>
      </c>
    </row>
    <row r="303" spans="1:18" hidden="1" x14ac:dyDescent="0.35">
      <c r="A303" t="s">
        <v>657</v>
      </c>
      <c r="B303" s="22">
        <v>44652</v>
      </c>
      <c r="C303">
        <v>14.819999694824221</v>
      </c>
      <c r="D303">
        <v>15.590000152587891</v>
      </c>
      <c r="E303">
        <v>12.14999961853027</v>
      </c>
      <c r="F303">
        <v>12.72999954223633</v>
      </c>
      <c r="G303">
        <v>4428100</v>
      </c>
      <c r="H303">
        <v>12.72999954223633</v>
      </c>
      <c r="I303" t="s">
        <v>656</v>
      </c>
      <c r="J303" s="22">
        <v>45550</v>
      </c>
      <c r="M303">
        <v>-2.0100002288818359</v>
      </c>
      <c r="N303">
        <v>-0.13636365400902309</v>
      </c>
      <c r="O303">
        <v>-2.0900001525878911</v>
      </c>
      <c r="P303">
        <v>0.77000045776367188</v>
      </c>
      <c r="Q303" t="s">
        <v>585</v>
      </c>
      <c r="R303">
        <v>2022</v>
      </c>
    </row>
    <row r="304" spans="1:18" hidden="1" x14ac:dyDescent="0.35">
      <c r="A304" t="s">
        <v>657</v>
      </c>
      <c r="B304" s="22">
        <v>44682</v>
      </c>
      <c r="C304">
        <v>12.689999580383301</v>
      </c>
      <c r="D304">
        <v>13.86999988555908</v>
      </c>
      <c r="E304">
        <v>8.4799995422363281</v>
      </c>
      <c r="F304">
        <v>8.8900003433227539</v>
      </c>
      <c r="G304">
        <v>8540600</v>
      </c>
      <c r="H304">
        <v>8.8900003433227539</v>
      </c>
      <c r="I304" t="s">
        <v>656</v>
      </c>
      <c r="J304" s="22">
        <v>45550</v>
      </c>
      <c r="M304">
        <v>-3.8399991989135742</v>
      </c>
      <c r="N304">
        <v>-0.30164959442245087</v>
      </c>
      <c r="O304">
        <v>-3.7999992370605469</v>
      </c>
      <c r="P304">
        <v>1.180000305175781</v>
      </c>
      <c r="Q304" t="s">
        <v>584</v>
      </c>
      <c r="R304">
        <v>2022</v>
      </c>
    </row>
    <row r="305" spans="1:18" hidden="1" x14ac:dyDescent="0.35">
      <c r="A305" t="s">
        <v>657</v>
      </c>
      <c r="B305" s="22">
        <v>44713</v>
      </c>
      <c r="C305">
        <v>8.9600000381469727</v>
      </c>
      <c r="D305">
        <v>10.579999923706049</v>
      </c>
      <c r="E305">
        <v>8</v>
      </c>
      <c r="F305">
        <v>9.8400001525878906</v>
      </c>
      <c r="G305">
        <v>8361700</v>
      </c>
      <c r="H305">
        <v>9.8400001525878906</v>
      </c>
      <c r="I305" t="s">
        <v>656</v>
      </c>
      <c r="J305" s="22">
        <v>45550</v>
      </c>
      <c r="M305">
        <v>0.94999980926513672</v>
      </c>
      <c r="N305">
        <v>0.10686161671283601</v>
      </c>
      <c r="O305">
        <v>0.88000011444091797</v>
      </c>
      <c r="P305">
        <v>1.619999885559082</v>
      </c>
      <c r="Q305" t="s">
        <v>582</v>
      </c>
      <c r="R305">
        <v>2022</v>
      </c>
    </row>
    <row r="306" spans="1:18" hidden="1" x14ac:dyDescent="0.35">
      <c r="A306" t="s">
        <v>657</v>
      </c>
      <c r="B306" s="22">
        <v>44743</v>
      </c>
      <c r="C306">
        <v>9.8199996948242188</v>
      </c>
      <c r="D306">
        <v>13.710000038146971</v>
      </c>
      <c r="E306">
        <v>9.494999885559082</v>
      </c>
      <c r="F306">
        <v>12.35000038146973</v>
      </c>
      <c r="G306">
        <v>3238300</v>
      </c>
      <c r="H306">
        <v>12.35000038146973</v>
      </c>
      <c r="I306" t="s">
        <v>656</v>
      </c>
      <c r="J306" s="22">
        <v>45550</v>
      </c>
      <c r="M306">
        <v>2.5100002288818359</v>
      </c>
      <c r="N306">
        <v>0.25508132011783702</v>
      </c>
      <c r="O306">
        <v>2.5300006866455078</v>
      </c>
      <c r="P306">
        <v>3.8900003433227539</v>
      </c>
      <c r="Q306" t="s">
        <v>585</v>
      </c>
      <c r="R306">
        <v>2022</v>
      </c>
    </row>
    <row r="307" spans="1:18" hidden="1" x14ac:dyDescent="0.35">
      <c r="A307" t="s">
        <v>657</v>
      </c>
      <c r="B307" s="22">
        <v>44774</v>
      </c>
      <c r="C307">
        <v>12.19999980926514</v>
      </c>
      <c r="D307">
        <v>17</v>
      </c>
      <c r="E307">
        <v>11.944999694824221</v>
      </c>
      <c r="F307">
        <v>16.469999313354489</v>
      </c>
      <c r="G307">
        <v>4419100</v>
      </c>
      <c r="H307">
        <v>16.469999313354489</v>
      </c>
      <c r="I307" t="s">
        <v>656</v>
      </c>
      <c r="J307" s="22">
        <v>45550</v>
      </c>
      <c r="M307">
        <v>4.1199989318847656</v>
      </c>
      <c r="N307">
        <v>0.33360314207492042</v>
      </c>
      <c r="O307">
        <v>4.2699995040893546</v>
      </c>
      <c r="P307">
        <v>4.8000001907348633</v>
      </c>
      <c r="Q307" t="s">
        <v>586</v>
      </c>
      <c r="R307">
        <v>2022</v>
      </c>
    </row>
    <row r="308" spans="1:18" hidden="1" x14ac:dyDescent="0.35">
      <c r="A308" t="s">
        <v>657</v>
      </c>
      <c r="B308" s="22">
        <v>44805</v>
      </c>
      <c r="C308">
        <v>16.39999961853027</v>
      </c>
      <c r="D308">
        <v>17.059999465942379</v>
      </c>
      <c r="E308">
        <v>13.079999923706049</v>
      </c>
      <c r="F308">
        <v>14.510000228881839</v>
      </c>
      <c r="G308">
        <v>3403600</v>
      </c>
      <c r="H308">
        <v>14.510000228881839</v>
      </c>
      <c r="I308" t="s">
        <v>656</v>
      </c>
      <c r="J308" s="22">
        <v>45550</v>
      </c>
      <c r="M308">
        <v>-1.959999084472656</v>
      </c>
      <c r="N308">
        <v>-0.11900419952558321</v>
      </c>
      <c r="O308">
        <v>-1.8899993896484379</v>
      </c>
      <c r="P308">
        <v>0.65999984741210938</v>
      </c>
      <c r="Q308" t="s">
        <v>588</v>
      </c>
      <c r="R308">
        <v>2022</v>
      </c>
    </row>
    <row r="309" spans="1:18" hidden="1" x14ac:dyDescent="0.35">
      <c r="A309" t="s">
        <v>657</v>
      </c>
      <c r="B309" s="22">
        <v>44835</v>
      </c>
      <c r="C309">
        <v>14.72999954223633</v>
      </c>
      <c r="D309">
        <v>14.72999954223633</v>
      </c>
      <c r="E309">
        <v>4.119999885559082</v>
      </c>
      <c r="F309">
        <v>5.070000171661377</v>
      </c>
      <c r="G309">
        <v>17565200</v>
      </c>
      <c r="H309">
        <v>5.070000171661377</v>
      </c>
      <c r="I309" t="s">
        <v>656</v>
      </c>
      <c r="J309" s="22">
        <v>45550</v>
      </c>
      <c r="M309">
        <v>-9.440000057220459</v>
      </c>
      <c r="N309">
        <v>-0.65058579657568494</v>
      </c>
      <c r="O309">
        <v>-9.6599993705749512</v>
      </c>
      <c r="P309">
        <v>0</v>
      </c>
      <c r="Q309" t="s">
        <v>583</v>
      </c>
      <c r="R309">
        <v>2022</v>
      </c>
    </row>
    <row r="310" spans="1:18" hidden="1" x14ac:dyDescent="0.35">
      <c r="A310" t="s">
        <v>657</v>
      </c>
      <c r="B310" s="22">
        <v>44866</v>
      </c>
      <c r="C310">
        <v>5.070000171661377</v>
      </c>
      <c r="D310">
        <v>5.8499999046325684</v>
      </c>
      <c r="E310">
        <v>4.75</v>
      </c>
      <c r="F310">
        <v>5.3899998664855957</v>
      </c>
      <c r="G310">
        <v>5025100</v>
      </c>
      <c r="H310">
        <v>5.3899998664855957</v>
      </c>
      <c r="I310" t="s">
        <v>656</v>
      </c>
      <c r="J310" s="22">
        <v>45550</v>
      </c>
      <c r="M310">
        <v>0.31999969482421881</v>
      </c>
      <c r="N310">
        <v>6.311630847920835E-2</v>
      </c>
      <c r="O310">
        <v>0.31999969482421881</v>
      </c>
      <c r="P310">
        <v>0.77999973297119141</v>
      </c>
      <c r="Q310" t="s">
        <v>587</v>
      </c>
      <c r="R310">
        <v>2022</v>
      </c>
    </row>
    <row r="311" spans="1:18" hidden="1" x14ac:dyDescent="0.35">
      <c r="A311" t="s">
        <v>657</v>
      </c>
      <c r="B311" s="22">
        <v>44896</v>
      </c>
      <c r="C311">
        <v>5.380000114440918</v>
      </c>
      <c r="D311">
        <v>6.8899998664855957</v>
      </c>
      <c r="E311">
        <v>5</v>
      </c>
      <c r="F311">
        <v>6.7600002288818359</v>
      </c>
      <c r="G311">
        <v>6201400</v>
      </c>
      <c r="H311">
        <v>6.7600002288818359</v>
      </c>
      <c r="I311" t="s">
        <v>656</v>
      </c>
      <c r="J311" s="22">
        <v>45550</v>
      </c>
      <c r="M311">
        <v>1.37000036239624</v>
      </c>
      <c r="N311">
        <v>0.25417447056255899</v>
      </c>
      <c r="O311">
        <v>1.380000114440918</v>
      </c>
      <c r="P311">
        <v>1.509999752044678</v>
      </c>
      <c r="Q311" t="s">
        <v>588</v>
      </c>
      <c r="R311">
        <v>2022</v>
      </c>
    </row>
    <row r="312" spans="1:18" hidden="1" x14ac:dyDescent="0.35">
      <c r="A312" t="s">
        <v>657</v>
      </c>
      <c r="B312" s="22">
        <v>44927</v>
      </c>
      <c r="C312">
        <v>6.6399998664855957</v>
      </c>
      <c r="D312">
        <v>8.5399999618530273</v>
      </c>
      <c r="E312">
        <v>6.1999998092651367</v>
      </c>
      <c r="F312">
        <v>7.9600000381469727</v>
      </c>
      <c r="G312">
        <v>8382300</v>
      </c>
      <c r="H312">
        <v>7.9600000381469727</v>
      </c>
      <c r="I312" t="s">
        <v>656</v>
      </c>
      <c r="J312" s="22">
        <v>45550</v>
      </c>
      <c r="M312">
        <v>1.1999998092651369</v>
      </c>
      <c r="N312">
        <v>0.177514758673851</v>
      </c>
      <c r="O312">
        <v>1.320000171661377</v>
      </c>
      <c r="P312">
        <v>1.9000000953674321</v>
      </c>
      <c r="Q312" t="s">
        <v>584</v>
      </c>
      <c r="R312">
        <v>2023</v>
      </c>
    </row>
    <row r="313" spans="1:18" hidden="1" x14ac:dyDescent="0.35">
      <c r="A313" t="s">
        <v>657</v>
      </c>
      <c r="B313" s="22">
        <v>44958</v>
      </c>
      <c r="C313">
        <v>7.9499998092651367</v>
      </c>
      <c r="D313">
        <v>8.5399999618530273</v>
      </c>
      <c r="E313">
        <v>7.0100002288818359</v>
      </c>
      <c r="F313">
        <v>7.3299999237060547</v>
      </c>
      <c r="G313">
        <v>6311200</v>
      </c>
      <c r="H313">
        <v>7.3299999237060547</v>
      </c>
      <c r="I313" t="s">
        <v>656</v>
      </c>
      <c r="J313" s="22">
        <v>45550</v>
      </c>
      <c r="M313">
        <v>-0.63000011444091797</v>
      </c>
      <c r="N313">
        <v>-7.9145742640923E-2</v>
      </c>
      <c r="O313">
        <v>-0.61999988555908203</v>
      </c>
      <c r="P313">
        <v>0.59000015258789063</v>
      </c>
      <c r="Q313" t="s">
        <v>582</v>
      </c>
      <c r="R313">
        <v>2023</v>
      </c>
    </row>
    <row r="314" spans="1:18" hidden="1" x14ac:dyDescent="0.35">
      <c r="A314" t="s">
        <v>657</v>
      </c>
      <c r="B314" s="22">
        <v>44986</v>
      </c>
      <c r="C314">
        <v>7.380000114440918</v>
      </c>
      <c r="D314">
        <v>8.3100004196166992</v>
      </c>
      <c r="E314">
        <v>6.255000114440918</v>
      </c>
      <c r="F314">
        <v>7.8600001335144043</v>
      </c>
      <c r="G314">
        <v>6764800</v>
      </c>
      <c r="H314">
        <v>7.8600001335144043</v>
      </c>
      <c r="I314" t="s">
        <v>656</v>
      </c>
      <c r="J314" s="22">
        <v>45550</v>
      </c>
      <c r="M314">
        <v>0.53000020980834961</v>
      </c>
      <c r="N314">
        <v>7.2305622827398386E-2</v>
      </c>
      <c r="O314">
        <v>0.48000001907348627</v>
      </c>
      <c r="P314">
        <v>0.93000030517578125</v>
      </c>
      <c r="Q314" t="s">
        <v>582</v>
      </c>
      <c r="R314">
        <v>2023</v>
      </c>
    </row>
    <row r="315" spans="1:18" hidden="1" x14ac:dyDescent="0.35">
      <c r="A315" t="s">
        <v>657</v>
      </c>
      <c r="B315" s="22">
        <v>45017</v>
      </c>
      <c r="C315">
        <v>7.880000114440918</v>
      </c>
      <c r="D315">
        <v>8.6899995803833008</v>
      </c>
      <c r="E315">
        <v>7.5300002098083496</v>
      </c>
      <c r="F315">
        <v>8.5299997329711914</v>
      </c>
      <c r="G315">
        <v>4264800</v>
      </c>
      <c r="H315">
        <v>8.5299997329711914</v>
      </c>
      <c r="I315" t="s">
        <v>656</v>
      </c>
      <c r="J315" s="22">
        <v>45550</v>
      </c>
      <c r="M315">
        <v>0.66999959945678711</v>
      </c>
      <c r="N315">
        <v>8.5241677872238686E-2</v>
      </c>
      <c r="O315">
        <v>0.64999961853027344</v>
      </c>
      <c r="P315">
        <v>0.80999946594238281</v>
      </c>
      <c r="Q315" t="s">
        <v>583</v>
      </c>
      <c r="R315">
        <v>2023</v>
      </c>
    </row>
    <row r="316" spans="1:18" hidden="1" x14ac:dyDescent="0.35">
      <c r="A316" t="s">
        <v>657</v>
      </c>
      <c r="B316" s="22">
        <v>45047</v>
      </c>
      <c r="C316">
        <v>8.5299997329711914</v>
      </c>
      <c r="D316">
        <v>10.94999980926514</v>
      </c>
      <c r="E316">
        <v>8.3900003433227539</v>
      </c>
      <c r="F316">
        <v>9.75</v>
      </c>
      <c r="G316">
        <v>4886200</v>
      </c>
      <c r="H316">
        <v>9.75</v>
      </c>
      <c r="I316" t="s">
        <v>656</v>
      </c>
      <c r="J316" s="22">
        <v>45550</v>
      </c>
      <c r="M316">
        <v>1.220000267028809</v>
      </c>
      <c r="N316">
        <v>0.14302465477379969</v>
      </c>
      <c r="O316">
        <v>1.220000267028809</v>
      </c>
      <c r="P316">
        <v>2.4200000762939449</v>
      </c>
      <c r="Q316" t="s">
        <v>586</v>
      </c>
      <c r="R316">
        <v>2023</v>
      </c>
    </row>
    <row r="317" spans="1:18" hidden="1" x14ac:dyDescent="0.35">
      <c r="A317" t="s">
        <v>657</v>
      </c>
      <c r="B317" s="22">
        <v>45078</v>
      </c>
      <c r="C317">
        <v>9.7299995422363281</v>
      </c>
      <c r="D317">
        <v>10.489999771118161</v>
      </c>
      <c r="E317">
        <v>8.75</v>
      </c>
      <c r="F317">
        <v>9</v>
      </c>
      <c r="G317">
        <v>3855300</v>
      </c>
      <c r="H317">
        <v>9</v>
      </c>
      <c r="I317" t="s">
        <v>656</v>
      </c>
      <c r="J317" s="22">
        <v>45550</v>
      </c>
      <c r="M317">
        <v>-0.75</v>
      </c>
      <c r="N317">
        <v>-7.6923076923076872E-2</v>
      </c>
      <c r="O317">
        <v>-0.72999954223632813</v>
      </c>
      <c r="P317">
        <v>0.76000022888183594</v>
      </c>
      <c r="Q317" t="s">
        <v>588</v>
      </c>
      <c r="R317">
        <v>2023</v>
      </c>
    </row>
    <row r="318" spans="1:18" hidden="1" x14ac:dyDescent="0.35">
      <c r="A318" t="s">
        <v>657</v>
      </c>
      <c r="B318" s="22">
        <v>45108</v>
      </c>
      <c r="C318">
        <v>9</v>
      </c>
      <c r="D318">
        <v>11</v>
      </c>
      <c r="E318">
        <v>8.7600002288818359</v>
      </c>
      <c r="F318">
        <v>10.10000038146973</v>
      </c>
      <c r="G318">
        <v>2753300</v>
      </c>
      <c r="H318">
        <v>10.10000038146973</v>
      </c>
      <c r="I318" t="s">
        <v>656</v>
      </c>
      <c r="J318" s="22">
        <v>45550</v>
      </c>
      <c r="M318">
        <v>1.100000381469727</v>
      </c>
      <c r="N318">
        <v>0.12222226460774729</v>
      </c>
      <c r="O318">
        <v>1.100000381469727</v>
      </c>
      <c r="P318">
        <v>2</v>
      </c>
      <c r="Q318" t="s">
        <v>583</v>
      </c>
      <c r="R318">
        <v>2023</v>
      </c>
    </row>
    <row r="319" spans="1:18" hidden="1" x14ac:dyDescent="0.35">
      <c r="A319" t="s">
        <v>657</v>
      </c>
      <c r="B319" s="22">
        <v>45139</v>
      </c>
      <c r="C319">
        <v>10.329999923706049</v>
      </c>
      <c r="D319">
        <v>11.44999980926514</v>
      </c>
      <c r="E319">
        <v>10</v>
      </c>
      <c r="F319">
        <v>10.85000038146973</v>
      </c>
      <c r="G319">
        <v>5955600</v>
      </c>
      <c r="H319">
        <v>10.85000038146973</v>
      </c>
      <c r="I319" t="s">
        <v>656</v>
      </c>
      <c r="J319" s="22">
        <v>45550</v>
      </c>
      <c r="M319">
        <v>0.75</v>
      </c>
      <c r="N319">
        <v>7.4257422937924922E-2</v>
      </c>
      <c r="O319">
        <v>0.52000045776367188</v>
      </c>
      <c r="P319">
        <v>1.119999885559082</v>
      </c>
      <c r="Q319" t="s">
        <v>587</v>
      </c>
      <c r="R319">
        <v>2023</v>
      </c>
    </row>
    <row r="320" spans="1:18" hidden="1" x14ac:dyDescent="0.35">
      <c r="A320" t="s">
        <v>657</v>
      </c>
      <c r="B320" s="22">
        <v>45170</v>
      </c>
      <c r="C320">
        <v>10.930000305175779</v>
      </c>
      <c r="D320">
        <v>11.25</v>
      </c>
      <c r="E320">
        <v>8.9849996566772461</v>
      </c>
      <c r="F320">
        <v>9.630000114440918</v>
      </c>
      <c r="G320">
        <v>4890200</v>
      </c>
      <c r="H320">
        <v>9.630000114440918</v>
      </c>
      <c r="I320" t="s">
        <v>656</v>
      </c>
      <c r="J320" s="22">
        <v>45550</v>
      </c>
      <c r="M320">
        <v>-1.220000267028809</v>
      </c>
      <c r="N320">
        <v>-0.1124424169710074</v>
      </c>
      <c r="O320">
        <v>-1.3000001907348631</v>
      </c>
      <c r="P320">
        <v>0.31999969482421881</v>
      </c>
      <c r="Q320" t="s">
        <v>585</v>
      </c>
      <c r="R320">
        <v>2023</v>
      </c>
    </row>
    <row r="321" spans="1:18" hidden="1" x14ac:dyDescent="0.35">
      <c r="A321" t="s">
        <v>657</v>
      </c>
      <c r="B321" s="22">
        <v>45200</v>
      </c>
      <c r="C321">
        <v>9.5799999237060547</v>
      </c>
      <c r="D321">
        <v>9.8999996185302734</v>
      </c>
      <c r="E321">
        <v>7.7699999809265137</v>
      </c>
      <c r="F321">
        <v>8.4899997711181641</v>
      </c>
      <c r="G321">
        <v>7309800</v>
      </c>
      <c r="H321">
        <v>8.4899997711181641</v>
      </c>
      <c r="I321" t="s">
        <v>656</v>
      </c>
      <c r="J321" s="22">
        <v>45550</v>
      </c>
      <c r="M321">
        <v>-1.1400003433227539</v>
      </c>
      <c r="N321">
        <v>-0.11838009654986779</v>
      </c>
      <c r="O321">
        <v>-1.0900001525878911</v>
      </c>
      <c r="P321">
        <v>0.31999969482421881</v>
      </c>
      <c r="Q321" t="s">
        <v>584</v>
      </c>
      <c r="R321">
        <v>2023</v>
      </c>
    </row>
    <row r="322" spans="1:18" hidden="1" x14ac:dyDescent="0.35">
      <c r="A322" t="s">
        <v>657</v>
      </c>
      <c r="B322" s="22">
        <v>45231</v>
      </c>
      <c r="C322">
        <v>8.25</v>
      </c>
      <c r="D322">
        <v>9</v>
      </c>
      <c r="E322">
        <v>7.2100000381469727</v>
      </c>
      <c r="F322">
        <v>8.4399995803833008</v>
      </c>
      <c r="G322">
        <v>5923100</v>
      </c>
      <c r="H322">
        <v>8.4399995803833008</v>
      </c>
      <c r="I322" t="s">
        <v>656</v>
      </c>
      <c r="J322" s="22">
        <v>45550</v>
      </c>
      <c r="M322">
        <v>-5.0000190734863281E-2</v>
      </c>
      <c r="N322">
        <v>-5.8893041322518602E-3</v>
      </c>
      <c r="O322">
        <v>0.18999958038330081</v>
      </c>
      <c r="P322">
        <v>0.75</v>
      </c>
      <c r="Q322" t="s">
        <v>582</v>
      </c>
      <c r="R322">
        <v>2023</v>
      </c>
    </row>
    <row r="323" spans="1:18" hidden="1" x14ac:dyDescent="0.35">
      <c r="A323" t="s">
        <v>657</v>
      </c>
      <c r="B323" s="22">
        <v>45261</v>
      </c>
      <c r="C323">
        <v>8.5100002288818359</v>
      </c>
      <c r="D323">
        <v>12.74499988555908</v>
      </c>
      <c r="E323">
        <v>7.3899998664855957</v>
      </c>
      <c r="F323">
        <v>12.25</v>
      </c>
      <c r="G323">
        <v>8127000</v>
      </c>
      <c r="H323">
        <v>12.25</v>
      </c>
      <c r="I323" t="s">
        <v>656</v>
      </c>
      <c r="J323" s="22">
        <v>45550</v>
      </c>
      <c r="M323">
        <v>3.8100004196166992</v>
      </c>
      <c r="N323">
        <v>0.4514218731091062</v>
      </c>
      <c r="O323">
        <v>3.7399997711181641</v>
      </c>
      <c r="P323">
        <v>4.2349996566772461</v>
      </c>
      <c r="Q323" t="s">
        <v>585</v>
      </c>
      <c r="R323">
        <v>2023</v>
      </c>
    </row>
    <row r="324" spans="1:18" hidden="1" x14ac:dyDescent="0.35">
      <c r="A324" t="s">
        <v>659</v>
      </c>
      <c r="B324" s="22">
        <v>43831</v>
      </c>
      <c r="C324">
        <v>37.159999847412109</v>
      </c>
      <c r="D324">
        <v>39.599998474121087</v>
      </c>
      <c r="E324">
        <v>36.259998321533203</v>
      </c>
      <c r="F324">
        <v>37.720001220703118</v>
      </c>
      <c r="G324">
        <v>364600</v>
      </c>
      <c r="H324">
        <v>33.381343841552727</v>
      </c>
      <c r="I324" t="s">
        <v>658</v>
      </c>
      <c r="J324" s="22">
        <v>45550</v>
      </c>
      <c r="K324">
        <v>0</v>
      </c>
      <c r="O324">
        <v>0.56000137329101563</v>
      </c>
      <c r="P324">
        <v>2.4399986267089839</v>
      </c>
      <c r="Q324" t="s">
        <v>582</v>
      </c>
      <c r="R324">
        <v>2020</v>
      </c>
    </row>
    <row r="325" spans="1:18" hidden="1" x14ac:dyDescent="0.35">
      <c r="A325" t="s">
        <v>659</v>
      </c>
      <c r="B325" s="22">
        <v>43862</v>
      </c>
      <c r="C325">
        <v>37.909999847412109</v>
      </c>
      <c r="D325">
        <v>38.630001068115227</v>
      </c>
      <c r="E325">
        <v>34.040000915527337</v>
      </c>
      <c r="F325">
        <v>34.330001831054688</v>
      </c>
      <c r="G325">
        <v>236800</v>
      </c>
      <c r="H325">
        <v>30.381265640258789</v>
      </c>
      <c r="I325" t="s">
        <v>658</v>
      </c>
      <c r="J325" s="22">
        <v>45550</v>
      </c>
      <c r="K325">
        <v>0.25</v>
      </c>
      <c r="M325">
        <v>-3.0000782012939449</v>
      </c>
      <c r="N325">
        <v>-8.9872727463958579E-2</v>
      </c>
      <c r="O325">
        <v>-3.5799980163574219</v>
      </c>
      <c r="P325">
        <v>0.720001220703125</v>
      </c>
      <c r="Q325" t="s">
        <v>583</v>
      </c>
      <c r="R325">
        <v>2020</v>
      </c>
    </row>
    <row r="326" spans="1:18" hidden="1" x14ac:dyDescent="0.35">
      <c r="A326" t="s">
        <v>659</v>
      </c>
      <c r="B326" s="22">
        <v>43891</v>
      </c>
      <c r="C326">
        <v>34.860000610351563</v>
      </c>
      <c r="D326">
        <v>37.5</v>
      </c>
      <c r="E326">
        <v>30.010000228881839</v>
      </c>
      <c r="F326">
        <v>37.380001068115227</v>
      </c>
      <c r="G326">
        <v>730600</v>
      </c>
      <c r="H326">
        <v>33.299293518066413</v>
      </c>
      <c r="I326" t="s">
        <v>658</v>
      </c>
      <c r="J326" s="22">
        <v>45550</v>
      </c>
      <c r="K326">
        <v>0</v>
      </c>
      <c r="M326">
        <v>2.9180278778076172</v>
      </c>
      <c r="N326">
        <v>8.8843550083983258E-2</v>
      </c>
      <c r="O326">
        <v>2.5200004577636719</v>
      </c>
      <c r="P326">
        <v>2.6399993896484379</v>
      </c>
      <c r="Q326" t="s">
        <v>584</v>
      </c>
      <c r="R326">
        <v>2020</v>
      </c>
    </row>
    <row r="327" spans="1:18" hidden="1" x14ac:dyDescent="0.35">
      <c r="A327" t="s">
        <v>659</v>
      </c>
      <c r="B327" s="22">
        <v>43922</v>
      </c>
      <c r="C327">
        <v>36.069999694824219</v>
      </c>
      <c r="D327">
        <v>38.069999694824219</v>
      </c>
      <c r="E327">
        <v>33.849998474121087</v>
      </c>
      <c r="F327">
        <v>34.529998779296882</v>
      </c>
      <c r="G327">
        <v>558700</v>
      </c>
      <c r="H327">
        <v>30.76041412353516</v>
      </c>
      <c r="I327" t="s">
        <v>658</v>
      </c>
      <c r="J327" s="22">
        <v>45550</v>
      </c>
      <c r="K327">
        <v>0</v>
      </c>
      <c r="M327">
        <v>-2.53887939453125</v>
      </c>
      <c r="N327">
        <v>-7.6244039790822282E-2</v>
      </c>
      <c r="O327">
        <v>-1.540000915527344</v>
      </c>
      <c r="P327">
        <v>2</v>
      </c>
      <c r="Q327" t="s">
        <v>582</v>
      </c>
      <c r="R327">
        <v>2020</v>
      </c>
    </row>
    <row r="328" spans="1:18" hidden="1" x14ac:dyDescent="0.35">
      <c r="A328" t="s">
        <v>659</v>
      </c>
      <c r="B328" s="22">
        <v>43952</v>
      </c>
      <c r="C328">
        <v>34.400001525878913</v>
      </c>
      <c r="D328">
        <v>36.509998321533203</v>
      </c>
      <c r="E328">
        <v>31.889999389648441</v>
      </c>
      <c r="F328">
        <v>35.110000610351563</v>
      </c>
      <c r="G328">
        <v>671300</v>
      </c>
      <c r="H328">
        <v>31.277097702026371</v>
      </c>
      <c r="I328" t="s">
        <v>658</v>
      </c>
      <c r="J328" s="22">
        <v>45550</v>
      </c>
      <c r="K328">
        <v>0.25</v>
      </c>
      <c r="M328">
        <v>0.51668357849121094</v>
      </c>
      <c r="N328">
        <v>1.6797041748013001E-2</v>
      </c>
      <c r="O328">
        <v>0.70999908447265625</v>
      </c>
      <c r="P328">
        <v>2.1099967956542969</v>
      </c>
      <c r="Q328" t="s">
        <v>585</v>
      </c>
      <c r="R328">
        <v>2020</v>
      </c>
    </row>
    <row r="329" spans="1:18" hidden="1" x14ac:dyDescent="0.35">
      <c r="A329" t="s">
        <v>659</v>
      </c>
      <c r="B329" s="22">
        <v>43983</v>
      </c>
      <c r="C329">
        <v>35.259998321533203</v>
      </c>
      <c r="D329">
        <v>36.869998931884773</v>
      </c>
      <c r="E329">
        <v>33.369998931884773</v>
      </c>
      <c r="F329">
        <v>36.290000915527337</v>
      </c>
      <c r="G329">
        <v>1339700</v>
      </c>
      <c r="H329">
        <v>32.560787200927727</v>
      </c>
      <c r="I329" t="s">
        <v>658</v>
      </c>
      <c r="J329" s="22">
        <v>45550</v>
      </c>
      <c r="K329">
        <v>0</v>
      </c>
      <c r="M329">
        <v>1.283689498901367</v>
      </c>
      <c r="N329">
        <v>3.3608666609589173E-2</v>
      </c>
      <c r="O329">
        <v>1.0300025939941411</v>
      </c>
      <c r="P329">
        <v>1.6100006103515621</v>
      </c>
      <c r="Q329" t="s">
        <v>586</v>
      </c>
      <c r="R329">
        <v>2020</v>
      </c>
    </row>
    <row r="330" spans="1:18" hidden="1" x14ac:dyDescent="0.35">
      <c r="A330" t="s">
        <v>659</v>
      </c>
      <c r="B330" s="22">
        <v>44013</v>
      </c>
      <c r="C330">
        <v>36.209999084472663</v>
      </c>
      <c r="D330">
        <v>37.25</v>
      </c>
      <c r="E330">
        <v>34.200000762939453</v>
      </c>
      <c r="F330">
        <v>35.080001831054688</v>
      </c>
      <c r="G330">
        <v>640500</v>
      </c>
      <c r="H330">
        <v>31.475137710571289</v>
      </c>
      <c r="I330" t="s">
        <v>658</v>
      </c>
      <c r="J330" s="22">
        <v>45550</v>
      </c>
      <c r="K330">
        <v>0</v>
      </c>
      <c r="M330">
        <v>-1.0856494903564451</v>
      </c>
      <c r="N330">
        <v>-3.3342492530909151E-2</v>
      </c>
      <c r="O330">
        <v>-1.129997253417969</v>
      </c>
      <c r="P330">
        <v>1.040000915527344</v>
      </c>
      <c r="Q330" t="s">
        <v>582</v>
      </c>
      <c r="R330">
        <v>2020</v>
      </c>
    </row>
    <row r="331" spans="1:18" hidden="1" x14ac:dyDescent="0.35">
      <c r="A331" t="s">
        <v>659</v>
      </c>
      <c r="B331" s="22">
        <v>44044</v>
      </c>
      <c r="C331">
        <v>35.25</v>
      </c>
      <c r="D331">
        <v>38.439998626708977</v>
      </c>
      <c r="E331">
        <v>34.819999694824219</v>
      </c>
      <c r="F331">
        <v>35.189998626708977</v>
      </c>
      <c r="G331">
        <v>510600</v>
      </c>
      <c r="H331">
        <v>31.57382774353027</v>
      </c>
      <c r="I331" t="s">
        <v>658</v>
      </c>
      <c r="J331" s="22">
        <v>45550</v>
      </c>
      <c r="K331">
        <v>0.25</v>
      </c>
      <c r="M331">
        <v>9.8690032958984375E-2</v>
      </c>
      <c r="N331">
        <v>3.1355983441518909E-3</v>
      </c>
      <c r="O331">
        <v>-6.0001373291015618E-2</v>
      </c>
      <c r="P331">
        <v>3.1899986267089839</v>
      </c>
      <c r="Q331" t="s">
        <v>583</v>
      </c>
      <c r="R331">
        <v>2020</v>
      </c>
    </row>
    <row r="332" spans="1:18" hidden="1" x14ac:dyDescent="0.35">
      <c r="A332" t="s">
        <v>659</v>
      </c>
      <c r="B332" s="22">
        <v>44075</v>
      </c>
      <c r="C332">
        <v>35.200000762939453</v>
      </c>
      <c r="D332">
        <v>35.590000152587891</v>
      </c>
      <c r="E332">
        <v>33.009998321533203</v>
      </c>
      <c r="F332">
        <v>34.470001220703118</v>
      </c>
      <c r="G332">
        <v>453700</v>
      </c>
      <c r="H332">
        <v>31.146293640136719</v>
      </c>
      <c r="I332" t="s">
        <v>658</v>
      </c>
      <c r="J332" s="22">
        <v>45550</v>
      </c>
      <c r="K332">
        <v>0</v>
      </c>
      <c r="M332">
        <v>-0.42753410339355469</v>
      </c>
      <c r="N332">
        <v>-2.0460285140772472E-2</v>
      </c>
      <c r="O332">
        <v>-0.72999954223632813</v>
      </c>
      <c r="P332">
        <v>0.3899993896484375</v>
      </c>
      <c r="Q332" t="s">
        <v>587</v>
      </c>
      <c r="R332">
        <v>2020</v>
      </c>
    </row>
    <row r="333" spans="1:18" hidden="1" x14ac:dyDescent="0.35">
      <c r="A333" t="s">
        <v>659</v>
      </c>
      <c r="B333" s="22">
        <v>44105</v>
      </c>
      <c r="C333">
        <v>34.689998626708977</v>
      </c>
      <c r="D333">
        <v>38.810001373291023</v>
      </c>
      <c r="E333">
        <v>34.369998931884773</v>
      </c>
      <c r="F333">
        <v>35.229999542236328</v>
      </c>
      <c r="G333">
        <v>657300</v>
      </c>
      <c r="H333">
        <v>31.833015441894531</v>
      </c>
      <c r="I333" t="s">
        <v>658</v>
      </c>
      <c r="J333" s="22">
        <v>45550</v>
      </c>
      <c r="K333">
        <v>0</v>
      </c>
      <c r="M333">
        <v>0.6867218017578125</v>
      </c>
      <c r="N333">
        <v>2.2048108344038479E-2</v>
      </c>
      <c r="O333">
        <v>0.54000091552734375</v>
      </c>
      <c r="P333">
        <v>4.1200027465820313</v>
      </c>
      <c r="Q333" t="s">
        <v>588</v>
      </c>
      <c r="R333">
        <v>2020</v>
      </c>
    </row>
    <row r="334" spans="1:18" hidden="1" x14ac:dyDescent="0.35">
      <c r="A334" t="s">
        <v>659</v>
      </c>
      <c r="B334" s="22">
        <v>44136</v>
      </c>
      <c r="C334">
        <v>35.580001831054688</v>
      </c>
      <c r="D334">
        <v>40.259998321533203</v>
      </c>
      <c r="E334">
        <v>35.099998474121087</v>
      </c>
      <c r="F334">
        <v>36.970001220703118</v>
      </c>
      <c r="G334">
        <v>442400</v>
      </c>
      <c r="H334">
        <v>33.405239105224609</v>
      </c>
      <c r="I334" t="s">
        <v>658</v>
      </c>
      <c r="J334" s="22">
        <v>45550</v>
      </c>
      <c r="K334">
        <v>0.25700000000000001</v>
      </c>
      <c r="M334">
        <v>1.5722236633300779</v>
      </c>
      <c r="N334">
        <v>4.9389772951338173E-2</v>
      </c>
      <c r="O334">
        <v>1.3899993896484379</v>
      </c>
      <c r="P334">
        <v>4.6799964904785156</v>
      </c>
      <c r="Q334" t="s">
        <v>584</v>
      </c>
      <c r="R334">
        <v>2020</v>
      </c>
    </row>
    <row r="335" spans="1:18" hidden="1" x14ac:dyDescent="0.35">
      <c r="A335" t="s">
        <v>659</v>
      </c>
      <c r="B335" s="22">
        <v>44166</v>
      </c>
      <c r="C335">
        <v>37.569999694824219</v>
      </c>
      <c r="D335">
        <v>39.889999389648438</v>
      </c>
      <c r="E335">
        <v>36.310001373291023</v>
      </c>
      <c r="F335">
        <v>37.080001831054688</v>
      </c>
      <c r="G335">
        <v>543300</v>
      </c>
      <c r="H335">
        <v>33.744869232177727</v>
      </c>
      <c r="I335" t="s">
        <v>658</v>
      </c>
      <c r="J335" s="22">
        <v>45550</v>
      </c>
      <c r="K335">
        <v>0</v>
      </c>
      <c r="M335">
        <v>0.339630126953125</v>
      </c>
      <c r="N335">
        <v>2.9754018587904159E-3</v>
      </c>
      <c r="O335">
        <v>-0.48999786376953119</v>
      </c>
      <c r="P335">
        <v>2.3199996948242192</v>
      </c>
      <c r="Q335" t="s">
        <v>587</v>
      </c>
      <c r="R335">
        <v>2020</v>
      </c>
    </row>
    <row r="336" spans="1:18" hidden="1" x14ac:dyDescent="0.35">
      <c r="A336" t="s">
        <v>659</v>
      </c>
      <c r="B336" s="22">
        <v>44197</v>
      </c>
      <c r="C336">
        <v>37.159999847412109</v>
      </c>
      <c r="D336">
        <v>41.450000762939453</v>
      </c>
      <c r="E336">
        <v>36.680000305175781</v>
      </c>
      <c r="F336">
        <v>40.880001068115227</v>
      </c>
      <c r="G336">
        <v>409400</v>
      </c>
      <c r="H336">
        <v>37.203083038330078</v>
      </c>
      <c r="I336" t="s">
        <v>658</v>
      </c>
      <c r="J336" s="22">
        <v>45550</v>
      </c>
      <c r="K336">
        <v>0</v>
      </c>
      <c r="M336">
        <v>3.4582138061523442</v>
      </c>
      <c r="N336">
        <v>0.10248109626246089</v>
      </c>
      <c r="O336">
        <v>3.720001220703125</v>
      </c>
      <c r="P336">
        <v>4.2900009155273438</v>
      </c>
      <c r="Q336" t="s">
        <v>585</v>
      </c>
      <c r="R336">
        <v>2021</v>
      </c>
    </row>
    <row r="337" spans="1:18" hidden="1" x14ac:dyDescent="0.35">
      <c r="A337" t="s">
        <v>659</v>
      </c>
      <c r="B337" s="22">
        <v>44228</v>
      </c>
      <c r="C337">
        <v>40.659999847412109</v>
      </c>
      <c r="D337">
        <v>41.020000457763672</v>
      </c>
      <c r="E337">
        <v>37</v>
      </c>
      <c r="F337">
        <v>37</v>
      </c>
      <c r="G337">
        <v>376900</v>
      </c>
      <c r="H337">
        <v>33.672061920166023</v>
      </c>
      <c r="I337" t="s">
        <v>658</v>
      </c>
      <c r="J337" s="22">
        <v>45550</v>
      </c>
      <c r="K337">
        <v>0.25700000000000001</v>
      </c>
      <c r="M337">
        <v>-3.5310211181640621</v>
      </c>
      <c r="N337">
        <v>-9.4911961025888503E-2</v>
      </c>
      <c r="O337">
        <v>-3.6599998474121089</v>
      </c>
      <c r="P337">
        <v>0.3600006103515625</v>
      </c>
      <c r="Q337" t="s">
        <v>586</v>
      </c>
      <c r="R337">
        <v>2021</v>
      </c>
    </row>
    <row r="338" spans="1:18" hidden="1" x14ac:dyDescent="0.35">
      <c r="A338" t="s">
        <v>659</v>
      </c>
      <c r="B338" s="22">
        <v>44256</v>
      </c>
      <c r="C338">
        <v>37.770000457763672</v>
      </c>
      <c r="D338">
        <v>42.700000762939453</v>
      </c>
      <c r="E338">
        <v>37</v>
      </c>
      <c r="F338">
        <v>39.380001068115227</v>
      </c>
      <c r="G338">
        <v>702300</v>
      </c>
      <c r="H338">
        <v>36.064060211181641</v>
      </c>
      <c r="I338" t="s">
        <v>658</v>
      </c>
      <c r="J338" s="22">
        <v>45550</v>
      </c>
      <c r="K338">
        <v>0</v>
      </c>
      <c r="M338">
        <v>2.391998291015625</v>
      </c>
      <c r="N338">
        <v>6.4324353192303674E-2</v>
      </c>
      <c r="O338">
        <v>1.6100006103515621</v>
      </c>
      <c r="P338">
        <v>4.9300003051757813</v>
      </c>
      <c r="Q338" t="s">
        <v>586</v>
      </c>
      <c r="R338">
        <v>2021</v>
      </c>
    </row>
    <row r="339" spans="1:18" hidden="1" x14ac:dyDescent="0.35">
      <c r="A339" t="s">
        <v>659</v>
      </c>
      <c r="B339" s="22">
        <v>44287</v>
      </c>
      <c r="C339">
        <v>39.479999542236328</v>
      </c>
      <c r="D339">
        <v>42</v>
      </c>
      <c r="E339">
        <v>39.029998779296882</v>
      </c>
      <c r="F339">
        <v>40.450000762939453</v>
      </c>
      <c r="G339">
        <v>374500</v>
      </c>
      <c r="H339">
        <v>37.043952941894531</v>
      </c>
      <c r="I339" t="s">
        <v>658</v>
      </c>
      <c r="J339" s="22">
        <v>45550</v>
      </c>
      <c r="K339">
        <v>0</v>
      </c>
      <c r="M339">
        <v>0.97989273071289063</v>
      </c>
      <c r="N339">
        <v>2.7171144382994061E-2</v>
      </c>
      <c r="O339">
        <v>0.970001220703125</v>
      </c>
      <c r="P339">
        <v>2.5200004577636719</v>
      </c>
      <c r="Q339" t="s">
        <v>588</v>
      </c>
      <c r="R339">
        <v>2021</v>
      </c>
    </row>
    <row r="340" spans="1:18" hidden="1" x14ac:dyDescent="0.35">
      <c r="A340" t="s">
        <v>659</v>
      </c>
      <c r="B340" s="22">
        <v>44317</v>
      </c>
      <c r="C340">
        <v>40.400001525878913</v>
      </c>
      <c r="D340">
        <v>42.110000610351563</v>
      </c>
      <c r="E340">
        <v>38.580001831054688</v>
      </c>
      <c r="F340">
        <v>41.240001678466797</v>
      </c>
      <c r="G340">
        <v>233800</v>
      </c>
      <c r="H340">
        <v>37.767429351806641</v>
      </c>
      <c r="I340" t="s">
        <v>658</v>
      </c>
      <c r="J340" s="22">
        <v>45550</v>
      </c>
      <c r="K340">
        <v>0.26100000000000001</v>
      </c>
      <c r="M340">
        <v>0.72347640991210938</v>
      </c>
      <c r="N340">
        <v>1.9530306566796E-2</v>
      </c>
      <c r="O340">
        <v>0.84000015258789063</v>
      </c>
      <c r="P340">
        <v>1.709999084472656</v>
      </c>
      <c r="Q340" t="s">
        <v>583</v>
      </c>
      <c r="R340">
        <v>2021</v>
      </c>
    </row>
    <row r="341" spans="1:18" hidden="1" x14ac:dyDescent="0.35">
      <c r="A341" t="s">
        <v>659</v>
      </c>
      <c r="B341" s="22">
        <v>44348</v>
      </c>
      <c r="C341">
        <v>41</v>
      </c>
      <c r="D341">
        <v>42</v>
      </c>
      <c r="E341">
        <v>35.900001525878913</v>
      </c>
      <c r="F341">
        <v>36.770000457763672</v>
      </c>
      <c r="G341">
        <v>1222800</v>
      </c>
      <c r="H341">
        <v>33.891860961914063</v>
      </c>
      <c r="I341" t="s">
        <v>658</v>
      </c>
      <c r="J341" s="22">
        <v>45550</v>
      </c>
      <c r="K341">
        <v>0</v>
      </c>
      <c r="M341">
        <v>-3.8755683898925781</v>
      </c>
      <c r="N341">
        <v>-0.10838993789462199</v>
      </c>
      <c r="O341">
        <v>-4.2299995422363281</v>
      </c>
      <c r="P341">
        <v>1</v>
      </c>
      <c r="Q341" t="s">
        <v>587</v>
      </c>
      <c r="R341">
        <v>2021</v>
      </c>
    </row>
    <row r="342" spans="1:18" hidden="1" x14ac:dyDescent="0.35">
      <c r="A342" t="s">
        <v>659</v>
      </c>
      <c r="B342" s="22">
        <v>44378</v>
      </c>
      <c r="C342">
        <v>37.330001831054688</v>
      </c>
      <c r="D342">
        <v>39.490001678466797</v>
      </c>
      <c r="E342">
        <v>36.75</v>
      </c>
      <c r="F342">
        <v>39.080001831054688</v>
      </c>
      <c r="G342">
        <v>461300</v>
      </c>
      <c r="H342">
        <v>36.021049499511719</v>
      </c>
      <c r="I342" t="s">
        <v>658</v>
      </c>
      <c r="J342" s="22">
        <v>45550</v>
      </c>
      <c r="K342">
        <v>0</v>
      </c>
      <c r="M342">
        <v>2.1291885375976558</v>
      </c>
      <c r="N342">
        <v>6.2822990060727113E-2</v>
      </c>
      <c r="O342">
        <v>1.75</v>
      </c>
      <c r="P342">
        <v>2.1599998474121089</v>
      </c>
      <c r="Q342" t="s">
        <v>588</v>
      </c>
      <c r="R342">
        <v>2021</v>
      </c>
    </row>
    <row r="343" spans="1:18" hidden="1" x14ac:dyDescent="0.35">
      <c r="A343" t="s">
        <v>659</v>
      </c>
      <c r="B343" s="22">
        <v>44409</v>
      </c>
      <c r="C343">
        <v>39.139999389648438</v>
      </c>
      <c r="D343">
        <v>40.450000762939453</v>
      </c>
      <c r="E343">
        <v>37.610000610351563</v>
      </c>
      <c r="F343">
        <v>39.409999847412109</v>
      </c>
      <c r="G343">
        <v>332600</v>
      </c>
      <c r="H343">
        <v>36.325218200683587</v>
      </c>
      <c r="I343" t="s">
        <v>658</v>
      </c>
      <c r="J343" s="22">
        <v>45550</v>
      </c>
      <c r="K343">
        <v>0.26100000000000001</v>
      </c>
      <c r="M343">
        <v>0.304168701171875</v>
      </c>
      <c r="N343">
        <v>8.444165836634987E-3</v>
      </c>
      <c r="O343">
        <v>0.27000045776367188</v>
      </c>
      <c r="P343">
        <v>1.3100013732910161</v>
      </c>
      <c r="Q343" t="s">
        <v>584</v>
      </c>
      <c r="R343">
        <v>2021</v>
      </c>
    </row>
    <row r="344" spans="1:18" hidden="1" x14ac:dyDescent="0.35">
      <c r="A344" t="s">
        <v>659</v>
      </c>
      <c r="B344" s="22">
        <v>44440</v>
      </c>
      <c r="C344">
        <v>39.380001068115227</v>
      </c>
      <c r="D344">
        <v>39.830001831054688</v>
      </c>
      <c r="E344">
        <v>36.549999237060547</v>
      </c>
      <c r="F344">
        <v>38.169998168945313</v>
      </c>
      <c r="G344">
        <v>544200</v>
      </c>
      <c r="H344">
        <v>35.412250518798828</v>
      </c>
      <c r="I344" t="s">
        <v>658</v>
      </c>
      <c r="J344" s="22">
        <v>45550</v>
      </c>
      <c r="K344">
        <v>0</v>
      </c>
      <c r="M344">
        <v>-0.91296768188476563</v>
      </c>
      <c r="N344">
        <v>-3.1464138118950657E-2</v>
      </c>
      <c r="O344">
        <v>-1.2100028991699221</v>
      </c>
      <c r="P344">
        <v>0.45000076293945313</v>
      </c>
      <c r="Q344" t="s">
        <v>582</v>
      </c>
      <c r="R344">
        <v>2021</v>
      </c>
    </row>
    <row r="345" spans="1:18" hidden="1" x14ac:dyDescent="0.35">
      <c r="A345" t="s">
        <v>659</v>
      </c>
      <c r="B345" s="22">
        <v>44470</v>
      </c>
      <c r="C345">
        <v>38.209999084472663</v>
      </c>
      <c r="D345">
        <v>40.400001525878913</v>
      </c>
      <c r="E345">
        <v>37.599998474121087</v>
      </c>
      <c r="F345">
        <v>40.220001220703118</v>
      </c>
      <c r="G345">
        <v>316900</v>
      </c>
      <c r="H345">
        <v>37.314136505126953</v>
      </c>
      <c r="I345" t="s">
        <v>658</v>
      </c>
      <c r="J345" s="22">
        <v>45550</v>
      </c>
      <c r="K345">
        <v>0</v>
      </c>
      <c r="M345">
        <v>1.901885986328125</v>
      </c>
      <c r="N345">
        <v>5.3707182344736808E-2</v>
      </c>
      <c r="O345">
        <v>2.0100021362304692</v>
      </c>
      <c r="P345">
        <v>2.19000244140625</v>
      </c>
      <c r="Q345" t="s">
        <v>585</v>
      </c>
      <c r="R345">
        <v>2021</v>
      </c>
    </row>
    <row r="346" spans="1:18" hidden="1" x14ac:dyDescent="0.35">
      <c r="A346" t="s">
        <v>659</v>
      </c>
      <c r="B346" s="22">
        <v>44501</v>
      </c>
      <c r="C346">
        <v>40.409999847412109</v>
      </c>
      <c r="D346">
        <v>46.490001678466797</v>
      </c>
      <c r="E346">
        <v>39.970001220703118</v>
      </c>
      <c r="F346">
        <v>42.759998321533203</v>
      </c>
      <c r="G346">
        <v>404500</v>
      </c>
      <c r="H346">
        <v>39.670623779296882</v>
      </c>
      <c r="I346" t="s">
        <v>658</v>
      </c>
      <c r="J346" s="22">
        <v>45550</v>
      </c>
      <c r="K346">
        <v>0.26800000000000002</v>
      </c>
      <c r="M346">
        <v>2.3564872741699219</v>
      </c>
      <c r="N346">
        <v>6.3152586368461439E-2</v>
      </c>
      <c r="O346">
        <v>2.3499984741210942</v>
      </c>
      <c r="P346">
        <v>6.0800018310546884</v>
      </c>
      <c r="Q346" t="s">
        <v>586</v>
      </c>
      <c r="R346">
        <v>2021</v>
      </c>
    </row>
    <row r="347" spans="1:18" hidden="1" x14ac:dyDescent="0.35">
      <c r="A347" t="s">
        <v>659</v>
      </c>
      <c r="B347" s="22">
        <v>44531</v>
      </c>
      <c r="C347">
        <v>43.430000305175781</v>
      </c>
      <c r="D347">
        <v>47.990001678466797</v>
      </c>
      <c r="E347">
        <v>41.520000457763672</v>
      </c>
      <c r="F347">
        <v>46.330001831054688</v>
      </c>
      <c r="G347">
        <v>603600</v>
      </c>
      <c r="H347">
        <v>43.26690673828125</v>
      </c>
      <c r="I347" t="s">
        <v>658</v>
      </c>
      <c r="J347" s="22">
        <v>45550</v>
      </c>
      <c r="K347">
        <v>0</v>
      </c>
      <c r="M347">
        <v>3.596282958984375</v>
      </c>
      <c r="N347">
        <v>8.3489327634601151E-2</v>
      </c>
      <c r="O347">
        <v>2.9000015258789058</v>
      </c>
      <c r="P347">
        <v>4.5600013732910156</v>
      </c>
      <c r="Q347" t="s">
        <v>582</v>
      </c>
      <c r="R347">
        <v>2021</v>
      </c>
    </row>
    <row r="348" spans="1:18" hidden="1" x14ac:dyDescent="0.35">
      <c r="A348" t="s">
        <v>659</v>
      </c>
      <c r="B348" s="22">
        <v>44562</v>
      </c>
      <c r="C348">
        <v>46.430000305175781</v>
      </c>
      <c r="D348">
        <v>49</v>
      </c>
      <c r="E348">
        <v>43.020000457763672</v>
      </c>
      <c r="F348">
        <v>48.200000762939453</v>
      </c>
      <c r="G348">
        <v>455000</v>
      </c>
      <c r="H348">
        <v>45.013267517089837</v>
      </c>
      <c r="I348" t="s">
        <v>658</v>
      </c>
      <c r="J348" s="22">
        <v>45550</v>
      </c>
      <c r="K348">
        <v>0</v>
      </c>
      <c r="M348">
        <v>1.746360778808594</v>
      </c>
      <c r="N348">
        <v>4.0362591365824541E-2</v>
      </c>
      <c r="O348">
        <v>1.7700004577636721</v>
      </c>
      <c r="P348">
        <v>2.5699996948242192</v>
      </c>
      <c r="Q348" t="s">
        <v>583</v>
      </c>
      <c r="R348">
        <v>2022</v>
      </c>
    </row>
    <row r="349" spans="1:18" hidden="1" x14ac:dyDescent="0.35">
      <c r="A349" t="s">
        <v>659</v>
      </c>
      <c r="B349" s="22">
        <v>44593</v>
      </c>
      <c r="C349">
        <v>47.849998474121087</v>
      </c>
      <c r="D349">
        <v>48.080001831054688</v>
      </c>
      <c r="E349">
        <v>45.060001373291023</v>
      </c>
      <c r="F349">
        <v>46.479999542236328</v>
      </c>
      <c r="G349">
        <v>411000</v>
      </c>
      <c r="H349">
        <v>43.406982421875</v>
      </c>
      <c r="I349" t="s">
        <v>658</v>
      </c>
      <c r="J349" s="22">
        <v>45550</v>
      </c>
      <c r="K349">
        <v>0.26800000000000002</v>
      </c>
      <c r="M349">
        <v>-1.606285095214844</v>
      </c>
      <c r="N349">
        <v>-3.5684672063856393E-2</v>
      </c>
      <c r="O349">
        <v>-1.3699989318847661</v>
      </c>
      <c r="P349">
        <v>0.23000335693359381</v>
      </c>
      <c r="Q349" t="s">
        <v>587</v>
      </c>
      <c r="R349">
        <v>2022</v>
      </c>
    </row>
    <row r="350" spans="1:18" hidden="1" x14ac:dyDescent="0.35">
      <c r="A350" t="s">
        <v>659</v>
      </c>
      <c r="B350" s="22">
        <v>44621</v>
      </c>
      <c r="C350">
        <v>46.209999084472663</v>
      </c>
      <c r="D350">
        <v>50.880001068115227</v>
      </c>
      <c r="E350">
        <v>45.979999542236328</v>
      </c>
      <c r="F350">
        <v>48.549999237060547</v>
      </c>
      <c r="G350">
        <v>746600</v>
      </c>
      <c r="H350">
        <v>45.601207733154297</v>
      </c>
      <c r="I350" t="s">
        <v>658</v>
      </c>
      <c r="J350" s="22">
        <v>45550</v>
      </c>
      <c r="K350">
        <v>0</v>
      </c>
      <c r="M350">
        <v>2.1942253112792969</v>
      </c>
      <c r="N350">
        <v>4.4535277865982208E-2</v>
      </c>
      <c r="O350">
        <v>2.3400001525878911</v>
      </c>
      <c r="P350">
        <v>4.6700019836425781</v>
      </c>
      <c r="Q350" t="s">
        <v>587</v>
      </c>
      <c r="R350">
        <v>2022</v>
      </c>
    </row>
    <row r="351" spans="1:18" hidden="1" x14ac:dyDescent="0.35">
      <c r="A351" t="s">
        <v>659</v>
      </c>
      <c r="B351" s="22">
        <v>44652</v>
      </c>
      <c r="C351">
        <v>48.549999237060547</v>
      </c>
      <c r="D351">
        <v>49.889999389648438</v>
      </c>
      <c r="E351">
        <v>46.009998321533203</v>
      </c>
      <c r="F351">
        <v>46.5</v>
      </c>
      <c r="G351">
        <v>349500</v>
      </c>
      <c r="H351">
        <v>43.67572021484375</v>
      </c>
      <c r="I351" t="s">
        <v>658</v>
      </c>
      <c r="J351" s="22">
        <v>45550</v>
      </c>
      <c r="K351">
        <v>0</v>
      </c>
      <c r="M351">
        <v>-1.9254875183105471</v>
      </c>
      <c r="N351">
        <v>-4.2224495762621661E-2</v>
      </c>
      <c r="O351">
        <v>-2.0499992370605469</v>
      </c>
      <c r="P351">
        <v>1.3400001525878911</v>
      </c>
      <c r="Q351" t="s">
        <v>585</v>
      </c>
      <c r="R351">
        <v>2022</v>
      </c>
    </row>
    <row r="352" spans="1:18" hidden="1" x14ac:dyDescent="0.35">
      <c r="A352" t="s">
        <v>659</v>
      </c>
      <c r="B352" s="22">
        <v>44682</v>
      </c>
      <c r="C352">
        <v>46.169998168945313</v>
      </c>
      <c r="D352">
        <v>50</v>
      </c>
      <c r="E352">
        <v>44.189998626708977</v>
      </c>
      <c r="F352">
        <v>49.080001831054688</v>
      </c>
      <c r="G352">
        <v>500500</v>
      </c>
      <c r="H352">
        <v>46.099006652832031</v>
      </c>
      <c r="I352" t="s">
        <v>658</v>
      </c>
      <c r="J352" s="22">
        <v>45550</v>
      </c>
      <c r="K352">
        <v>0.27300000000000002</v>
      </c>
      <c r="M352">
        <v>2.4232864379882808</v>
      </c>
      <c r="N352">
        <v>5.5483910345262011E-2</v>
      </c>
      <c r="O352">
        <v>2.910003662109375</v>
      </c>
      <c r="P352">
        <v>3.8300018310546879</v>
      </c>
      <c r="Q352" t="s">
        <v>584</v>
      </c>
      <c r="R352">
        <v>2022</v>
      </c>
    </row>
    <row r="353" spans="1:18" hidden="1" x14ac:dyDescent="0.35">
      <c r="A353" t="s">
        <v>659</v>
      </c>
      <c r="B353" s="22">
        <v>44713</v>
      </c>
      <c r="C353">
        <v>49</v>
      </c>
      <c r="D353">
        <v>49.229999542236328</v>
      </c>
      <c r="E353">
        <v>44.080001831054688</v>
      </c>
      <c r="F353">
        <v>49.169998168945313</v>
      </c>
      <c r="G353">
        <v>729100</v>
      </c>
      <c r="H353">
        <v>46.464435577392578</v>
      </c>
      <c r="I353" t="s">
        <v>658</v>
      </c>
      <c r="J353" s="22">
        <v>45550</v>
      </c>
      <c r="K353">
        <v>0</v>
      </c>
      <c r="M353">
        <v>0.36542892456054688</v>
      </c>
      <c r="N353">
        <v>1.83366614778091E-3</v>
      </c>
      <c r="O353">
        <v>0.1699981689453125</v>
      </c>
      <c r="P353">
        <v>0.2299995422363281</v>
      </c>
      <c r="Q353" t="s">
        <v>582</v>
      </c>
      <c r="R353">
        <v>2022</v>
      </c>
    </row>
    <row r="354" spans="1:18" hidden="1" x14ac:dyDescent="0.35">
      <c r="A354" t="s">
        <v>659</v>
      </c>
      <c r="B354" s="22">
        <v>44743</v>
      </c>
      <c r="C354">
        <v>49.029998779296882</v>
      </c>
      <c r="D354">
        <v>52.220001220703118</v>
      </c>
      <c r="E354">
        <v>48.340000152587891</v>
      </c>
      <c r="F354">
        <v>51.560001373291023</v>
      </c>
      <c r="G354">
        <v>646200</v>
      </c>
      <c r="H354">
        <v>48.722923278808587</v>
      </c>
      <c r="I354" t="s">
        <v>658</v>
      </c>
      <c r="J354" s="22">
        <v>45550</v>
      </c>
      <c r="K354">
        <v>0</v>
      </c>
      <c r="M354">
        <v>2.2584877014160161</v>
      </c>
      <c r="N354">
        <v>4.8606941089031297E-2</v>
      </c>
      <c r="O354">
        <v>2.5300025939941411</v>
      </c>
      <c r="P354">
        <v>3.19000244140625</v>
      </c>
      <c r="Q354" t="s">
        <v>585</v>
      </c>
      <c r="R354">
        <v>2022</v>
      </c>
    </row>
    <row r="355" spans="1:18" hidden="1" x14ac:dyDescent="0.35">
      <c r="A355" t="s">
        <v>659</v>
      </c>
      <c r="B355" s="22">
        <v>44774</v>
      </c>
      <c r="C355">
        <v>51.549999237060547</v>
      </c>
      <c r="D355">
        <v>60.360000610351563</v>
      </c>
      <c r="E355">
        <v>50.639999389648438</v>
      </c>
      <c r="F355">
        <v>54.630001068115227</v>
      </c>
      <c r="G355">
        <v>1004300</v>
      </c>
      <c r="H355">
        <v>51.623996734619141</v>
      </c>
      <c r="I355" t="s">
        <v>658</v>
      </c>
      <c r="J355" s="22">
        <v>45550</v>
      </c>
      <c r="K355">
        <v>0.27300000000000002</v>
      </c>
      <c r="M355">
        <v>2.9010734558105469</v>
      </c>
      <c r="N355">
        <v>5.9542273333113897E-2</v>
      </c>
      <c r="O355">
        <v>3.0800018310546879</v>
      </c>
      <c r="P355">
        <v>8.8100013732910156</v>
      </c>
      <c r="Q355" t="s">
        <v>586</v>
      </c>
      <c r="R355">
        <v>2022</v>
      </c>
    </row>
    <row r="356" spans="1:18" hidden="1" x14ac:dyDescent="0.35">
      <c r="A356" t="s">
        <v>659</v>
      </c>
      <c r="B356" s="22">
        <v>44805</v>
      </c>
      <c r="C356">
        <v>54.650001525878913</v>
      </c>
      <c r="D356">
        <v>59.630001068115227</v>
      </c>
      <c r="E356">
        <v>47.959999084472663</v>
      </c>
      <c r="F356">
        <v>48.119998931884773</v>
      </c>
      <c r="G356">
        <v>1109200</v>
      </c>
      <c r="H356">
        <v>45.704559326171882</v>
      </c>
      <c r="I356" t="s">
        <v>658</v>
      </c>
      <c r="J356" s="22">
        <v>45550</v>
      </c>
      <c r="K356">
        <v>0</v>
      </c>
      <c r="M356">
        <v>-5.9194374084472656</v>
      </c>
      <c r="N356">
        <v>-0.11916533056833541</v>
      </c>
      <c r="O356">
        <v>-6.5300025939941406</v>
      </c>
      <c r="P356">
        <v>4.9799995422363281</v>
      </c>
      <c r="Q356" t="s">
        <v>588</v>
      </c>
      <c r="R356">
        <v>2022</v>
      </c>
    </row>
    <row r="357" spans="1:18" hidden="1" x14ac:dyDescent="0.35">
      <c r="A357" t="s">
        <v>659</v>
      </c>
      <c r="B357" s="22">
        <v>44835</v>
      </c>
      <c r="C357">
        <v>48.560001373291023</v>
      </c>
      <c r="D357">
        <v>53.619998931884773</v>
      </c>
      <c r="E357">
        <v>45.439998626708977</v>
      </c>
      <c r="F357">
        <v>52.279998779296882</v>
      </c>
      <c r="G357">
        <v>1052300</v>
      </c>
      <c r="H357">
        <v>49.655750274658203</v>
      </c>
      <c r="I357" t="s">
        <v>658</v>
      </c>
      <c r="J357" s="22">
        <v>45550</v>
      </c>
      <c r="K357">
        <v>0</v>
      </c>
      <c r="M357">
        <v>3.9511909484863281</v>
      </c>
      <c r="N357">
        <v>8.6450539063824827E-2</v>
      </c>
      <c r="O357">
        <v>3.7199974060058589</v>
      </c>
      <c r="P357">
        <v>5.05999755859375</v>
      </c>
      <c r="Q357" t="s">
        <v>583</v>
      </c>
      <c r="R357">
        <v>2022</v>
      </c>
    </row>
    <row r="358" spans="1:18" hidden="1" x14ac:dyDescent="0.35">
      <c r="A358" t="s">
        <v>659</v>
      </c>
      <c r="B358" s="22">
        <v>44866</v>
      </c>
      <c r="C358">
        <v>52.450000762939453</v>
      </c>
      <c r="D358">
        <v>57.220001220703118</v>
      </c>
      <c r="E358">
        <v>49.810001373291023</v>
      </c>
      <c r="F358">
        <v>54.560001373291023</v>
      </c>
      <c r="G358">
        <v>873700</v>
      </c>
      <c r="H358">
        <v>51.821296691894531</v>
      </c>
      <c r="I358" t="s">
        <v>658</v>
      </c>
      <c r="J358" s="22">
        <v>45550</v>
      </c>
      <c r="K358">
        <v>0.27800000000000002</v>
      </c>
      <c r="M358">
        <v>2.1655464172363281</v>
      </c>
      <c r="N358">
        <v>4.3611374277557013E-2</v>
      </c>
      <c r="O358">
        <v>2.1100006103515621</v>
      </c>
      <c r="P358">
        <v>4.7700004577636719</v>
      </c>
      <c r="Q358" t="s">
        <v>587</v>
      </c>
      <c r="R358">
        <v>2022</v>
      </c>
    </row>
    <row r="359" spans="1:18" hidden="1" x14ac:dyDescent="0.35">
      <c r="A359" t="s">
        <v>659</v>
      </c>
      <c r="B359" s="22">
        <v>44896</v>
      </c>
      <c r="C359">
        <v>54.709999084472663</v>
      </c>
      <c r="D359">
        <v>59.979999542236328</v>
      </c>
      <c r="E359">
        <v>52.069999694824219</v>
      </c>
      <c r="F359">
        <v>58.580001831054688</v>
      </c>
      <c r="G359">
        <v>920000</v>
      </c>
      <c r="H359">
        <v>55.940841674804688</v>
      </c>
      <c r="I359" t="s">
        <v>658</v>
      </c>
      <c r="J359" s="22">
        <v>45550</v>
      </c>
      <c r="K359">
        <v>0</v>
      </c>
      <c r="M359">
        <v>4.1195449829101563</v>
      </c>
      <c r="N359">
        <v>7.3680358441698957E-2</v>
      </c>
      <c r="O359">
        <v>3.8700027465820308</v>
      </c>
      <c r="P359">
        <v>5.2700004577636719</v>
      </c>
      <c r="Q359" t="s">
        <v>588</v>
      </c>
      <c r="R359">
        <v>2022</v>
      </c>
    </row>
    <row r="360" spans="1:18" hidden="1" x14ac:dyDescent="0.35">
      <c r="A360" t="s">
        <v>659</v>
      </c>
      <c r="B360" s="22">
        <v>44927</v>
      </c>
      <c r="C360">
        <v>59</v>
      </c>
      <c r="D360">
        <v>63</v>
      </c>
      <c r="E360">
        <v>56.680000305175781</v>
      </c>
      <c r="F360">
        <v>58.900001525878913</v>
      </c>
      <c r="G360">
        <v>944000</v>
      </c>
      <c r="H360">
        <v>56.246417999267578</v>
      </c>
      <c r="I360" t="s">
        <v>658</v>
      </c>
      <c r="J360" s="22">
        <v>45550</v>
      </c>
      <c r="K360">
        <v>0</v>
      </c>
      <c r="M360">
        <v>0.30557632446289063</v>
      </c>
      <c r="N360">
        <v>5.4626098467374096E-3</v>
      </c>
      <c r="O360">
        <v>-9.999847412109375E-2</v>
      </c>
      <c r="P360">
        <v>4</v>
      </c>
      <c r="Q360" t="s">
        <v>584</v>
      </c>
      <c r="R360">
        <v>2023</v>
      </c>
    </row>
    <row r="361" spans="1:18" hidden="1" x14ac:dyDescent="0.35">
      <c r="A361" t="s">
        <v>659</v>
      </c>
      <c r="B361" s="22">
        <v>44958</v>
      </c>
      <c r="C361">
        <v>59.159999847412109</v>
      </c>
      <c r="D361">
        <v>61.979999542236328</v>
      </c>
      <c r="E361">
        <v>55.900001525878913</v>
      </c>
      <c r="F361">
        <v>56.330001831054688</v>
      </c>
      <c r="G361">
        <v>868800</v>
      </c>
      <c r="H361">
        <v>53.792205810546882</v>
      </c>
      <c r="I361" t="s">
        <v>658</v>
      </c>
      <c r="J361" s="22">
        <v>45550</v>
      </c>
      <c r="K361">
        <v>0.27800000000000002</v>
      </c>
      <c r="M361">
        <v>-2.4542121887207031</v>
      </c>
      <c r="N361">
        <v>-4.3633270428610087E-2</v>
      </c>
      <c r="O361">
        <v>-2.8299980163574219</v>
      </c>
      <c r="P361">
        <v>2.8199996948242192</v>
      </c>
      <c r="Q361" t="s">
        <v>582</v>
      </c>
      <c r="R361">
        <v>2023</v>
      </c>
    </row>
    <row r="362" spans="1:18" hidden="1" x14ac:dyDescent="0.35">
      <c r="A362" t="s">
        <v>659</v>
      </c>
      <c r="B362" s="22">
        <v>44986</v>
      </c>
      <c r="C362">
        <v>56.290000915527337</v>
      </c>
      <c r="D362">
        <v>57.299999237060547</v>
      </c>
      <c r="E362">
        <v>51.299999237060547</v>
      </c>
      <c r="F362">
        <v>55.360000610351563</v>
      </c>
      <c r="G362">
        <v>1123600</v>
      </c>
      <c r="H362">
        <v>53.110275268554688</v>
      </c>
      <c r="I362" t="s">
        <v>658</v>
      </c>
      <c r="J362" s="22">
        <v>45550</v>
      </c>
      <c r="K362">
        <v>0</v>
      </c>
      <c r="M362">
        <v>-0.6819305419921875</v>
      </c>
      <c r="N362">
        <v>-1.7219974954241209E-2</v>
      </c>
      <c r="O362">
        <v>-0.93000030517578125</v>
      </c>
      <c r="P362">
        <v>1.0099983215332029</v>
      </c>
      <c r="Q362" t="s">
        <v>582</v>
      </c>
      <c r="R362">
        <v>2023</v>
      </c>
    </row>
    <row r="363" spans="1:18" hidden="1" x14ac:dyDescent="0.35">
      <c r="A363" t="s">
        <v>659</v>
      </c>
      <c r="B363" s="22">
        <v>45017</v>
      </c>
      <c r="C363">
        <v>55.680000305175781</v>
      </c>
      <c r="D363">
        <v>58.409999847412109</v>
      </c>
      <c r="E363">
        <v>54.299999237060547</v>
      </c>
      <c r="F363">
        <v>54.779998779296882</v>
      </c>
      <c r="G363">
        <v>513500</v>
      </c>
      <c r="H363">
        <v>52.553840637207031</v>
      </c>
      <c r="I363" t="s">
        <v>658</v>
      </c>
      <c r="J363" s="22">
        <v>45550</v>
      </c>
      <c r="K363">
        <v>0</v>
      </c>
      <c r="M363">
        <v>-0.55643463134765625</v>
      </c>
      <c r="N363">
        <v>-1.0476911572617211E-2</v>
      </c>
      <c r="O363">
        <v>-0.90000152587890625</v>
      </c>
      <c r="P363">
        <v>2.7299995422363281</v>
      </c>
      <c r="Q363" t="s">
        <v>583</v>
      </c>
      <c r="R363">
        <v>2023</v>
      </c>
    </row>
    <row r="364" spans="1:18" hidden="1" x14ac:dyDescent="0.35">
      <c r="A364" t="s">
        <v>659</v>
      </c>
      <c r="B364" s="22">
        <v>45047</v>
      </c>
      <c r="C364">
        <v>54.779998779296882</v>
      </c>
      <c r="D364">
        <v>55.979999542236328</v>
      </c>
      <c r="E364">
        <v>47.529998779296882</v>
      </c>
      <c r="F364">
        <v>49.5</v>
      </c>
      <c r="G364">
        <v>1113000</v>
      </c>
      <c r="H364">
        <v>47.488410949707031</v>
      </c>
      <c r="I364" t="s">
        <v>658</v>
      </c>
      <c r="J364" s="22">
        <v>45550</v>
      </c>
      <c r="K364">
        <v>0.28399999999999997</v>
      </c>
      <c r="M364">
        <v>-5.0654296875</v>
      </c>
      <c r="N364">
        <v>-9.6385522032767068E-2</v>
      </c>
      <c r="O364">
        <v>-5.279998779296875</v>
      </c>
      <c r="P364">
        <v>1.2000007629394529</v>
      </c>
      <c r="Q364" t="s">
        <v>586</v>
      </c>
      <c r="R364">
        <v>2023</v>
      </c>
    </row>
    <row r="365" spans="1:18" hidden="1" x14ac:dyDescent="0.35">
      <c r="A365" t="s">
        <v>659</v>
      </c>
      <c r="B365" s="22">
        <v>45078</v>
      </c>
      <c r="C365">
        <v>49.389999389648438</v>
      </c>
      <c r="D365">
        <v>50.430000305175781</v>
      </c>
      <c r="E365">
        <v>46.369998931884773</v>
      </c>
      <c r="F365">
        <v>47.220001220703118</v>
      </c>
      <c r="G365">
        <v>1260800</v>
      </c>
      <c r="H365">
        <v>45.533653259277337</v>
      </c>
      <c r="I365" t="s">
        <v>658</v>
      </c>
      <c r="J365" s="22">
        <v>45550</v>
      </c>
      <c r="K365">
        <v>0</v>
      </c>
      <c r="M365">
        <v>-1.9547576904296879</v>
      </c>
      <c r="N365">
        <v>-4.6060581399936851E-2</v>
      </c>
      <c r="O365">
        <v>-2.1699981689453121</v>
      </c>
      <c r="P365">
        <v>1.040000915527344</v>
      </c>
      <c r="Q365" t="s">
        <v>588</v>
      </c>
      <c r="R365">
        <v>2023</v>
      </c>
    </row>
    <row r="366" spans="1:18" hidden="1" x14ac:dyDescent="0.35">
      <c r="A366" t="s">
        <v>659</v>
      </c>
      <c r="B366" s="22">
        <v>45108</v>
      </c>
      <c r="C366">
        <v>46.900001525878913</v>
      </c>
      <c r="D366">
        <v>49.729999542236328</v>
      </c>
      <c r="E366">
        <v>45.270000457763672</v>
      </c>
      <c r="F366">
        <v>45.560001373291023</v>
      </c>
      <c r="G366">
        <v>740800</v>
      </c>
      <c r="H366">
        <v>43.932937622070313</v>
      </c>
      <c r="I366" t="s">
        <v>658</v>
      </c>
      <c r="J366" s="22">
        <v>45550</v>
      </c>
      <c r="K366">
        <v>0</v>
      </c>
      <c r="M366">
        <v>-1.600715637207031</v>
      </c>
      <c r="N366">
        <v>-3.5154591370156529E-2</v>
      </c>
      <c r="O366">
        <v>-1.3400001525878911</v>
      </c>
      <c r="P366">
        <v>2.8299980163574219</v>
      </c>
      <c r="Q366" t="s">
        <v>583</v>
      </c>
      <c r="R366">
        <v>2023</v>
      </c>
    </row>
    <row r="367" spans="1:18" hidden="1" x14ac:dyDescent="0.35">
      <c r="A367" t="s">
        <v>659</v>
      </c>
      <c r="B367" s="22">
        <v>45139</v>
      </c>
      <c r="C367">
        <v>45.75</v>
      </c>
      <c r="D367">
        <v>47.939998626708977</v>
      </c>
      <c r="E367">
        <v>44.369998931884773</v>
      </c>
      <c r="F367">
        <v>46.159999847412109</v>
      </c>
      <c r="G367">
        <v>998700</v>
      </c>
      <c r="H367">
        <v>44.511505126953118</v>
      </c>
      <c r="I367" t="s">
        <v>658</v>
      </c>
      <c r="J367" s="22">
        <v>45550</v>
      </c>
      <c r="K367">
        <v>0.28399999999999997</v>
      </c>
      <c r="M367">
        <v>0.5785675048828125</v>
      </c>
      <c r="N367">
        <v>1.316941299463692E-2</v>
      </c>
      <c r="O367">
        <v>0.40999984741210938</v>
      </c>
      <c r="P367">
        <v>2.1899986267089839</v>
      </c>
      <c r="Q367" t="s">
        <v>587</v>
      </c>
      <c r="R367">
        <v>2023</v>
      </c>
    </row>
    <row r="368" spans="1:18" hidden="1" x14ac:dyDescent="0.35">
      <c r="A368" t="s">
        <v>659</v>
      </c>
      <c r="B368" s="22">
        <v>45170</v>
      </c>
      <c r="C368">
        <v>46.110000610351563</v>
      </c>
      <c r="D368">
        <v>47.439998626708977</v>
      </c>
      <c r="E368">
        <v>41.259998321533203</v>
      </c>
      <c r="F368">
        <v>41.990001678466797</v>
      </c>
      <c r="G368">
        <v>942700</v>
      </c>
      <c r="H368">
        <v>40.736949920654297</v>
      </c>
      <c r="I368" t="s">
        <v>658</v>
      </c>
      <c r="J368" s="22">
        <v>45550</v>
      </c>
      <c r="K368">
        <v>0</v>
      </c>
      <c r="M368">
        <v>-3.7745552062988281</v>
      </c>
      <c r="N368">
        <v>-9.0337915570402605E-2</v>
      </c>
      <c r="O368">
        <v>-4.1199989318847656</v>
      </c>
      <c r="P368">
        <v>1.3299980163574221</v>
      </c>
      <c r="Q368" t="s">
        <v>585</v>
      </c>
      <c r="R368">
        <v>2023</v>
      </c>
    </row>
    <row r="369" spans="1:18" hidden="1" x14ac:dyDescent="0.35">
      <c r="A369" t="s">
        <v>659</v>
      </c>
      <c r="B369" s="22">
        <v>45200</v>
      </c>
      <c r="C369">
        <v>41.669998168945313</v>
      </c>
      <c r="D369">
        <v>43.409999847412109</v>
      </c>
      <c r="E369">
        <v>38.759998321533203</v>
      </c>
      <c r="F369">
        <v>39.299999237060547</v>
      </c>
      <c r="G369">
        <v>575100</v>
      </c>
      <c r="H369">
        <v>38.127220153808587</v>
      </c>
      <c r="I369" t="s">
        <v>658</v>
      </c>
      <c r="J369" s="22">
        <v>45550</v>
      </c>
      <c r="K369">
        <v>0</v>
      </c>
      <c r="M369">
        <v>-2.6097297668457031</v>
      </c>
      <c r="N369">
        <v>-6.4062927694183203E-2</v>
      </c>
      <c r="O369">
        <v>-2.3699989318847661</v>
      </c>
      <c r="P369">
        <v>1.7400016784667971</v>
      </c>
      <c r="Q369" t="s">
        <v>584</v>
      </c>
      <c r="R369">
        <v>2023</v>
      </c>
    </row>
    <row r="370" spans="1:18" hidden="1" x14ac:dyDescent="0.35">
      <c r="A370" t="s">
        <v>659</v>
      </c>
      <c r="B370" s="22">
        <v>45231</v>
      </c>
      <c r="C370">
        <v>39.369998931884773</v>
      </c>
      <c r="D370">
        <v>43.400001525878913</v>
      </c>
      <c r="E370">
        <v>38.950000762939453</v>
      </c>
      <c r="F370">
        <v>42.049999237060547</v>
      </c>
      <c r="G370">
        <v>527900</v>
      </c>
      <c r="H370">
        <v>40.795158386230469</v>
      </c>
      <c r="I370" t="s">
        <v>658</v>
      </c>
      <c r="J370" s="22">
        <v>45550</v>
      </c>
      <c r="K370">
        <v>0.28999999999999998</v>
      </c>
      <c r="M370">
        <v>2.667938232421875</v>
      </c>
      <c r="N370">
        <v>6.9974556065810489E-2</v>
      </c>
      <c r="O370">
        <v>2.6800003051757808</v>
      </c>
      <c r="P370">
        <v>4.0300025939941406</v>
      </c>
      <c r="Q370" t="s">
        <v>582</v>
      </c>
      <c r="R370">
        <v>2023</v>
      </c>
    </row>
    <row r="371" spans="1:18" hidden="1" x14ac:dyDescent="0.35">
      <c r="A371" t="s">
        <v>659</v>
      </c>
      <c r="B371" s="22">
        <v>45261</v>
      </c>
      <c r="C371">
        <v>42</v>
      </c>
      <c r="D371">
        <v>44.779998779296882</v>
      </c>
      <c r="E371">
        <v>41.209999084472663</v>
      </c>
      <c r="F371">
        <v>41.450000762939453</v>
      </c>
      <c r="G371">
        <v>746100</v>
      </c>
      <c r="H371">
        <v>40.484706878662109</v>
      </c>
      <c r="I371" t="s">
        <v>658</v>
      </c>
      <c r="J371" s="22">
        <v>45550</v>
      </c>
      <c r="K371">
        <v>0</v>
      </c>
      <c r="M371">
        <v>-0.31045150756835938</v>
      </c>
      <c r="N371">
        <v>-1.426869167674771E-2</v>
      </c>
      <c r="O371">
        <v>-0.54999923706054688</v>
      </c>
      <c r="P371">
        <v>2.779998779296875</v>
      </c>
      <c r="Q371" t="s">
        <v>585</v>
      </c>
      <c r="R371">
        <v>2023</v>
      </c>
    </row>
    <row r="372" spans="1:18" hidden="1" x14ac:dyDescent="0.35">
      <c r="A372" t="s">
        <v>661</v>
      </c>
      <c r="B372" s="22">
        <v>43466</v>
      </c>
      <c r="C372">
        <v>29.930000305175781</v>
      </c>
      <c r="D372">
        <v>33.365001678466797</v>
      </c>
      <c r="E372">
        <v>27.89999961853027</v>
      </c>
      <c r="F372">
        <v>33</v>
      </c>
      <c r="G372">
        <v>6809200</v>
      </c>
      <c r="H372">
        <v>31.427158355712891</v>
      </c>
      <c r="I372" t="s">
        <v>660</v>
      </c>
      <c r="J372" s="22">
        <v>45550</v>
      </c>
      <c r="K372">
        <v>0</v>
      </c>
      <c r="L372">
        <v>0</v>
      </c>
      <c r="O372">
        <v>3.0699996948242192</v>
      </c>
      <c r="P372">
        <v>3.4350013732910161</v>
      </c>
      <c r="Q372" t="s">
        <v>587</v>
      </c>
      <c r="R372">
        <v>2019</v>
      </c>
    </row>
    <row r="373" spans="1:18" hidden="1" x14ac:dyDescent="0.35">
      <c r="A373" t="s">
        <v>661</v>
      </c>
      <c r="B373" s="22">
        <v>43497</v>
      </c>
      <c r="C373">
        <v>33.014999389648438</v>
      </c>
      <c r="D373">
        <v>37.950000762939453</v>
      </c>
      <c r="E373">
        <v>32.444999694824219</v>
      </c>
      <c r="F373">
        <v>36.529998779296882</v>
      </c>
      <c r="G373">
        <v>7312400</v>
      </c>
      <c r="H373">
        <v>34.788906097412109</v>
      </c>
      <c r="I373" t="s">
        <v>660</v>
      </c>
      <c r="J373" s="22">
        <v>45550</v>
      </c>
      <c r="K373">
        <v>8.5000000000000006E-2</v>
      </c>
      <c r="L373">
        <v>0</v>
      </c>
      <c r="M373">
        <v>3.3617477416992192</v>
      </c>
      <c r="N373">
        <v>0.10696965997869309</v>
      </c>
      <c r="O373">
        <v>3.5149993896484379</v>
      </c>
      <c r="P373">
        <v>4.9350013732910156</v>
      </c>
      <c r="Q373" t="s">
        <v>585</v>
      </c>
      <c r="R373">
        <v>2019</v>
      </c>
    </row>
    <row r="374" spans="1:18" hidden="1" x14ac:dyDescent="0.35">
      <c r="A374" t="s">
        <v>661</v>
      </c>
      <c r="B374" s="22">
        <v>43525</v>
      </c>
      <c r="C374">
        <v>36.845001220703118</v>
      </c>
      <c r="D374">
        <v>37.854999542236328</v>
      </c>
      <c r="E374">
        <v>33.900001525878913</v>
      </c>
      <c r="F374">
        <v>34.970001220703118</v>
      </c>
      <c r="G374">
        <v>5410200</v>
      </c>
      <c r="H374">
        <v>33.379623413085938</v>
      </c>
      <c r="I374" t="s">
        <v>660</v>
      </c>
      <c r="J374" s="22">
        <v>45550</v>
      </c>
      <c r="K374">
        <v>0</v>
      </c>
      <c r="L374">
        <v>0</v>
      </c>
      <c r="M374">
        <v>-1.4092826843261721</v>
      </c>
      <c r="N374">
        <v>-4.2704560928643387E-2</v>
      </c>
      <c r="O374">
        <v>-1.875</v>
      </c>
      <c r="P374">
        <v>1.0099983215332029</v>
      </c>
      <c r="Q374" t="s">
        <v>585</v>
      </c>
      <c r="R374">
        <v>2019</v>
      </c>
    </row>
    <row r="375" spans="1:18" hidden="1" x14ac:dyDescent="0.35">
      <c r="A375" t="s">
        <v>661</v>
      </c>
      <c r="B375" s="22">
        <v>43556</v>
      </c>
      <c r="C375">
        <v>35.220001220703118</v>
      </c>
      <c r="D375">
        <v>40.685001373291023</v>
      </c>
      <c r="E375">
        <v>35.145000457763672</v>
      </c>
      <c r="F375">
        <v>39.509998321533203</v>
      </c>
      <c r="G375">
        <v>5175800</v>
      </c>
      <c r="H375">
        <v>37.713142395019531</v>
      </c>
      <c r="I375" t="s">
        <v>660</v>
      </c>
      <c r="J375" s="22">
        <v>45550</v>
      </c>
      <c r="K375">
        <v>0</v>
      </c>
      <c r="L375">
        <v>0</v>
      </c>
      <c r="M375">
        <v>4.3335189819335938</v>
      </c>
      <c r="N375">
        <v>0.12982547733347771</v>
      </c>
      <c r="O375">
        <v>4.2899971008300781</v>
      </c>
      <c r="P375">
        <v>5.4650001525878906</v>
      </c>
      <c r="Q375" t="s">
        <v>586</v>
      </c>
      <c r="R375">
        <v>2019</v>
      </c>
    </row>
    <row r="376" spans="1:18" hidden="1" x14ac:dyDescent="0.35">
      <c r="A376" t="s">
        <v>661</v>
      </c>
      <c r="B376" s="22">
        <v>43586</v>
      </c>
      <c r="C376">
        <v>39.694999694824219</v>
      </c>
      <c r="D376">
        <v>40.490001678466797</v>
      </c>
      <c r="E376">
        <v>32.474998474121087</v>
      </c>
      <c r="F376">
        <v>32.580001831054688</v>
      </c>
      <c r="G376">
        <v>6101200</v>
      </c>
      <c r="H376">
        <v>31.098306655883789</v>
      </c>
      <c r="I376" t="s">
        <v>660</v>
      </c>
      <c r="J376" s="22">
        <v>45550</v>
      </c>
      <c r="K376">
        <v>8.5000000000000006E-2</v>
      </c>
      <c r="L376">
        <v>0</v>
      </c>
      <c r="M376">
        <v>-6.6148357391357422</v>
      </c>
      <c r="N376">
        <v>-0.17539855188254019</v>
      </c>
      <c r="O376">
        <v>-7.1149978637695313</v>
      </c>
      <c r="P376">
        <v>0.79500198364257813</v>
      </c>
      <c r="Q376" t="s">
        <v>582</v>
      </c>
      <c r="R376">
        <v>2019</v>
      </c>
    </row>
    <row r="377" spans="1:18" hidden="1" x14ac:dyDescent="0.35">
      <c r="A377" t="s">
        <v>661</v>
      </c>
      <c r="B377" s="22">
        <v>43617</v>
      </c>
      <c r="C377">
        <v>32.654998779296882</v>
      </c>
      <c r="D377">
        <v>40.485000610351563</v>
      </c>
      <c r="E377">
        <v>32.544998168945313</v>
      </c>
      <c r="F377">
        <v>40.090000152587891</v>
      </c>
      <c r="G377">
        <v>4386800</v>
      </c>
      <c r="H377">
        <v>38.364578247070313</v>
      </c>
      <c r="I377" t="s">
        <v>660</v>
      </c>
      <c r="J377" s="22">
        <v>45550</v>
      </c>
      <c r="K377">
        <v>0</v>
      </c>
      <c r="L377">
        <v>0</v>
      </c>
      <c r="M377">
        <v>7.2662715911865234</v>
      </c>
      <c r="N377">
        <v>0.23050945056653749</v>
      </c>
      <c r="O377">
        <v>7.4350013732910156</v>
      </c>
      <c r="P377">
        <v>7.8300018310546884</v>
      </c>
      <c r="Q377" t="s">
        <v>583</v>
      </c>
      <c r="R377">
        <v>2019</v>
      </c>
    </row>
    <row r="378" spans="1:18" hidden="1" x14ac:dyDescent="0.35">
      <c r="A378" t="s">
        <v>661</v>
      </c>
      <c r="B378" s="22">
        <v>43647</v>
      </c>
      <c r="C378">
        <v>41</v>
      </c>
      <c r="D378">
        <v>51.189998626708977</v>
      </c>
      <c r="E378">
        <v>38.384998321533203</v>
      </c>
      <c r="F378">
        <v>45.534999847412109</v>
      </c>
      <c r="G378">
        <v>8217200</v>
      </c>
      <c r="H378">
        <v>43.575248718261719</v>
      </c>
      <c r="I378" t="s">
        <v>660</v>
      </c>
      <c r="J378" s="22">
        <v>45550</v>
      </c>
      <c r="K378">
        <v>0</v>
      </c>
      <c r="L378">
        <v>0</v>
      </c>
      <c r="M378">
        <v>5.2106704711914063</v>
      </c>
      <c r="N378">
        <v>0.13581939820653099</v>
      </c>
      <c r="O378">
        <v>4.5349998474121094</v>
      </c>
      <c r="P378">
        <v>10.189998626708981</v>
      </c>
      <c r="Q378" t="s">
        <v>586</v>
      </c>
      <c r="R378">
        <v>2019</v>
      </c>
    </row>
    <row r="379" spans="1:18" hidden="1" x14ac:dyDescent="0.35">
      <c r="A379" t="s">
        <v>661</v>
      </c>
      <c r="B379" s="22">
        <v>43678</v>
      </c>
      <c r="C379">
        <v>45.334999084472663</v>
      </c>
      <c r="D379">
        <v>46.830001831054688</v>
      </c>
      <c r="E379">
        <v>41</v>
      </c>
      <c r="F379">
        <v>44.509998321533203</v>
      </c>
      <c r="G379">
        <v>6229600</v>
      </c>
      <c r="H379">
        <v>42.5943603515625</v>
      </c>
      <c r="I379" t="s">
        <v>660</v>
      </c>
      <c r="J379" s="22">
        <v>45550</v>
      </c>
      <c r="K379">
        <v>8.5000000000000006E-2</v>
      </c>
      <c r="L379">
        <v>0</v>
      </c>
      <c r="M379">
        <v>-0.98088836669921875</v>
      </c>
      <c r="N379">
        <v>-2.2510190607525789E-2</v>
      </c>
      <c r="O379">
        <v>-0.82500076293945313</v>
      </c>
      <c r="P379">
        <v>1.495002746582031</v>
      </c>
      <c r="Q379" t="s">
        <v>588</v>
      </c>
      <c r="R379">
        <v>2019</v>
      </c>
    </row>
    <row r="380" spans="1:18" hidden="1" x14ac:dyDescent="0.35">
      <c r="A380" t="s">
        <v>661</v>
      </c>
      <c r="B380" s="22">
        <v>43709</v>
      </c>
      <c r="C380">
        <v>43.555000305175781</v>
      </c>
      <c r="D380">
        <v>47.955001831054688</v>
      </c>
      <c r="E380">
        <v>42.474998474121087</v>
      </c>
      <c r="F380">
        <v>45.215000152587891</v>
      </c>
      <c r="G380">
        <v>6246600</v>
      </c>
      <c r="H380">
        <v>43.353836059570313</v>
      </c>
      <c r="I380" t="s">
        <v>660</v>
      </c>
      <c r="J380" s="22">
        <v>45550</v>
      </c>
      <c r="K380">
        <v>0</v>
      </c>
      <c r="L380">
        <v>0</v>
      </c>
      <c r="M380">
        <v>0.7594757080078125</v>
      </c>
      <c r="N380">
        <v>1.5839179007868461E-2</v>
      </c>
      <c r="O380">
        <v>1.6599998474121089</v>
      </c>
      <c r="P380">
        <v>4.4000015258789063</v>
      </c>
      <c r="Q380" t="s">
        <v>584</v>
      </c>
      <c r="R380">
        <v>2019</v>
      </c>
    </row>
    <row r="381" spans="1:18" hidden="1" x14ac:dyDescent="0.35">
      <c r="A381" t="s">
        <v>661</v>
      </c>
      <c r="B381" s="22">
        <v>43739</v>
      </c>
      <c r="C381">
        <v>45.275001525878913</v>
      </c>
      <c r="D381">
        <v>48.294998168945313</v>
      </c>
      <c r="E381">
        <v>42.314998626708977</v>
      </c>
      <c r="F381">
        <v>45.555000305175781</v>
      </c>
      <c r="G381">
        <v>9355800</v>
      </c>
      <c r="H381">
        <v>43.679851531982422</v>
      </c>
      <c r="I381" t="s">
        <v>660</v>
      </c>
      <c r="J381" s="22">
        <v>45550</v>
      </c>
      <c r="K381">
        <v>0</v>
      </c>
      <c r="L381">
        <v>0</v>
      </c>
      <c r="M381">
        <v>0.32601547241210938</v>
      </c>
      <c r="N381">
        <v>7.5196317912304966E-3</v>
      </c>
      <c r="O381">
        <v>0.279998779296875</v>
      </c>
      <c r="P381">
        <v>3.0199966430664058</v>
      </c>
      <c r="Q381" t="s">
        <v>587</v>
      </c>
      <c r="R381">
        <v>2019</v>
      </c>
    </row>
    <row r="382" spans="1:18" hidden="1" x14ac:dyDescent="0.35">
      <c r="A382" t="s">
        <v>661</v>
      </c>
      <c r="B382" s="22">
        <v>43770</v>
      </c>
      <c r="C382">
        <v>45.775001525878913</v>
      </c>
      <c r="D382">
        <v>48.395000457763672</v>
      </c>
      <c r="E382">
        <v>42.604999542236328</v>
      </c>
      <c r="F382">
        <v>45.744998931884773</v>
      </c>
      <c r="G382">
        <v>5507400</v>
      </c>
      <c r="H382">
        <v>43.862014770507813</v>
      </c>
      <c r="I382" t="s">
        <v>660</v>
      </c>
      <c r="J382" s="22">
        <v>45550</v>
      </c>
      <c r="K382">
        <v>9.5000000000000001E-2</v>
      </c>
      <c r="L382">
        <v>0</v>
      </c>
      <c r="M382">
        <v>0.1821632385253906</v>
      </c>
      <c r="N382">
        <v>4.1707523967988713E-3</v>
      </c>
      <c r="O382">
        <v>-3.0002593994140622E-2</v>
      </c>
      <c r="P382">
        <v>2.6199989318847661</v>
      </c>
      <c r="Q382" t="s">
        <v>585</v>
      </c>
      <c r="R382">
        <v>2019</v>
      </c>
    </row>
    <row r="383" spans="1:18" hidden="1" x14ac:dyDescent="0.35">
      <c r="A383" t="s">
        <v>661</v>
      </c>
      <c r="B383" s="22">
        <v>43800</v>
      </c>
      <c r="C383">
        <v>45.595001220703118</v>
      </c>
      <c r="D383">
        <v>49.849998474121087</v>
      </c>
      <c r="E383">
        <v>42.700000762939453</v>
      </c>
      <c r="F383">
        <v>49.455001831054688</v>
      </c>
      <c r="G383">
        <v>6457000</v>
      </c>
      <c r="H383">
        <v>47.515399932861328</v>
      </c>
      <c r="I383" t="s">
        <v>660</v>
      </c>
      <c r="J383" s="22">
        <v>45550</v>
      </c>
      <c r="K383">
        <v>0</v>
      </c>
      <c r="L383">
        <v>0</v>
      </c>
      <c r="M383">
        <v>3.6533851623535161</v>
      </c>
      <c r="N383">
        <v>8.1101825025598817E-2</v>
      </c>
      <c r="O383">
        <v>3.8600006103515621</v>
      </c>
      <c r="P383">
        <v>4.2549972534179688</v>
      </c>
      <c r="Q383" t="s">
        <v>584</v>
      </c>
      <c r="R383">
        <v>2019</v>
      </c>
    </row>
    <row r="384" spans="1:18" hidden="1" x14ac:dyDescent="0.35">
      <c r="A384" t="s">
        <v>661</v>
      </c>
      <c r="B384" s="22">
        <v>43831</v>
      </c>
      <c r="C384">
        <v>49.630001068115227</v>
      </c>
      <c r="D384">
        <v>53.360000610351563</v>
      </c>
      <c r="E384">
        <v>47.924999237060547</v>
      </c>
      <c r="F384">
        <v>48.834999084472663</v>
      </c>
      <c r="G384">
        <v>8057000</v>
      </c>
      <c r="H384">
        <v>46.919719696044922</v>
      </c>
      <c r="I384" t="s">
        <v>660</v>
      </c>
      <c r="J384" s="22">
        <v>45550</v>
      </c>
      <c r="K384">
        <v>0</v>
      </c>
      <c r="L384">
        <v>0</v>
      </c>
      <c r="M384">
        <v>-0.59568023681640625</v>
      </c>
      <c r="N384">
        <v>-1.2536704552151281E-2</v>
      </c>
      <c r="O384">
        <v>-0.79500198364257813</v>
      </c>
      <c r="P384">
        <v>3.7299995422363281</v>
      </c>
      <c r="Q384" t="s">
        <v>582</v>
      </c>
      <c r="R384">
        <v>2020</v>
      </c>
    </row>
    <row r="385" spans="1:18" hidden="1" x14ac:dyDescent="0.35">
      <c r="A385" t="s">
        <v>661</v>
      </c>
      <c r="B385" s="22">
        <v>43862</v>
      </c>
      <c r="C385">
        <v>48.775001525878913</v>
      </c>
      <c r="D385">
        <v>55.779998779296882</v>
      </c>
      <c r="E385">
        <v>42.025001525878913</v>
      </c>
      <c r="F385">
        <v>43.525001525878913</v>
      </c>
      <c r="G385">
        <v>11918400</v>
      </c>
      <c r="H385">
        <v>41.817966461181641</v>
      </c>
      <c r="I385" t="s">
        <v>660</v>
      </c>
      <c r="J385" s="22">
        <v>45550</v>
      </c>
      <c r="K385">
        <v>9.5000000000000001E-2</v>
      </c>
      <c r="L385">
        <v>0</v>
      </c>
      <c r="M385">
        <v>-5.1017532348632813</v>
      </c>
      <c r="N385">
        <v>-0.1087334423700663</v>
      </c>
      <c r="O385">
        <v>-5.25</v>
      </c>
      <c r="P385">
        <v>7.0049972534179688</v>
      </c>
      <c r="Q385" t="s">
        <v>583</v>
      </c>
      <c r="R385">
        <v>2020</v>
      </c>
    </row>
    <row r="386" spans="1:18" hidden="1" x14ac:dyDescent="0.35">
      <c r="A386" t="s">
        <v>661</v>
      </c>
      <c r="B386" s="22">
        <v>43891</v>
      </c>
      <c r="C386">
        <v>43.814998626708977</v>
      </c>
      <c r="D386">
        <v>48.880001068115227</v>
      </c>
      <c r="E386">
        <v>38.569999694824219</v>
      </c>
      <c r="F386">
        <v>44.165000915527337</v>
      </c>
      <c r="G386">
        <v>15352400</v>
      </c>
      <c r="H386">
        <v>42.521232604980469</v>
      </c>
      <c r="I386" t="s">
        <v>660</v>
      </c>
      <c r="J386" s="22">
        <v>45550</v>
      </c>
      <c r="K386">
        <v>0</v>
      </c>
      <c r="L386">
        <v>0</v>
      </c>
      <c r="M386">
        <v>0.70326614379882813</v>
      </c>
      <c r="N386">
        <v>1.47041784540296E-2</v>
      </c>
      <c r="O386">
        <v>0.35000228881835938</v>
      </c>
      <c r="P386">
        <v>5.06500244140625</v>
      </c>
      <c r="Q386" t="s">
        <v>584</v>
      </c>
      <c r="R386">
        <v>2020</v>
      </c>
    </row>
    <row r="387" spans="1:18" hidden="1" x14ac:dyDescent="0.35">
      <c r="A387" t="s">
        <v>661</v>
      </c>
      <c r="B387" s="22">
        <v>43922</v>
      </c>
      <c r="C387">
        <v>42.505001068115227</v>
      </c>
      <c r="D387">
        <v>54.119998931884773</v>
      </c>
      <c r="E387">
        <v>39.375</v>
      </c>
      <c r="F387">
        <v>51.174999237060547</v>
      </c>
      <c r="G387">
        <v>9852000</v>
      </c>
      <c r="H387">
        <v>49.270313262939453</v>
      </c>
      <c r="I387" t="s">
        <v>660</v>
      </c>
      <c r="J387" s="22">
        <v>45550</v>
      </c>
      <c r="K387">
        <v>0</v>
      </c>
      <c r="L387">
        <v>0</v>
      </c>
      <c r="M387">
        <v>6.7490806579589844</v>
      </c>
      <c r="N387">
        <v>0.1587229293834036</v>
      </c>
      <c r="O387">
        <v>8.6699981689453125</v>
      </c>
      <c r="P387">
        <v>11.614997863769529</v>
      </c>
      <c r="Q387" t="s">
        <v>582</v>
      </c>
      <c r="R387">
        <v>2020</v>
      </c>
    </row>
    <row r="388" spans="1:18" hidden="1" x14ac:dyDescent="0.35">
      <c r="A388" t="s">
        <v>661</v>
      </c>
      <c r="B388" s="22">
        <v>43952</v>
      </c>
      <c r="C388">
        <v>49.639999389648438</v>
      </c>
      <c r="D388">
        <v>56.909999847412109</v>
      </c>
      <c r="E388">
        <v>47.375</v>
      </c>
      <c r="F388">
        <v>54.174999237060547</v>
      </c>
      <c r="G388">
        <v>9370400</v>
      </c>
      <c r="H388">
        <v>52.158657073974609</v>
      </c>
      <c r="I388" t="s">
        <v>660</v>
      </c>
      <c r="J388" s="22">
        <v>45550</v>
      </c>
      <c r="K388">
        <v>0.105</v>
      </c>
      <c r="L388">
        <v>0</v>
      </c>
      <c r="M388">
        <v>2.8883438110351558</v>
      </c>
      <c r="N388">
        <v>5.8622375080123579E-2</v>
      </c>
      <c r="O388">
        <v>4.5349998474121094</v>
      </c>
      <c r="P388">
        <v>7.2700004577636719</v>
      </c>
      <c r="Q388" t="s">
        <v>585</v>
      </c>
      <c r="R388">
        <v>2020</v>
      </c>
    </row>
    <row r="389" spans="1:18" hidden="1" x14ac:dyDescent="0.35">
      <c r="A389" t="s">
        <v>661</v>
      </c>
      <c r="B389" s="22">
        <v>43983</v>
      </c>
      <c r="C389">
        <v>53.889999389648438</v>
      </c>
      <c r="D389">
        <v>61.224998474121087</v>
      </c>
      <c r="E389">
        <v>53.5</v>
      </c>
      <c r="F389">
        <v>59.064998626708977</v>
      </c>
      <c r="G389">
        <v>9438600</v>
      </c>
      <c r="H389">
        <v>56.97271728515625</v>
      </c>
      <c r="I389" t="s">
        <v>660</v>
      </c>
      <c r="J389" s="22">
        <v>45550</v>
      </c>
      <c r="K389">
        <v>0</v>
      </c>
      <c r="L389">
        <v>0</v>
      </c>
      <c r="M389">
        <v>4.8140602111816406</v>
      </c>
      <c r="N389">
        <v>9.0263026460796647E-2</v>
      </c>
      <c r="O389">
        <v>5.1749992370605469</v>
      </c>
      <c r="P389">
        <v>7.3349990844726563</v>
      </c>
      <c r="Q389" t="s">
        <v>586</v>
      </c>
      <c r="R389">
        <v>2020</v>
      </c>
    </row>
    <row r="390" spans="1:18" hidden="1" x14ac:dyDescent="0.35">
      <c r="A390" t="s">
        <v>661</v>
      </c>
      <c r="B390" s="22">
        <v>44013</v>
      </c>
      <c r="C390">
        <v>58.974998474121087</v>
      </c>
      <c r="D390">
        <v>63.694999694824219</v>
      </c>
      <c r="E390">
        <v>57.599998474121087</v>
      </c>
      <c r="F390">
        <v>61.014999389648438</v>
      </c>
      <c r="G390">
        <v>8953000</v>
      </c>
      <c r="H390">
        <v>58.853641510009773</v>
      </c>
      <c r="I390" t="s">
        <v>660</v>
      </c>
      <c r="J390" s="22">
        <v>45550</v>
      </c>
      <c r="K390">
        <v>0</v>
      </c>
      <c r="L390">
        <v>0</v>
      </c>
      <c r="M390">
        <v>1.8809242248535161</v>
      </c>
      <c r="N390">
        <v>3.3014489262303437E-2</v>
      </c>
      <c r="O390">
        <v>2.0400009155273442</v>
      </c>
      <c r="P390">
        <v>4.720001220703125</v>
      </c>
      <c r="Q390" t="s">
        <v>582</v>
      </c>
      <c r="R390">
        <v>2020</v>
      </c>
    </row>
    <row r="391" spans="1:18" hidden="1" x14ac:dyDescent="0.35">
      <c r="A391" t="s">
        <v>661</v>
      </c>
      <c r="B391" s="22">
        <v>44044</v>
      </c>
      <c r="C391">
        <v>61.419998168945313</v>
      </c>
      <c r="D391">
        <v>61.604999542236328</v>
      </c>
      <c r="E391">
        <v>55.340000152587891</v>
      </c>
      <c r="F391">
        <v>55.970001220703118</v>
      </c>
      <c r="G391">
        <v>6274800</v>
      </c>
      <c r="H391">
        <v>53.987346649169922</v>
      </c>
      <c r="I391" t="s">
        <v>660</v>
      </c>
      <c r="J391" s="22">
        <v>45550</v>
      </c>
      <c r="K391">
        <v>0.11</v>
      </c>
      <c r="L391">
        <v>2</v>
      </c>
      <c r="M391">
        <v>-4.8662948608398438</v>
      </c>
      <c r="N391">
        <v>-8.2684556574808776E-2</v>
      </c>
      <c r="O391">
        <v>-5.4499969482421884</v>
      </c>
      <c r="P391">
        <v>0.1850013732910156</v>
      </c>
      <c r="Q391" t="s">
        <v>583</v>
      </c>
      <c r="R391">
        <v>2020</v>
      </c>
    </row>
    <row r="392" spans="1:18" hidden="1" x14ac:dyDescent="0.35">
      <c r="A392" t="s">
        <v>661</v>
      </c>
      <c r="B392" s="22">
        <v>44075</v>
      </c>
      <c r="C392">
        <v>55.849998474121087</v>
      </c>
      <c r="D392">
        <v>58.119998931884773</v>
      </c>
      <c r="E392">
        <v>50.340000152587891</v>
      </c>
      <c r="F392">
        <v>55.400001525878913</v>
      </c>
      <c r="G392">
        <v>8595000</v>
      </c>
      <c r="H392">
        <v>53.543472290039063</v>
      </c>
      <c r="I392" t="s">
        <v>660</v>
      </c>
      <c r="J392" s="22">
        <v>45550</v>
      </c>
      <c r="K392">
        <v>0</v>
      </c>
      <c r="L392">
        <v>0</v>
      </c>
      <c r="M392">
        <v>-0.44387435913085938</v>
      </c>
      <c r="N392">
        <v>-1.018402148280417E-2</v>
      </c>
      <c r="O392">
        <v>-0.4499969482421875</v>
      </c>
      <c r="P392">
        <v>2.2700004577636719</v>
      </c>
      <c r="Q392" t="s">
        <v>587</v>
      </c>
      <c r="R392">
        <v>2020</v>
      </c>
    </row>
    <row r="393" spans="1:18" hidden="1" x14ac:dyDescent="0.35">
      <c r="A393" t="s">
        <v>661</v>
      </c>
      <c r="B393" s="22">
        <v>44105</v>
      </c>
      <c r="C393">
        <v>56.060001373291023</v>
      </c>
      <c r="D393">
        <v>62.529998779296882</v>
      </c>
      <c r="E393">
        <v>53.680000305175781</v>
      </c>
      <c r="F393">
        <v>60.209999084472663</v>
      </c>
      <c r="G393">
        <v>7508800</v>
      </c>
      <c r="H393">
        <v>58.192287445068359</v>
      </c>
      <c r="I393" t="s">
        <v>660</v>
      </c>
      <c r="J393" s="22">
        <v>45550</v>
      </c>
      <c r="K393">
        <v>0</v>
      </c>
      <c r="L393">
        <v>0</v>
      </c>
      <c r="M393">
        <v>4.6488151550292969</v>
      </c>
      <c r="N393">
        <v>8.6823058233073569E-2</v>
      </c>
      <c r="O393">
        <v>4.1499977111816406</v>
      </c>
      <c r="P393">
        <v>6.4699974060058594</v>
      </c>
      <c r="Q393" t="s">
        <v>588</v>
      </c>
      <c r="R393">
        <v>2020</v>
      </c>
    </row>
    <row r="394" spans="1:18" hidden="1" x14ac:dyDescent="0.35">
      <c r="A394" t="s">
        <v>661</v>
      </c>
      <c r="B394" s="22">
        <v>44136</v>
      </c>
      <c r="C394">
        <v>61.090000152587891</v>
      </c>
      <c r="D394">
        <v>71.75</v>
      </c>
      <c r="E394">
        <v>57.900001525878913</v>
      </c>
      <c r="F394">
        <v>71.389999389648438</v>
      </c>
      <c r="G394">
        <v>7075900</v>
      </c>
      <c r="H394">
        <v>68.997627258300781</v>
      </c>
      <c r="I394" t="s">
        <v>660</v>
      </c>
      <c r="J394" s="22">
        <v>45550</v>
      </c>
      <c r="K394">
        <v>0.11</v>
      </c>
      <c r="L394">
        <v>0</v>
      </c>
      <c r="M394">
        <v>10.80533981323242</v>
      </c>
      <c r="N394">
        <v>0.18568344918076821</v>
      </c>
      <c r="O394">
        <v>10.29999923706055</v>
      </c>
      <c r="P394">
        <v>10.659999847412109</v>
      </c>
      <c r="Q394" t="s">
        <v>584</v>
      </c>
      <c r="R394">
        <v>2020</v>
      </c>
    </row>
    <row r="395" spans="1:18" hidden="1" x14ac:dyDescent="0.35">
      <c r="A395" t="s">
        <v>661</v>
      </c>
      <c r="B395" s="22">
        <v>44166</v>
      </c>
      <c r="C395">
        <v>72.389999389648438</v>
      </c>
      <c r="D395">
        <v>82.029998779296875</v>
      </c>
      <c r="E395">
        <v>71.360000610351563</v>
      </c>
      <c r="F395">
        <v>81.860000610351563</v>
      </c>
      <c r="G395">
        <v>6823100</v>
      </c>
      <c r="H395">
        <v>79.241935729980469</v>
      </c>
      <c r="I395" t="s">
        <v>660</v>
      </c>
      <c r="J395" s="22">
        <v>45550</v>
      </c>
      <c r="K395">
        <v>0</v>
      </c>
      <c r="L395">
        <v>0</v>
      </c>
      <c r="M395">
        <v>10.244308471679689</v>
      </c>
      <c r="N395">
        <v>0.14665921431876749</v>
      </c>
      <c r="O395">
        <v>9.470001220703125</v>
      </c>
      <c r="P395">
        <v>9.6399993896484375</v>
      </c>
      <c r="Q395" t="s">
        <v>587</v>
      </c>
      <c r="R395">
        <v>2020</v>
      </c>
    </row>
    <row r="396" spans="1:18" hidden="1" x14ac:dyDescent="0.35">
      <c r="A396" t="s">
        <v>661</v>
      </c>
      <c r="B396" s="22">
        <v>44197</v>
      </c>
      <c r="C396">
        <v>82.519996643066406</v>
      </c>
      <c r="D396">
        <v>99.050003051757813</v>
      </c>
      <c r="E396">
        <v>80.330001831054688</v>
      </c>
      <c r="F396">
        <v>80.550003051757813</v>
      </c>
      <c r="G396">
        <v>8008800</v>
      </c>
      <c r="H396">
        <v>77.973831176757813</v>
      </c>
      <c r="I396" t="s">
        <v>660</v>
      </c>
      <c r="J396" s="22">
        <v>45550</v>
      </c>
      <c r="K396">
        <v>0</v>
      </c>
      <c r="L396">
        <v>0</v>
      </c>
      <c r="M396">
        <v>-1.268104553222656</v>
      </c>
      <c r="N396">
        <v>-1.6002901891355451E-2</v>
      </c>
      <c r="O396">
        <v>-1.969993591308594</v>
      </c>
      <c r="P396">
        <v>16.53000640869141</v>
      </c>
      <c r="Q396" t="s">
        <v>585</v>
      </c>
      <c r="R396">
        <v>2021</v>
      </c>
    </row>
    <row r="397" spans="1:18" hidden="1" x14ac:dyDescent="0.35">
      <c r="A397" t="s">
        <v>661</v>
      </c>
      <c r="B397" s="22">
        <v>44228</v>
      </c>
      <c r="C397">
        <v>82.550003051757813</v>
      </c>
      <c r="D397">
        <v>95.959999084472656</v>
      </c>
      <c r="E397">
        <v>80.269996643066406</v>
      </c>
      <c r="F397">
        <v>88.370002746582031</v>
      </c>
      <c r="G397">
        <v>9165800</v>
      </c>
      <c r="H397">
        <v>85.543716430664063</v>
      </c>
      <c r="I397" t="s">
        <v>660</v>
      </c>
      <c r="J397" s="22">
        <v>45550</v>
      </c>
      <c r="K397">
        <v>0.13</v>
      </c>
      <c r="L397">
        <v>0</v>
      </c>
      <c r="M397">
        <v>7.56988525390625</v>
      </c>
      <c r="N397">
        <v>9.708254995098442E-2</v>
      </c>
      <c r="O397">
        <v>5.8199996948242188</v>
      </c>
      <c r="P397">
        <v>13.40999603271484</v>
      </c>
      <c r="Q397" t="s">
        <v>586</v>
      </c>
      <c r="R397">
        <v>2021</v>
      </c>
    </row>
    <row r="398" spans="1:18" hidden="1" x14ac:dyDescent="0.35">
      <c r="A398" t="s">
        <v>661</v>
      </c>
      <c r="B398" s="22">
        <v>44256</v>
      </c>
      <c r="C398">
        <v>90.349998474121094</v>
      </c>
      <c r="D398">
        <v>91.529998779296875</v>
      </c>
      <c r="E398">
        <v>75.800003051757813</v>
      </c>
      <c r="F398">
        <v>81.480003356933594</v>
      </c>
      <c r="G398">
        <v>9170500</v>
      </c>
      <c r="H398">
        <v>78.984748840332031</v>
      </c>
      <c r="I398" t="s">
        <v>660</v>
      </c>
      <c r="J398" s="22">
        <v>45550</v>
      </c>
      <c r="K398">
        <v>0</v>
      </c>
      <c r="L398">
        <v>0</v>
      </c>
      <c r="M398">
        <v>-6.5589675903320313</v>
      </c>
      <c r="N398">
        <v>-7.7967626745546581E-2</v>
      </c>
      <c r="O398">
        <v>-8.8699951171875</v>
      </c>
      <c r="P398">
        <v>1.180000305175781</v>
      </c>
      <c r="Q398" t="s">
        <v>586</v>
      </c>
      <c r="R398">
        <v>2021</v>
      </c>
    </row>
    <row r="399" spans="1:18" hidden="1" x14ac:dyDescent="0.35">
      <c r="A399" t="s">
        <v>661</v>
      </c>
      <c r="B399" s="22">
        <v>44287</v>
      </c>
      <c r="C399">
        <v>82.930000305175781</v>
      </c>
      <c r="D399">
        <v>88.069999694824219</v>
      </c>
      <c r="E399">
        <v>76.410003662109375</v>
      </c>
      <c r="F399">
        <v>82.80999755859375</v>
      </c>
      <c r="G399">
        <v>6747400</v>
      </c>
      <c r="H399">
        <v>80.274002075195313</v>
      </c>
      <c r="I399" t="s">
        <v>660</v>
      </c>
      <c r="J399" s="22">
        <v>45550</v>
      </c>
      <c r="K399">
        <v>0</v>
      </c>
      <c r="L399">
        <v>0</v>
      </c>
      <c r="M399">
        <v>1.289253234863281</v>
      </c>
      <c r="N399">
        <v>1.6322952219748329E-2</v>
      </c>
      <c r="O399">
        <v>-0.12000274658203119</v>
      </c>
      <c r="P399">
        <v>5.1399993896484384</v>
      </c>
      <c r="Q399" t="s">
        <v>588</v>
      </c>
      <c r="R399">
        <v>2021</v>
      </c>
    </row>
    <row r="400" spans="1:18" hidden="1" x14ac:dyDescent="0.35">
      <c r="A400" t="s">
        <v>661</v>
      </c>
      <c r="B400" s="22">
        <v>44317</v>
      </c>
      <c r="C400">
        <v>84.110000610351563</v>
      </c>
      <c r="D400">
        <v>84.370002746582031</v>
      </c>
      <c r="E400">
        <v>73.040000915527344</v>
      </c>
      <c r="F400">
        <v>82.19000244140625</v>
      </c>
      <c r="G400">
        <v>6989300</v>
      </c>
      <c r="H400">
        <v>79.673011779785156</v>
      </c>
      <c r="I400" t="s">
        <v>660</v>
      </c>
      <c r="J400" s="22">
        <v>45550</v>
      </c>
      <c r="K400">
        <v>0.13</v>
      </c>
      <c r="L400">
        <v>0</v>
      </c>
      <c r="M400">
        <v>-0.60099029541015625</v>
      </c>
      <c r="N400">
        <v>-7.4869597327159587E-3</v>
      </c>
      <c r="O400">
        <v>-1.9199981689453121</v>
      </c>
      <c r="P400">
        <v>0.26000213623046881</v>
      </c>
      <c r="Q400" t="s">
        <v>583</v>
      </c>
      <c r="R400">
        <v>2021</v>
      </c>
    </row>
    <row r="401" spans="1:18" hidden="1" x14ac:dyDescent="0.35">
      <c r="A401" t="s">
        <v>661</v>
      </c>
      <c r="B401" s="22">
        <v>44348</v>
      </c>
      <c r="C401">
        <v>82.419998168945313</v>
      </c>
      <c r="D401">
        <v>84.900001525878906</v>
      </c>
      <c r="E401">
        <v>77.330001831054688</v>
      </c>
      <c r="F401">
        <v>82.05999755859375</v>
      </c>
      <c r="G401">
        <v>5364900</v>
      </c>
      <c r="H401">
        <v>79.673072814941406</v>
      </c>
      <c r="I401" t="s">
        <v>660</v>
      </c>
      <c r="J401" s="22">
        <v>45550</v>
      </c>
      <c r="K401">
        <v>0</v>
      </c>
      <c r="L401">
        <v>0</v>
      </c>
      <c r="M401">
        <v>6.103515625E-5</v>
      </c>
      <c r="N401">
        <v>-1.581760298707602E-3</v>
      </c>
      <c r="O401">
        <v>-0.3600006103515625</v>
      </c>
      <c r="P401">
        <v>2.4800033569335942</v>
      </c>
      <c r="Q401" t="s">
        <v>587</v>
      </c>
      <c r="R401">
        <v>2021</v>
      </c>
    </row>
    <row r="402" spans="1:18" hidden="1" x14ac:dyDescent="0.35">
      <c r="A402" t="s">
        <v>661</v>
      </c>
      <c r="B402" s="22">
        <v>44378</v>
      </c>
      <c r="C402">
        <v>82.069999694824219</v>
      </c>
      <c r="D402">
        <v>97.430000305175781</v>
      </c>
      <c r="E402">
        <v>76.30999755859375</v>
      </c>
      <c r="F402">
        <v>96.989997863769531</v>
      </c>
      <c r="G402">
        <v>7017600</v>
      </c>
      <c r="H402">
        <v>94.168815612792969</v>
      </c>
      <c r="I402" t="s">
        <v>660</v>
      </c>
      <c r="J402" s="22">
        <v>45550</v>
      </c>
      <c r="K402">
        <v>0</v>
      </c>
      <c r="L402">
        <v>0</v>
      </c>
      <c r="M402">
        <v>14.495742797851561</v>
      </c>
      <c r="N402">
        <v>0.18194005300225879</v>
      </c>
      <c r="O402">
        <v>14.919998168945311</v>
      </c>
      <c r="P402">
        <v>15.360000610351561</v>
      </c>
      <c r="Q402" t="s">
        <v>588</v>
      </c>
      <c r="R402">
        <v>2021</v>
      </c>
    </row>
    <row r="403" spans="1:18" hidden="1" x14ac:dyDescent="0.35">
      <c r="A403" t="s">
        <v>661</v>
      </c>
      <c r="B403" s="22">
        <v>44409</v>
      </c>
      <c r="C403">
        <v>98.25</v>
      </c>
      <c r="D403">
        <v>110.61000061035161</v>
      </c>
      <c r="E403">
        <v>95.279998779296875</v>
      </c>
      <c r="F403">
        <v>108.63999938964839</v>
      </c>
      <c r="G403">
        <v>7056400</v>
      </c>
      <c r="H403">
        <v>105.4799499511719</v>
      </c>
      <c r="I403" t="s">
        <v>660</v>
      </c>
      <c r="J403" s="22">
        <v>45550</v>
      </c>
      <c r="K403">
        <v>0.13</v>
      </c>
      <c r="L403">
        <v>0</v>
      </c>
      <c r="M403">
        <v>11.31113433837891</v>
      </c>
      <c r="N403">
        <v>0.1201154942001577</v>
      </c>
      <c r="O403">
        <v>10.389999389648439</v>
      </c>
      <c r="P403">
        <v>12.360000610351561</v>
      </c>
      <c r="Q403" t="s">
        <v>584</v>
      </c>
      <c r="R403">
        <v>2021</v>
      </c>
    </row>
    <row r="404" spans="1:18" hidden="1" x14ac:dyDescent="0.35">
      <c r="A404" t="s">
        <v>661</v>
      </c>
      <c r="B404" s="22">
        <v>44440</v>
      </c>
      <c r="C404">
        <v>108.870002746582</v>
      </c>
      <c r="D404">
        <v>110.6600036621094</v>
      </c>
      <c r="E404">
        <v>98.739997863769531</v>
      </c>
      <c r="F404">
        <v>98.989997863769531</v>
      </c>
      <c r="G404">
        <v>6429900</v>
      </c>
      <c r="H404">
        <v>96.225982666015625</v>
      </c>
      <c r="I404" t="s">
        <v>660</v>
      </c>
      <c r="J404" s="22">
        <v>45550</v>
      </c>
      <c r="K404">
        <v>0</v>
      </c>
      <c r="L404">
        <v>0</v>
      </c>
      <c r="M404">
        <v>-9.25396728515625</v>
      </c>
      <c r="N404">
        <v>-8.8825493189374827E-2</v>
      </c>
      <c r="O404">
        <v>-9.8800048828125</v>
      </c>
      <c r="P404">
        <v>1.790000915527344</v>
      </c>
      <c r="Q404" t="s">
        <v>582</v>
      </c>
      <c r="R404">
        <v>2021</v>
      </c>
    </row>
    <row r="405" spans="1:18" hidden="1" x14ac:dyDescent="0.35">
      <c r="A405" t="s">
        <v>661</v>
      </c>
      <c r="B405" s="22">
        <v>44470</v>
      </c>
      <c r="C405">
        <v>99.680000305175781</v>
      </c>
      <c r="D405">
        <v>107.120002746582</v>
      </c>
      <c r="E405">
        <v>96.480003356933594</v>
      </c>
      <c r="F405">
        <v>103.2099990844727</v>
      </c>
      <c r="G405">
        <v>5568500</v>
      </c>
      <c r="H405">
        <v>100.3281631469727</v>
      </c>
      <c r="I405" t="s">
        <v>660</v>
      </c>
      <c r="J405" s="22">
        <v>45550</v>
      </c>
      <c r="K405">
        <v>0</v>
      </c>
      <c r="L405">
        <v>0</v>
      </c>
      <c r="M405">
        <v>4.1021804809570313</v>
      </c>
      <c r="N405">
        <v>4.2630581995876993E-2</v>
      </c>
      <c r="O405">
        <v>3.529998779296875</v>
      </c>
      <c r="P405">
        <v>7.44000244140625</v>
      </c>
      <c r="Q405" t="s">
        <v>585</v>
      </c>
      <c r="R405">
        <v>2021</v>
      </c>
    </row>
    <row r="406" spans="1:18" hidden="1" x14ac:dyDescent="0.35">
      <c r="A406" t="s">
        <v>661</v>
      </c>
      <c r="B406" s="22">
        <v>44501</v>
      </c>
      <c r="C406">
        <v>103.7900009155273</v>
      </c>
      <c r="D406">
        <v>110.4300003051758</v>
      </c>
      <c r="E406">
        <v>97.339996337890625</v>
      </c>
      <c r="F406">
        <v>100.0299987792969</v>
      </c>
      <c r="G406">
        <v>6477500</v>
      </c>
      <c r="H406">
        <v>97.236953735351563</v>
      </c>
      <c r="I406" t="s">
        <v>660</v>
      </c>
      <c r="J406" s="22">
        <v>45550</v>
      </c>
      <c r="K406">
        <v>0.15</v>
      </c>
      <c r="L406">
        <v>0</v>
      </c>
      <c r="M406">
        <v>-3.0912094116210942</v>
      </c>
      <c r="N406">
        <v>-3.0810971159616951E-2</v>
      </c>
      <c r="O406">
        <v>-3.7600021362304692</v>
      </c>
      <c r="P406">
        <v>6.6399993896484384</v>
      </c>
      <c r="Q406" t="s">
        <v>586</v>
      </c>
      <c r="R406">
        <v>2021</v>
      </c>
    </row>
    <row r="407" spans="1:18" hidden="1" x14ac:dyDescent="0.35">
      <c r="A407" t="s">
        <v>661</v>
      </c>
      <c r="B407" s="22">
        <v>44531</v>
      </c>
      <c r="C407">
        <v>102.40000152587891</v>
      </c>
      <c r="D407">
        <v>104.1600036621094</v>
      </c>
      <c r="E407">
        <v>84.709999084472656</v>
      </c>
      <c r="F407">
        <v>92.889999389648438</v>
      </c>
      <c r="G407">
        <v>22917800</v>
      </c>
      <c r="H407">
        <v>90.428794860839844</v>
      </c>
      <c r="I407" t="s">
        <v>660</v>
      </c>
      <c r="J407" s="22">
        <v>45550</v>
      </c>
      <c r="K407">
        <v>0</v>
      </c>
      <c r="L407">
        <v>0</v>
      </c>
      <c r="M407">
        <v>-6.8081588745117188</v>
      </c>
      <c r="N407">
        <v>-7.1378581193446866E-2</v>
      </c>
      <c r="O407">
        <v>-9.5100021362304688</v>
      </c>
      <c r="P407">
        <v>1.760002136230469</v>
      </c>
      <c r="Q407" t="s">
        <v>582</v>
      </c>
      <c r="R407">
        <v>2021</v>
      </c>
    </row>
    <row r="408" spans="1:18" hidden="1" x14ac:dyDescent="0.35">
      <c r="A408" t="s">
        <v>661</v>
      </c>
      <c r="B408" s="22">
        <v>44562</v>
      </c>
      <c r="C408">
        <v>93</v>
      </c>
      <c r="D408">
        <v>94.580001831054688</v>
      </c>
      <c r="E408">
        <v>72.5</v>
      </c>
      <c r="F408">
        <v>80.709999084472656</v>
      </c>
      <c r="G408">
        <v>9784400</v>
      </c>
      <c r="H408">
        <v>78.571525573730469</v>
      </c>
      <c r="I408" t="s">
        <v>660</v>
      </c>
      <c r="J408" s="22">
        <v>45550</v>
      </c>
      <c r="K408">
        <v>0</v>
      </c>
      <c r="L408">
        <v>0</v>
      </c>
      <c r="M408">
        <v>-11.85726928710938</v>
      </c>
      <c r="N408">
        <v>-0.13112283760584351</v>
      </c>
      <c r="O408">
        <v>-12.29000091552734</v>
      </c>
      <c r="P408">
        <v>1.5800018310546879</v>
      </c>
      <c r="Q408" t="s">
        <v>583</v>
      </c>
      <c r="R408">
        <v>2022</v>
      </c>
    </row>
    <row r="409" spans="1:18" hidden="1" x14ac:dyDescent="0.35">
      <c r="A409" t="s">
        <v>661</v>
      </c>
      <c r="B409" s="22">
        <v>44593</v>
      </c>
      <c r="C409">
        <v>80.959999084472656</v>
      </c>
      <c r="D409">
        <v>94.139999389648438</v>
      </c>
      <c r="E409">
        <v>78.349998474121094</v>
      </c>
      <c r="F409">
        <v>90</v>
      </c>
      <c r="G409">
        <v>10298000</v>
      </c>
      <c r="H409">
        <v>87.615386962890625</v>
      </c>
      <c r="I409" t="s">
        <v>660</v>
      </c>
      <c r="J409" s="22">
        <v>45550</v>
      </c>
      <c r="K409">
        <v>0.18</v>
      </c>
      <c r="L409">
        <v>0</v>
      </c>
      <c r="M409">
        <v>9.0438613891601563</v>
      </c>
      <c r="N409">
        <v>0.11510346946980191</v>
      </c>
      <c r="O409">
        <v>9.0400009155273438</v>
      </c>
      <c r="P409">
        <v>13.180000305175779</v>
      </c>
      <c r="Q409" t="s">
        <v>587</v>
      </c>
      <c r="R409">
        <v>2022</v>
      </c>
    </row>
    <row r="410" spans="1:18" hidden="1" x14ac:dyDescent="0.35">
      <c r="A410" t="s">
        <v>661</v>
      </c>
      <c r="B410" s="22">
        <v>44621</v>
      </c>
      <c r="C410">
        <v>89.720001220703125</v>
      </c>
      <c r="D410">
        <v>98.919998168945313</v>
      </c>
      <c r="E410">
        <v>83.089996337890625</v>
      </c>
      <c r="F410">
        <v>92.680000305175781</v>
      </c>
      <c r="G410">
        <v>10267700</v>
      </c>
      <c r="H410">
        <v>90.404716491699219</v>
      </c>
      <c r="I410" t="s">
        <v>660</v>
      </c>
      <c r="J410" s="22">
        <v>45550</v>
      </c>
      <c r="K410">
        <v>0</v>
      </c>
      <c r="L410">
        <v>0</v>
      </c>
      <c r="M410">
        <v>2.7893295288085942</v>
      </c>
      <c r="N410">
        <v>2.9777781168619729E-2</v>
      </c>
      <c r="O410">
        <v>2.9599990844726558</v>
      </c>
      <c r="P410">
        <v>9.1999969482421875</v>
      </c>
      <c r="Q410" t="s">
        <v>587</v>
      </c>
      <c r="R410">
        <v>2022</v>
      </c>
    </row>
    <row r="411" spans="1:18" hidden="1" x14ac:dyDescent="0.35">
      <c r="A411" t="s">
        <v>661</v>
      </c>
      <c r="B411" s="22">
        <v>44652</v>
      </c>
      <c r="C411">
        <v>92.879997253417969</v>
      </c>
      <c r="D411">
        <v>94.300003051757813</v>
      </c>
      <c r="E411">
        <v>77.889999389648438</v>
      </c>
      <c r="F411">
        <v>80</v>
      </c>
      <c r="G411">
        <v>8040800</v>
      </c>
      <c r="H411">
        <v>78.036026000976563</v>
      </c>
      <c r="I411" t="s">
        <v>660</v>
      </c>
      <c r="J411" s="22">
        <v>45550</v>
      </c>
      <c r="K411">
        <v>0</v>
      </c>
      <c r="L411">
        <v>0</v>
      </c>
      <c r="M411">
        <v>-12.36869049072266</v>
      </c>
      <c r="N411">
        <v>-0.13681484962692281</v>
      </c>
      <c r="O411">
        <v>-12.879997253417971</v>
      </c>
      <c r="P411">
        <v>1.420005798339844</v>
      </c>
      <c r="Q411" t="s">
        <v>585</v>
      </c>
      <c r="R411">
        <v>2022</v>
      </c>
    </row>
    <row r="412" spans="1:18" hidden="1" x14ac:dyDescent="0.35">
      <c r="A412" t="s">
        <v>661</v>
      </c>
      <c r="B412" s="22">
        <v>44682</v>
      </c>
      <c r="C412">
        <v>80.169998168945313</v>
      </c>
      <c r="D412">
        <v>88.120002746582031</v>
      </c>
      <c r="E412">
        <v>77.449996948242188</v>
      </c>
      <c r="F412">
        <v>84.379997253417969</v>
      </c>
      <c r="G412">
        <v>9012600</v>
      </c>
      <c r="H412">
        <v>82.308494567871094</v>
      </c>
      <c r="I412" t="s">
        <v>660</v>
      </c>
      <c r="J412" s="22">
        <v>45550</v>
      </c>
      <c r="K412">
        <v>0.18</v>
      </c>
      <c r="L412">
        <v>0</v>
      </c>
      <c r="M412">
        <v>4.2724685668945313</v>
      </c>
      <c r="N412">
        <v>5.4749965667724609E-2</v>
      </c>
      <c r="O412">
        <v>4.2099990844726563</v>
      </c>
      <c r="P412">
        <v>7.9500045776367188</v>
      </c>
      <c r="Q412" t="s">
        <v>584</v>
      </c>
      <c r="R412">
        <v>2022</v>
      </c>
    </row>
    <row r="413" spans="1:18" hidden="1" x14ac:dyDescent="0.35">
      <c r="A413" t="s">
        <v>661</v>
      </c>
      <c r="B413" s="22">
        <v>44713</v>
      </c>
      <c r="C413">
        <v>85.269996643066406</v>
      </c>
      <c r="D413">
        <v>86.510002136230469</v>
      </c>
      <c r="E413">
        <v>71.430000305175781</v>
      </c>
      <c r="F413">
        <v>75.010002136230469</v>
      </c>
      <c r="G413">
        <v>8152000</v>
      </c>
      <c r="H413">
        <v>73.330223083496094</v>
      </c>
      <c r="I413" t="s">
        <v>660</v>
      </c>
      <c r="J413" s="22">
        <v>45550</v>
      </c>
      <c r="K413">
        <v>0</v>
      </c>
      <c r="L413">
        <v>0</v>
      </c>
      <c r="M413">
        <v>-8.978271484375</v>
      </c>
      <c r="N413">
        <v>-0.11104521713892269</v>
      </c>
      <c r="O413">
        <v>-10.259994506835939</v>
      </c>
      <c r="P413">
        <v>1.2400054931640621</v>
      </c>
      <c r="Q413" t="s">
        <v>582</v>
      </c>
      <c r="R413">
        <v>2022</v>
      </c>
    </row>
    <row r="414" spans="1:18" hidden="1" x14ac:dyDescent="0.35">
      <c r="A414" t="s">
        <v>661</v>
      </c>
      <c r="B414" s="22">
        <v>44743</v>
      </c>
      <c r="C414">
        <v>73.900001525878906</v>
      </c>
      <c r="D414">
        <v>85.300003051757813</v>
      </c>
      <c r="E414">
        <v>67.260002136230469</v>
      </c>
      <c r="F414">
        <v>85.010002136230469</v>
      </c>
      <c r="G414">
        <v>7298800</v>
      </c>
      <c r="H414">
        <v>83.10626220703125</v>
      </c>
      <c r="I414" t="s">
        <v>660</v>
      </c>
      <c r="J414" s="22">
        <v>45550</v>
      </c>
      <c r="K414">
        <v>0</v>
      </c>
      <c r="L414">
        <v>0</v>
      </c>
      <c r="M414">
        <v>9.7760391235351563</v>
      </c>
      <c r="N414">
        <v>0.13331555412887949</v>
      </c>
      <c r="O414">
        <v>11.110000610351561</v>
      </c>
      <c r="P414">
        <v>11.40000152587891</v>
      </c>
      <c r="Q414" t="s">
        <v>585</v>
      </c>
      <c r="R414">
        <v>2022</v>
      </c>
    </row>
    <row r="415" spans="1:18" hidden="1" x14ac:dyDescent="0.35">
      <c r="A415" t="s">
        <v>661</v>
      </c>
      <c r="B415" s="22">
        <v>44774</v>
      </c>
      <c r="C415">
        <v>84.040000915527344</v>
      </c>
      <c r="D415">
        <v>85.769996643066406</v>
      </c>
      <c r="E415">
        <v>70.94000244140625</v>
      </c>
      <c r="F415">
        <v>71.529998779296875</v>
      </c>
      <c r="G415">
        <v>9215300</v>
      </c>
      <c r="H415">
        <v>69.928138732910156</v>
      </c>
      <c r="I415" t="s">
        <v>660</v>
      </c>
      <c r="J415" s="22">
        <v>45550</v>
      </c>
      <c r="K415">
        <v>0.18</v>
      </c>
      <c r="L415">
        <v>0</v>
      </c>
      <c r="M415">
        <v>-13.17812347412109</v>
      </c>
      <c r="N415">
        <v>-0.15856961555337429</v>
      </c>
      <c r="O415">
        <v>-12.510002136230471</v>
      </c>
      <c r="P415">
        <v>1.7299957275390621</v>
      </c>
      <c r="Q415" t="s">
        <v>586</v>
      </c>
      <c r="R415">
        <v>2022</v>
      </c>
    </row>
    <row r="416" spans="1:18" hidden="1" x14ac:dyDescent="0.35">
      <c r="A416" t="s">
        <v>661</v>
      </c>
      <c r="B416" s="22">
        <v>44805</v>
      </c>
      <c r="C416">
        <v>69.620002746582031</v>
      </c>
      <c r="D416">
        <v>71.430000305175781</v>
      </c>
      <c r="E416">
        <v>63.75</v>
      </c>
      <c r="F416">
        <v>64.319999694824219</v>
      </c>
      <c r="G416">
        <v>11960500</v>
      </c>
      <c r="H416">
        <v>63.032661437988281</v>
      </c>
      <c r="I416" t="s">
        <v>660</v>
      </c>
      <c r="J416" s="22">
        <v>45550</v>
      </c>
      <c r="K416">
        <v>0</v>
      </c>
      <c r="L416">
        <v>0</v>
      </c>
      <c r="M416">
        <v>-6.895477294921875</v>
      </c>
      <c r="N416">
        <v>-0.10079685736775761</v>
      </c>
      <c r="O416">
        <v>-5.3000030517578116</v>
      </c>
      <c r="P416">
        <v>1.80999755859375</v>
      </c>
      <c r="Q416" t="s">
        <v>588</v>
      </c>
      <c r="R416">
        <v>2022</v>
      </c>
    </row>
    <row r="417" spans="1:18" hidden="1" x14ac:dyDescent="0.35">
      <c r="A417" t="s">
        <v>661</v>
      </c>
      <c r="B417" s="22">
        <v>44835</v>
      </c>
      <c r="C417">
        <v>65.339996337890625</v>
      </c>
      <c r="D417">
        <v>70.349998474121094</v>
      </c>
      <c r="E417">
        <v>60.009998321533203</v>
      </c>
      <c r="F417">
        <v>66.709999084472656</v>
      </c>
      <c r="G417">
        <v>6893900</v>
      </c>
      <c r="H417">
        <v>65.374824523925781</v>
      </c>
      <c r="I417" t="s">
        <v>660</v>
      </c>
      <c r="J417" s="22">
        <v>45550</v>
      </c>
      <c r="K417">
        <v>0</v>
      </c>
      <c r="L417">
        <v>0</v>
      </c>
      <c r="M417">
        <v>2.3421630859375</v>
      </c>
      <c r="N417">
        <v>3.7157950886009587E-2</v>
      </c>
      <c r="O417">
        <v>1.370002746582031</v>
      </c>
      <c r="P417">
        <v>5.0100021362304688</v>
      </c>
      <c r="Q417" t="s">
        <v>583</v>
      </c>
      <c r="R417">
        <v>2022</v>
      </c>
    </row>
    <row r="418" spans="1:18" hidden="1" x14ac:dyDescent="0.35">
      <c r="A418" t="s">
        <v>661</v>
      </c>
      <c r="B418" s="22">
        <v>44866</v>
      </c>
      <c r="C418">
        <v>68.209999084472656</v>
      </c>
      <c r="D418">
        <v>81.370002746582031</v>
      </c>
      <c r="E418">
        <v>59.159999847412109</v>
      </c>
      <c r="F418">
        <v>80.480003356933594</v>
      </c>
      <c r="G418">
        <v>10160200</v>
      </c>
      <c r="H418">
        <v>78.869232177734375</v>
      </c>
      <c r="I418" t="s">
        <v>660</v>
      </c>
      <c r="J418" s="22">
        <v>45550</v>
      </c>
      <c r="K418">
        <v>0.18</v>
      </c>
      <c r="L418">
        <v>0</v>
      </c>
      <c r="M418">
        <v>13.49440765380859</v>
      </c>
      <c r="N418">
        <v>0.20641589658882231</v>
      </c>
      <c r="O418">
        <v>12.270004272460939</v>
      </c>
      <c r="P418">
        <v>13.16000366210938</v>
      </c>
      <c r="Q418" t="s">
        <v>587</v>
      </c>
      <c r="R418">
        <v>2022</v>
      </c>
    </row>
    <row r="419" spans="1:18" hidden="1" x14ac:dyDescent="0.35">
      <c r="A419" t="s">
        <v>661</v>
      </c>
      <c r="B419" s="22">
        <v>44896</v>
      </c>
      <c r="C419">
        <v>81.379997253417969</v>
      </c>
      <c r="D419">
        <v>81.720001220703125</v>
      </c>
      <c r="E419">
        <v>70.05999755859375</v>
      </c>
      <c r="F419">
        <v>71.720001220703125</v>
      </c>
      <c r="G419">
        <v>6689300</v>
      </c>
      <c r="H419">
        <v>70.450881958007813</v>
      </c>
      <c r="I419" t="s">
        <v>660</v>
      </c>
      <c r="J419" s="22">
        <v>45550</v>
      </c>
      <c r="K419">
        <v>0</v>
      </c>
      <c r="L419">
        <v>0</v>
      </c>
      <c r="M419">
        <v>-8.4183502197265625</v>
      </c>
      <c r="N419">
        <v>-0.1088469404925263</v>
      </c>
      <c r="O419">
        <v>-9.6599960327148438</v>
      </c>
      <c r="P419">
        <v>0.34000396728515619</v>
      </c>
      <c r="Q419" t="s">
        <v>588</v>
      </c>
      <c r="R419">
        <v>2022</v>
      </c>
    </row>
    <row r="420" spans="1:18" hidden="1" x14ac:dyDescent="0.35">
      <c r="A420" t="s">
        <v>661</v>
      </c>
      <c r="B420" s="22">
        <v>44927</v>
      </c>
      <c r="C420">
        <v>73.029998779296875</v>
      </c>
      <c r="D420">
        <v>88.279998779296875</v>
      </c>
      <c r="E420">
        <v>71.05999755859375</v>
      </c>
      <c r="F420">
        <v>86.089996337890625</v>
      </c>
      <c r="G420">
        <v>5907500</v>
      </c>
      <c r="H420">
        <v>84.566596984863281</v>
      </c>
      <c r="I420" t="s">
        <v>660</v>
      </c>
      <c r="J420" s="22">
        <v>45550</v>
      </c>
      <c r="K420">
        <v>0</v>
      </c>
      <c r="L420">
        <v>0</v>
      </c>
      <c r="M420">
        <v>14.115715026855471</v>
      </c>
      <c r="N420">
        <v>0.20036244942281689</v>
      </c>
      <c r="O420">
        <v>13.05999755859375</v>
      </c>
      <c r="P420">
        <v>15.25</v>
      </c>
      <c r="Q420" t="s">
        <v>584</v>
      </c>
      <c r="R420">
        <v>2023</v>
      </c>
    </row>
    <row r="421" spans="1:18" hidden="1" x14ac:dyDescent="0.35">
      <c r="A421" t="s">
        <v>661</v>
      </c>
      <c r="B421" s="22">
        <v>44958</v>
      </c>
      <c r="C421">
        <v>86.069999694824219</v>
      </c>
      <c r="D421">
        <v>91.980003356933594</v>
      </c>
      <c r="E421">
        <v>79.069999694824219</v>
      </c>
      <c r="F421">
        <v>82.25</v>
      </c>
      <c r="G421">
        <v>7316700</v>
      </c>
      <c r="H421">
        <v>80.794548034667969</v>
      </c>
      <c r="I421" t="s">
        <v>660</v>
      </c>
      <c r="J421" s="22">
        <v>45550</v>
      </c>
      <c r="K421">
        <v>0.19</v>
      </c>
      <c r="L421">
        <v>0</v>
      </c>
      <c r="M421">
        <v>-3.7720489501953121</v>
      </c>
      <c r="N421">
        <v>-4.4604443039109931E-2</v>
      </c>
      <c r="O421">
        <v>-3.8199996948242192</v>
      </c>
      <c r="P421">
        <v>5.910003662109375</v>
      </c>
      <c r="Q421" t="s">
        <v>582</v>
      </c>
      <c r="R421">
        <v>2023</v>
      </c>
    </row>
    <row r="422" spans="1:18" hidden="1" x14ac:dyDescent="0.35">
      <c r="A422" t="s">
        <v>661</v>
      </c>
      <c r="B422" s="22">
        <v>44986</v>
      </c>
      <c r="C422">
        <v>82.839996337890625</v>
      </c>
      <c r="D422">
        <v>87.279998779296875</v>
      </c>
      <c r="E422">
        <v>79.300003051757813</v>
      </c>
      <c r="F422">
        <v>84.639999389648438</v>
      </c>
      <c r="G422">
        <v>9447100</v>
      </c>
      <c r="H422">
        <v>83.334205627441406</v>
      </c>
      <c r="I422" t="s">
        <v>660</v>
      </c>
      <c r="J422" s="22">
        <v>45550</v>
      </c>
      <c r="K422">
        <v>0</v>
      </c>
      <c r="L422">
        <v>0</v>
      </c>
      <c r="M422">
        <v>2.5396575927734379</v>
      </c>
      <c r="N422">
        <v>2.9057743339190759E-2</v>
      </c>
      <c r="O422">
        <v>1.8000030517578121</v>
      </c>
      <c r="P422">
        <v>4.44000244140625</v>
      </c>
      <c r="Q422" t="s">
        <v>582</v>
      </c>
      <c r="R422">
        <v>2023</v>
      </c>
    </row>
    <row r="423" spans="1:18" hidden="1" x14ac:dyDescent="0.35">
      <c r="A423" t="s">
        <v>661</v>
      </c>
      <c r="B423" s="22">
        <v>45017</v>
      </c>
      <c r="C423">
        <v>84.199996948242188</v>
      </c>
      <c r="D423">
        <v>85.029998779296875</v>
      </c>
      <c r="E423">
        <v>70.900001525878906</v>
      </c>
      <c r="F423">
        <v>72.779998779296875</v>
      </c>
      <c r="G423">
        <v>6625300</v>
      </c>
      <c r="H423">
        <v>71.657180786132813</v>
      </c>
      <c r="I423" t="s">
        <v>660</v>
      </c>
      <c r="J423" s="22">
        <v>45550</v>
      </c>
      <c r="K423">
        <v>0</v>
      </c>
      <c r="L423">
        <v>0</v>
      </c>
      <c r="M423">
        <v>-11.67702484130859</v>
      </c>
      <c r="N423">
        <v>-0.1401228815675305</v>
      </c>
      <c r="O423">
        <v>-11.419998168945311</v>
      </c>
      <c r="P423">
        <v>0.8300018310546875</v>
      </c>
      <c r="Q423" t="s">
        <v>583</v>
      </c>
      <c r="R423">
        <v>2023</v>
      </c>
    </row>
    <row r="424" spans="1:18" hidden="1" x14ac:dyDescent="0.35">
      <c r="A424" t="s">
        <v>661</v>
      </c>
      <c r="B424" s="22">
        <v>45047</v>
      </c>
      <c r="C424">
        <v>74.360000610351563</v>
      </c>
      <c r="D424">
        <v>91.819999694824219</v>
      </c>
      <c r="E424">
        <v>72.349998474121094</v>
      </c>
      <c r="F424">
        <v>86.400001525878906</v>
      </c>
      <c r="G424">
        <v>11340300</v>
      </c>
      <c r="H424">
        <v>85.067054748535156</v>
      </c>
      <c r="I424" t="s">
        <v>660</v>
      </c>
      <c r="J424" s="22">
        <v>45550</v>
      </c>
      <c r="K424">
        <v>0.19</v>
      </c>
      <c r="L424">
        <v>0</v>
      </c>
      <c r="M424">
        <v>13.40987396240234</v>
      </c>
      <c r="N424">
        <v>0.18713936486704649</v>
      </c>
      <c r="O424">
        <v>12.04000091552734</v>
      </c>
      <c r="P424">
        <v>17.45999908447266</v>
      </c>
      <c r="Q424" t="s">
        <v>586</v>
      </c>
      <c r="R424">
        <v>2023</v>
      </c>
    </row>
    <row r="425" spans="1:18" hidden="1" x14ac:dyDescent="0.35">
      <c r="A425" t="s">
        <v>661</v>
      </c>
      <c r="B425" s="22">
        <v>45078</v>
      </c>
      <c r="C425">
        <v>86.529998779296875</v>
      </c>
      <c r="D425">
        <v>95.510002136230469</v>
      </c>
      <c r="E425">
        <v>85.910003662109375</v>
      </c>
      <c r="F425">
        <v>94.669998168945313</v>
      </c>
      <c r="G425">
        <v>7868300</v>
      </c>
      <c r="H425">
        <v>93.407447814941406</v>
      </c>
      <c r="I425" t="s">
        <v>660</v>
      </c>
      <c r="J425" s="22">
        <v>45550</v>
      </c>
      <c r="K425">
        <v>0</v>
      </c>
      <c r="L425">
        <v>0</v>
      </c>
      <c r="M425">
        <v>8.34039306640625</v>
      </c>
      <c r="N425">
        <v>9.5717552048761645E-2</v>
      </c>
      <c r="O425">
        <v>8.1399993896484375</v>
      </c>
      <c r="P425">
        <v>8.9800033569335938</v>
      </c>
      <c r="Q425" t="s">
        <v>588</v>
      </c>
      <c r="R425">
        <v>2023</v>
      </c>
    </row>
    <row r="426" spans="1:18" hidden="1" x14ac:dyDescent="0.35">
      <c r="A426" t="s">
        <v>661</v>
      </c>
      <c r="B426" s="22">
        <v>45108</v>
      </c>
      <c r="C426">
        <v>94.830001831054688</v>
      </c>
      <c r="D426">
        <v>99.599998474121094</v>
      </c>
      <c r="E426">
        <v>88.94000244140625</v>
      </c>
      <c r="F426">
        <v>97.139999389648438</v>
      </c>
      <c r="G426">
        <v>6095000</v>
      </c>
      <c r="H426">
        <v>95.844512939453125</v>
      </c>
      <c r="I426" t="s">
        <v>660</v>
      </c>
      <c r="J426" s="22">
        <v>45550</v>
      </c>
      <c r="K426">
        <v>0</v>
      </c>
      <c r="L426">
        <v>0</v>
      </c>
      <c r="M426">
        <v>2.4370651245117192</v>
      </c>
      <c r="N426">
        <v>2.6090644010526191E-2</v>
      </c>
      <c r="O426">
        <v>2.30999755859375</v>
      </c>
      <c r="P426">
        <v>4.7699966430664063</v>
      </c>
      <c r="Q426" t="s">
        <v>583</v>
      </c>
      <c r="R426">
        <v>2023</v>
      </c>
    </row>
    <row r="427" spans="1:18" hidden="1" x14ac:dyDescent="0.35">
      <c r="A427" t="s">
        <v>661</v>
      </c>
      <c r="B427" s="22">
        <v>45139</v>
      </c>
      <c r="C427">
        <v>95.830001831054688</v>
      </c>
      <c r="D427">
        <v>95.910003662109375</v>
      </c>
      <c r="E427">
        <v>79.209999084472656</v>
      </c>
      <c r="F427">
        <v>84.019996643066406</v>
      </c>
      <c r="G427">
        <v>6994700</v>
      </c>
      <c r="H427">
        <v>82.899482727050781</v>
      </c>
      <c r="I427" t="s">
        <v>660</v>
      </c>
      <c r="J427" s="22">
        <v>45550</v>
      </c>
      <c r="K427">
        <v>0.19</v>
      </c>
      <c r="L427">
        <v>0</v>
      </c>
      <c r="M427">
        <v>-12.94503021240234</v>
      </c>
      <c r="N427">
        <v>-0.13506282508768619</v>
      </c>
      <c r="O427">
        <v>-11.810005187988279</v>
      </c>
      <c r="P427">
        <v>8.00018310546875E-2</v>
      </c>
      <c r="Q427" t="s">
        <v>587</v>
      </c>
      <c r="R427">
        <v>2023</v>
      </c>
    </row>
    <row r="428" spans="1:18" hidden="1" x14ac:dyDescent="0.35">
      <c r="A428" t="s">
        <v>661</v>
      </c>
      <c r="B428" s="22">
        <v>45170</v>
      </c>
      <c r="C428">
        <v>84.650001525878906</v>
      </c>
      <c r="D428">
        <v>86.05999755859375</v>
      </c>
      <c r="E428">
        <v>74.220001220703125</v>
      </c>
      <c r="F428">
        <v>76.30999755859375</v>
      </c>
      <c r="G428">
        <v>7249100</v>
      </c>
      <c r="H428">
        <v>75.46331787109375</v>
      </c>
      <c r="I428" t="s">
        <v>660</v>
      </c>
      <c r="J428" s="22">
        <v>45550</v>
      </c>
      <c r="K428">
        <v>0</v>
      </c>
      <c r="L428">
        <v>0</v>
      </c>
      <c r="M428">
        <v>-7.4361648559570313</v>
      </c>
      <c r="N428">
        <v>-9.1763858516041852E-2</v>
      </c>
      <c r="O428">
        <v>-8.3400039672851563</v>
      </c>
      <c r="P428">
        <v>1.409996032714844</v>
      </c>
      <c r="Q428" t="s">
        <v>585</v>
      </c>
      <c r="R428">
        <v>2023</v>
      </c>
    </row>
    <row r="429" spans="1:18" hidden="1" x14ac:dyDescent="0.35">
      <c r="A429" t="s">
        <v>661</v>
      </c>
      <c r="B429" s="22">
        <v>45200</v>
      </c>
      <c r="C429">
        <v>76.25</v>
      </c>
      <c r="D429">
        <v>78.680000305175781</v>
      </c>
      <c r="E429">
        <v>67.480003356933594</v>
      </c>
      <c r="F429">
        <v>69.330001831054688</v>
      </c>
      <c r="G429">
        <v>6984700</v>
      </c>
      <c r="H429">
        <v>68.560768127441406</v>
      </c>
      <c r="I429" t="s">
        <v>660</v>
      </c>
      <c r="J429" s="22">
        <v>45550</v>
      </c>
      <c r="K429">
        <v>0</v>
      </c>
      <c r="L429">
        <v>0</v>
      </c>
      <c r="M429">
        <v>-6.9025497436523438</v>
      </c>
      <c r="N429">
        <v>-9.146895493188234E-2</v>
      </c>
      <c r="O429">
        <v>-6.9199981689453116</v>
      </c>
      <c r="P429">
        <v>2.4300003051757808</v>
      </c>
      <c r="Q429" t="s">
        <v>584</v>
      </c>
      <c r="R429">
        <v>2023</v>
      </c>
    </row>
    <row r="430" spans="1:18" hidden="1" x14ac:dyDescent="0.35">
      <c r="A430" t="s">
        <v>661</v>
      </c>
      <c r="B430" s="22">
        <v>45231</v>
      </c>
      <c r="C430">
        <v>69.080001831054688</v>
      </c>
      <c r="D430">
        <v>78.760002136230469</v>
      </c>
      <c r="E430">
        <v>66.900001525878906</v>
      </c>
      <c r="F430">
        <v>76.410003662109375</v>
      </c>
      <c r="G430">
        <v>9702300</v>
      </c>
      <c r="H430">
        <v>75.562217712402344</v>
      </c>
      <c r="I430" t="s">
        <v>660</v>
      </c>
      <c r="J430" s="22">
        <v>45550</v>
      </c>
      <c r="K430">
        <v>0.2</v>
      </c>
      <c r="L430">
        <v>0</v>
      </c>
      <c r="M430">
        <v>7.0014495849609384</v>
      </c>
      <c r="N430">
        <v>0.10212031795855769</v>
      </c>
      <c r="O430">
        <v>7.3300018310546884</v>
      </c>
      <c r="P430">
        <v>9.6800003051757813</v>
      </c>
      <c r="Q430" t="s">
        <v>582</v>
      </c>
      <c r="R430">
        <v>2023</v>
      </c>
    </row>
    <row r="431" spans="1:18" hidden="1" x14ac:dyDescent="0.35">
      <c r="A431" t="s">
        <v>661</v>
      </c>
      <c r="B431" s="22">
        <v>45261</v>
      </c>
      <c r="C431">
        <v>76.099998474121094</v>
      </c>
      <c r="D431">
        <v>89.680000305175781</v>
      </c>
      <c r="E431">
        <v>75.580001831054688</v>
      </c>
      <c r="F431">
        <v>82.110000610351563</v>
      </c>
      <c r="G431">
        <v>8509800</v>
      </c>
      <c r="H431">
        <v>81.414352416992188</v>
      </c>
      <c r="I431" t="s">
        <v>660</v>
      </c>
      <c r="J431" s="22">
        <v>45550</v>
      </c>
      <c r="K431">
        <v>0</v>
      </c>
      <c r="L431">
        <v>0</v>
      </c>
      <c r="M431">
        <v>5.8521347045898438</v>
      </c>
      <c r="N431">
        <v>7.4597522249154613E-2</v>
      </c>
      <c r="O431">
        <v>6.0100021362304688</v>
      </c>
      <c r="P431">
        <v>13.580001831054689</v>
      </c>
      <c r="Q431" t="s">
        <v>585</v>
      </c>
      <c r="R431">
        <v>2023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CA76-988B-4498-95DC-A292C743FE62}">
  <sheetPr>
    <tabColor theme="6" tint="0.79998168889431442"/>
  </sheetPr>
  <dimension ref="A1:O49"/>
  <sheetViews>
    <sheetView workbookViewId="0">
      <selection activeCell="K2" sqref="K2"/>
    </sheetView>
  </sheetViews>
  <sheetFormatPr defaultRowHeight="14.5" x14ac:dyDescent="0.35"/>
  <cols>
    <col min="1" max="1" width="8.08984375" bestFit="1" customWidth="1"/>
    <col min="2" max="2" width="12" bestFit="1" customWidth="1"/>
    <col min="3" max="6" width="11.81640625" bestFit="1" customWidth="1"/>
    <col min="7" max="7" width="9.26953125" bestFit="1" customWidth="1"/>
    <col min="8" max="8" width="11.81640625" bestFit="1" customWidth="1"/>
    <col min="9" max="9" width="13.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568</v>
      </c>
      <c r="C1" t="s">
        <v>569</v>
      </c>
      <c r="D1" t="s">
        <v>570</v>
      </c>
      <c r="E1" t="s">
        <v>571</v>
      </c>
      <c r="F1" t="s">
        <v>572</v>
      </c>
      <c r="G1" t="s">
        <v>573</v>
      </c>
      <c r="H1" t="s">
        <v>574</v>
      </c>
      <c r="I1" t="s">
        <v>139</v>
      </c>
      <c r="J1" t="s">
        <v>575</v>
      </c>
      <c r="K1" t="s">
        <v>576</v>
      </c>
      <c r="L1" t="s">
        <v>577</v>
      </c>
      <c r="M1" t="s">
        <v>578</v>
      </c>
      <c r="N1" t="s">
        <v>579</v>
      </c>
      <c r="O1" t="s">
        <v>580</v>
      </c>
    </row>
    <row r="2" spans="1:15" x14ac:dyDescent="0.35">
      <c r="A2" t="s">
        <v>591</v>
      </c>
      <c r="B2" s="22">
        <v>43831</v>
      </c>
      <c r="C2">
        <v>1.9029999971389771</v>
      </c>
      <c r="D2">
        <v>1.9029999971389771</v>
      </c>
      <c r="E2">
        <v>1.5119999647140501</v>
      </c>
      <c r="F2">
        <v>1.5199999809265139</v>
      </c>
      <c r="G2">
        <v>0</v>
      </c>
      <c r="H2">
        <v>1.5199999809265139</v>
      </c>
      <c r="I2" t="s">
        <v>592</v>
      </c>
      <c r="J2" s="22">
        <v>45460</v>
      </c>
      <c r="L2">
        <v>-0.38300001621246338</v>
      </c>
      <c r="M2">
        <v>0</v>
      </c>
      <c r="N2" t="s">
        <v>582</v>
      </c>
      <c r="O2">
        <v>2020</v>
      </c>
    </row>
    <row r="3" spans="1:15" x14ac:dyDescent="0.35">
      <c r="A3" t="s">
        <v>591</v>
      </c>
      <c r="B3" s="22">
        <v>43862</v>
      </c>
      <c r="C3">
        <v>1.554999947547913</v>
      </c>
      <c r="D3">
        <v>1.6679999828338621</v>
      </c>
      <c r="E3">
        <v>1.126999974250793</v>
      </c>
      <c r="F3">
        <v>1.126999974250793</v>
      </c>
      <c r="G3">
        <v>0</v>
      </c>
      <c r="H3">
        <v>1.126999974250793</v>
      </c>
      <c r="I3" t="s">
        <v>592</v>
      </c>
      <c r="J3" s="22">
        <v>45460</v>
      </c>
      <c r="K3">
        <v>-0.2585526392152766</v>
      </c>
      <c r="L3">
        <v>-0.42799997329711909</v>
      </c>
      <c r="M3">
        <v>0.11300003528594969</v>
      </c>
      <c r="N3" t="s">
        <v>583</v>
      </c>
      <c r="O3">
        <v>2020</v>
      </c>
    </row>
    <row r="4" spans="1:15" x14ac:dyDescent="0.35">
      <c r="A4" t="s">
        <v>591</v>
      </c>
      <c r="B4" s="22">
        <v>43891</v>
      </c>
      <c r="C4">
        <v>1.067000031471252</v>
      </c>
      <c r="D4">
        <v>1.266000032424927</v>
      </c>
      <c r="E4">
        <v>0.39800000190734858</v>
      </c>
      <c r="F4">
        <v>0.69800001382827759</v>
      </c>
      <c r="G4">
        <v>0</v>
      </c>
      <c r="H4">
        <v>0.69800001382827759</v>
      </c>
      <c r="I4" t="s">
        <v>592</v>
      </c>
      <c r="J4" s="22">
        <v>45460</v>
      </c>
      <c r="K4">
        <v>-0.38065658404979669</v>
      </c>
      <c r="L4">
        <v>-0.36900001764297491</v>
      </c>
      <c r="M4">
        <v>0.19900000095367429</v>
      </c>
      <c r="N4" t="s">
        <v>584</v>
      </c>
      <c r="O4">
        <v>2020</v>
      </c>
    </row>
    <row r="5" spans="1:15" x14ac:dyDescent="0.35">
      <c r="A5" t="s">
        <v>591</v>
      </c>
      <c r="B5" s="22">
        <v>43922</v>
      </c>
      <c r="C5">
        <v>0.61000001430511475</v>
      </c>
      <c r="D5">
        <v>0.7839999794960022</v>
      </c>
      <c r="E5">
        <v>0.5429999828338623</v>
      </c>
      <c r="F5">
        <v>0.62199997901916504</v>
      </c>
      <c r="G5">
        <v>0</v>
      </c>
      <c r="H5">
        <v>0.62199997901916504</v>
      </c>
      <c r="I5" t="s">
        <v>592</v>
      </c>
      <c r="J5" s="22">
        <v>45460</v>
      </c>
      <c r="K5">
        <v>-0.1088825692026564</v>
      </c>
      <c r="L5">
        <v>1.1999964714050289E-2</v>
      </c>
      <c r="M5">
        <v>0.17399996519088751</v>
      </c>
      <c r="N5" t="s">
        <v>582</v>
      </c>
      <c r="O5">
        <v>2020</v>
      </c>
    </row>
    <row r="6" spans="1:15" x14ac:dyDescent="0.35">
      <c r="A6" t="s">
        <v>591</v>
      </c>
      <c r="B6" s="22">
        <v>43952</v>
      </c>
      <c r="C6">
        <v>0.61299997568130493</v>
      </c>
      <c r="D6">
        <v>0.74500000476837158</v>
      </c>
      <c r="E6">
        <v>0.5899999737739563</v>
      </c>
      <c r="F6">
        <v>0.64800000190734863</v>
      </c>
      <c r="G6">
        <v>0</v>
      </c>
      <c r="H6">
        <v>0.64800000190734863</v>
      </c>
      <c r="I6" t="s">
        <v>592</v>
      </c>
      <c r="J6" s="22">
        <v>45460</v>
      </c>
      <c r="K6">
        <v>4.180068129452863E-2</v>
      </c>
      <c r="L6">
        <v>3.5000026226043701E-2</v>
      </c>
      <c r="M6">
        <v>0.13200002908706671</v>
      </c>
      <c r="N6" t="s">
        <v>585</v>
      </c>
      <c r="O6">
        <v>2020</v>
      </c>
    </row>
    <row r="7" spans="1:15" x14ac:dyDescent="0.35">
      <c r="A7" t="s">
        <v>591</v>
      </c>
      <c r="B7" s="22">
        <v>43983</v>
      </c>
      <c r="C7">
        <v>0.66699999570846558</v>
      </c>
      <c r="D7">
        <v>0.9570000171661377</v>
      </c>
      <c r="E7">
        <v>0.61900001764297485</v>
      </c>
      <c r="F7">
        <v>0.65299999713897705</v>
      </c>
      <c r="G7">
        <v>0</v>
      </c>
      <c r="H7">
        <v>0.65299999713897705</v>
      </c>
      <c r="I7" t="s">
        <v>592</v>
      </c>
      <c r="J7" s="22">
        <v>45460</v>
      </c>
      <c r="K7">
        <v>7.716042001406187E-3</v>
      </c>
      <c r="L7">
        <v>-1.3999998569488531E-2</v>
      </c>
      <c r="M7">
        <v>0.29000002145767212</v>
      </c>
      <c r="N7" t="s">
        <v>586</v>
      </c>
      <c r="O7">
        <v>2020</v>
      </c>
    </row>
    <row r="8" spans="1:15" x14ac:dyDescent="0.35">
      <c r="A8" t="s">
        <v>591</v>
      </c>
      <c r="B8" s="22">
        <v>44013</v>
      </c>
      <c r="C8">
        <v>0.6809999942779541</v>
      </c>
      <c r="D8">
        <v>0.72399997711181641</v>
      </c>
      <c r="E8">
        <v>0.52799999713897705</v>
      </c>
      <c r="F8">
        <v>0.53600001335144043</v>
      </c>
      <c r="G8">
        <v>0</v>
      </c>
      <c r="H8">
        <v>0.53600001335144043</v>
      </c>
      <c r="I8" t="s">
        <v>592</v>
      </c>
      <c r="J8" s="22">
        <v>45460</v>
      </c>
      <c r="K8">
        <v>-0.1791730234305586</v>
      </c>
      <c r="L8">
        <v>-0.1449999809265137</v>
      </c>
      <c r="M8">
        <v>4.2999982833862298E-2</v>
      </c>
      <c r="N8" t="s">
        <v>582</v>
      </c>
      <c r="O8">
        <v>2020</v>
      </c>
    </row>
    <row r="9" spans="1:15" x14ac:dyDescent="0.35">
      <c r="A9" t="s">
        <v>591</v>
      </c>
      <c r="B9" s="22">
        <v>44044</v>
      </c>
      <c r="C9">
        <v>0.55900001525878906</v>
      </c>
      <c r="D9">
        <v>0.74599999189376831</v>
      </c>
      <c r="E9">
        <v>0.50400000810623169</v>
      </c>
      <c r="F9">
        <v>0.69300001859664917</v>
      </c>
      <c r="G9">
        <v>0</v>
      </c>
      <c r="H9">
        <v>0.69300001859664917</v>
      </c>
      <c r="I9" t="s">
        <v>592</v>
      </c>
      <c r="J9" s="22">
        <v>45460</v>
      </c>
      <c r="K9">
        <v>0.29291045025080659</v>
      </c>
      <c r="L9">
        <v>0.13400000333786011</v>
      </c>
      <c r="M9">
        <v>0.18699997663497919</v>
      </c>
      <c r="N9" t="s">
        <v>583</v>
      </c>
      <c r="O9">
        <v>2020</v>
      </c>
    </row>
    <row r="10" spans="1:15" x14ac:dyDescent="0.35">
      <c r="A10" t="s">
        <v>591</v>
      </c>
      <c r="B10" s="22">
        <v>44075</v>
      </c>
      <c r="C10">
        <v>0.72000002861022949</v>
      </c>
      <c r="D10">
        <v>0.72899997234344482</v>
      </c>
      <c r="E10">
        <v>0.60600000619888306</v>
      </c>
      <c r="F10">
        <v>0.67699998617172241</v>
      </c>
      <c r="G10">
        <v>0</v>
      </c>
      <c r="H10">
        <v>0.67699998617172241</v>
      </c>
      <c r="I10" t="s">
        <v>592</v>
      </c>
      <c r="J10" s="22">
        <v>45460</v>
      </c>
      <c r="K10">
        <v>-2.308806925767104E-2</v>
      </c>
      <c r="L10">
        <v>-4.300004243850708E-2</v>
      </c>
      <c r="M10">
        <v>8.999943733215332E-3</v>
      </c>
      <c r="N10" t="s">
        <v>587</v>
      </c>
      <c r="O10">
        <v>2020</v>
      </c>
    </row>
    <row r="11" spans="1:15" x14ac:dyDescent="0.35">
      <c r="A11" t="s">
        <v>591</v>
      </c>
      <c r="B11" s="22">
        <v>44105</v>
      </c>
      <c r="C11">
        <v>0.70099997520446777</v>
      </c>
      <c r="D11">
        <v>0.87199997901916504</v>
      </c>
      <c r="E11">
        <v>0.65299999713897705</v>
      </c>
      <c r="F11">
        <v>0.86000001430511475</v>
      </c>
      <c r="G11">
        <v>0</v>
      </c>
      <c r="H11">
        <v>0.86000001430511475</v>
      </c>
      <c r="I11" t="s">
        <v>592</v>
      </c>
      <c r="J11" s="22">
        <v>45460</v>
      </c>
      <c r="K11">
        <v>0.27031023910091201</v>
      </c>
      <c r="L11">
        <v>0.159000039100647</v>
      </c>
      <c r="M11">
        <v>0.17100000381469729</v>
      </c>
      <c r="N11" t="s">
        <v>588</v>
      </c>
      <c r="O11">
        <v>2020</v>
      </c>
    </row>
    <row r="12" spans="1:15" x14ac:dyDescent="0.35">
      <c r="A12" t="s">
        <v>591</v>
      </c>
      <c r="B12" s="22">
        <v>44136</v>
      </c>
      <c r="C12">
        <v>0.85399997234344482</v>
      </c>
      <c r="D12">
        <v>0.97500002384185791</v>
      </c>
      <c r="E12">
        <v>0.74800002574920654</v>
      </c>
      <c r="F12">
        <v>0.84399998188018799</v>
      </c>
      <c r="G12">
        <v>0</v>
      </c>
      <c r="H12">
        <v>0.84399998188018799</v>
      </c>
      <c r="I12" t="s">
        <v>592</v>
      </c>
      <c r="J12" s="22">
        <v>45460</v>
      </c>
      <c r="K12">
        <v>-1.860468855672626E-2</v>
      </c>
      <c r="L12">
        <v>-9.9999904632568359E-3</v>
      </c>
      <c r="M12">
        <v>0.1210000514984131</v>
      </c>
      <c r="N12" t="s">
        <v>584</v>
      </c>
      <c r="O12">
        <v>2020</v>
      </c>
    </row>
    <row r="13" spans="1:15" x14ac:dyDescent="0.35">
      <c r="A13" t="s">
        <v>591</v>
      </c>
      <c r="B13" s="22">
        <v>44166</v>
      </c>
      <c r="C13">
        <v>0.85699999332427979</v>
      </c>
      <c r="D13">
        <v>0.98600000143051147</v>
      </c>
      <c r="E13">
        <v>0.85699999332427979</v>
      </c>
      <c r="F13">
        <v>0.91699999570846558</v>
      </c>
      <c r="G13">
        <v>0</v>
      </c>
      <c r="H13">
        <v>0.91699999570846558</v>
      </c>
      <c r="I13" t="s">
        <v>592</v>
      </c>
      <c r="J13" s="22">
        <v>45460</v>
      </c>
      <c r="K13">
        <v>8.6492909236389526E-2</v>
      </c>
      <c r="L13">
        <v>6.0000002384185791E-2</v>
      </c>
      <c r="M13">
        <v>0.12900000810623169</v>
      </c>
      <c r="N13" t="s">
        <v>587</v>
      </c>
      <c r="O13">
        <v>2020</v>
      </c>
    </row>
    <row r="14" spans="1:15" x14ac:dyDescent="0.35">
      <c r="A14" t="s">
        <v>591</v>
      </c>
      <c r="B14" s="22">
        <v>44197</v>
      </c>
      <c r="C14">
        <v>0.93500000238418579</v>
      </c>
      <c r="D14">
        <v>1.187000036239624</v>
      </c>
      <c r="E14">
        <v>0.90700000524520874</v>
      </c>
      <c r="F14">
        <v>1.093000054359436</v>
      </c>
      <c r="G14">
        <v>0</v>
      </c>
      <c r="H14">
        <v>1.093000054359436</v>
      </c>
      <c r="I14" t="s">
        <v>592</v>
      </c>
      <c r="J14" s="22">
        <v>45460</v>
      </c>
      <c r="K14">
        <v>0.19193027205522981</v>
      </c>
      <c r="L14">
        <v>0.15800005197525019</v>
      </c>
      <c r="M14">
        <v>0.25200003385543818</v>
      </c>
      <c r="N14" t="s">
        <v>585</v>
      </c>
      <c r="O14">
        <v>2021</v>
      </c>
    </row>
    <row r="15" spans="1:15" x14ac:dyDescent="0.35">
      <c r="A15" t="s">
        <v>591</v>
      </c>
      <c r="B15" s="22">
        <v>44228</v>
      </c>
      <c r="C15">
        <v>1.078999996185303</v>
      </c>
      <c r="D15">
        <v>1.6139999628067021</v>
      </c>
      <c r="E15">
        <v>1.059999942779541</v>
      </c>
      <c r="F15">
        <v>1.4600000381469731</v>
      </c>
      <c r="G15">
        <v>0</v>
      </c>
      <c r="H15">
        <v>1.4600000381469731</v>
      </c>
      <c r="I15" t="s">
        <v>592</v>
      </c>
      <c r="J15" s="22">
        <v>45460</v>
      </c>
      <c r="K15">
        <v>0.33577307002296602</v>
      </c>
      <c r="L15">
        <v>0.38100004196166992</v>
      </c>
      <c r="M15">
        <v>0.53499996662139893</v>
      </c>
      <c r="N15" t="s">
        <v>586</v>
      </c>
      <c r="O15">
        <v>2021</v>
      </c>
    </row>
    <row r="16" spans="1:15" x14ac:dyDescent="0.35">
      <c r="A16" t="s">
        <v>591</v>
      </c>
      <c r="B16" s="22">
        <v>44256</v>
      </c>
      <c r="C16">
        <v>1.450999975204468</v>
      </c>
      <c r="D16">
        <v>1.764999985694885</v>
      </c>
      <c r="E16">
        <v>1.4029999971389771</v>
      </c>
      <c r="F16">
        <v>1.7460000514984131</v>
      </c>
      <c r="G16">
        <v>0</v>
      </c>
      <c r="H16">
        <v>1.7460000514984131</v>
      </c>
      <c r="I16" t="s">
        <v>592</v>
      </c>
      <c r="J16" s="22">
        <v>45460</v>
      </c>
      <c r="K16">
        <v>0.1958904149854892</v>
      </c>
      <c r="L16">
        <v>0.29500007629394531</v>
      </c>
      <c r="M16">
        <v>0.31400001049041748</v>
      </c>
      <c r="N16" t="s">
        <v>586</v>
      </c>
      <c r="O16">
        <v>2021</v>
      </c>
    </row>
    <row r="17" spans="1:15" x14ac:dyDescent="0.35">
      <c r="A17" t="s">
        <v>591</v>
      </c>
      <c r="B17" s="22">
        <v>44287</v>
      </c>
      <c r="C17">
        <v>1.705000042915344</v>
      </c>
      <c r="D17">
        <v>1.745000004768372</v>
      </c>
      <c r="E17">
        <v>1.529000043869019</v>
      </c>
      <c r="F17">
        <v>1.6310000419616699</v>
      </c>
      <c r="G17">
        <v>0</v>
      </c>
      <c r="H17">
        <v>1.6310000419616699</v>
      </c>
      <c r="I17" t="s">
        <v>592</v>
      </c>
      <c r="J17" s="22">
        <v>45460</v>
      </c>
      <c r="K17">
        <v>-6.5864837425434475E-2</v>
      </c>
      <c r="L17">
        <v>-7.4000000953674316E-2</v>
      </c>
      <c r="M17">
        <v>3.9999961853027337E-2</v>
      </c>
      <c r="N17" t="s">
        <v>588</v>
      </c>
      <c r="O17">
        <v>2021</v>
      </c>
    </row>
    <row r="18" spans="1:15" x14ac:dyDescent="0.35">
      <c r="A18" t="s">
        <v>591</v>
      </c>
      <c r="B18" s="22">
        <v>44317</v>
      </c>
      <c r="C18">
        <v>1.651000022888184</v>
      </c>
      <c r="D18">
        <v>1.700000047683716</v>
      </c>
      <c r="E18">
        <v>1.470999956130981</v>
      </c>
      <c r="F18">
        <v>1.580999970436096</v>
      </c>
      <c r="G18">
        <v>0</v>
      </c>
      <c r="H18">
        <v>1.580999970436096</v>
      </c>
      <c r="I18" t="s">
        <v>592</v>
      </c>
      <c r="J18" s="22">
        <v>45460</v>
      </c>
      <c r="K18">
        <v>-3.0656082304839519E-2</v>
      </c>
      <c r="L18">
        <v>-7.0000052452087402E-2</v>
      </c>
      <c r="M18">
        <v>4.9000024795532227E-2</v>
      </c>
      <c r="N18" t="s">
        <v>583</v>
      </c>
      <c r="O18">
        <v>2021</v>
      </c>
    </row>
    <row r="19" spans="1:15" x14ac:dyDescent="0.35">
      <c r="A19" t="s">
        <v>591</v>
      </c>
      <c r="B19" s="22">
        <v>44348</v>
      </c>
      <c r="C19">
        <v>1.625</v>
      </c>
      <c r="D19">
        <v>1.6390000581741331</v>
      </c>
      <c r="E19">
        <v>1.437999963760376</v>
      </c>
      <c r="F19">
        <v>1.442999958992004</v>
      </c>
      <c r="G19">
        <v>0</v>
      </c>
      <c r="H19">
        <v>1.442999958992004</v>
      </c>
      <c r="I19" t="s">
        <v>592</v>
      </c>
      <c r="J19" s="22">
        <v>45460</v>
      </c>
      <c r="K19">
        <v>-8.7286536384960534E-2</v>
      </c>
      <c r="L19">
        <v>-0.18200004100799561</v>
      </c>
      <c r="M19">
        <v>1.4000058174133301E-2</v>
      </c>
      <c r="N19" t="s">
        <v>587</v>
      </c>
      <c r="O19">
        <v>2021</v>
      </c>
    </row>
    <row r="20" spans="1:15" x14ac:dyDescent="0.35">
      <c r="A20" t="s">
        <v>591</v>
      </c>
      <c r="B20" s="22">
        <v>44378</v>
      </c>
      <c r="C20">
        <v>1.470999956130981</v>
      </c>
      <c r="D20">
        <v>1.485000014305115</v>
      </c>
      <c r="E20">
        <v>1.128000020980835</v>
      </c>
      <c r="F20">
        <v>1.2389999628067021</v>
      </c>
      <c r="G20">
        <v>0</v>
      </c>
      <c r="H20">
        <v>1.2389999628067021</v>
      </c>
      <c r="I20" t="s">
        <v>592</v>
      </c>
      <c r="J20" s="22">
        <v>45460</v>
      </c>
      <c r="K20">
        <v>-0.14137214274614759</v>
      </c>
      <c r="L20">
        <v>-0.23199999332427981</v>
      </c>
      <c r="M20">
        <v>1.4000058174133301E-2</v>
      </c>
      <c r="N20" t="s">
        <v>588</v>
      </c>
      <c r="O20">
        <v>2021</v>
      </c>
    </row>
    <row r="21" spans="1:15" x14ac:dyDescent="0.35">
      <c r="A21" t="s">
        <v>591</v>
      </c>
      <c r="B21" s="22">
        <v>44409</v>
      </c>
      <c r="C21">
        <v>1.2309999465942381</v>
      </c>
      <c r="D21">
        <v>1.3789999485015869</v>
      </c>
      <c r="E21">
        <v>1.1289999485015869</v>
      </c>
      <c r="F21">
        <v>1.3040000200271611</v>
      </c>
      <c r="G21">
        <v>0</v>
      </c>
      <c r="H21">
        <v>1.3040000200271611</v>
      </c>
      <c r="I21" t="s">
        <v>592</v>
      </c>
      <c r="J21" s="22">
        <v>45460</v>
      </c>
      <c r="K21">
        <v>5.2461710388767679E-2</v>
      </c>
      <c r="L21">
        <v>7.3000073432922363E-2</v>
      </c>
      <c r="M21">
        <v>0.14800000190734861</v>
      </c>
      <c r="N21" t="s">
        <v>584</v>
      </c>
      <c r="O21">
        <v>2021</v>
      </c>
    </row>
    <row r="22" spans="1:15" x14ac:dyDescent="0.35">
      <c r="A22" t="s">
        <v>591</v>
      </c>
      <c r="B22" s="22">
        <v>44440</v>
      </c>
      <c r="C22">
        <v>1.310999989509583</v>
      </c>
      <c r="D22">
        <v>1.567000031471252</v>
      </c>
      <c r="E22">
        <v>1.2599999904632571</v>
      </c>
      <c r="F22">
        <v>1.529000043869019</v>
      </c>
      <c r="G22">
        <v>0</v>
      </c>
      <c r="H22">
        <v>1.529000043869019</v>
      </c>
      <c r="I22" t="s">
        <v>592</v>
      </c>
      <c r="J22" s="22">
        <v>45460</v>
      </c>
      <c r="K22">
        <v>0.17254602790356671</v>
      </c>
      <c r="L22">
        <v>0.21800005435943601</v>
      </c>
      <c r="M22">
        <v>0.25600004196166992</v>
      </c>
      <c r="N22" t="s">
        <v>582</v>
      </c>
      <c r="O22">
        <v>2021</v>
      </c>
    </row>
    <row r="23" spans="1:15" x14ac:dyDescent="0.35">
      <c r="A23" t="s">
        <v>591</v>
      </c>
      <c r="B23" s="22">
        <v>44470</v>
      </c>
      <c r="C23">
        <v>1.4960000514984131</v>
      </c>
      <c r="D23">
        <v>1.6909999847412109</v>
      </c>
      <c r="E23">
        <v>1.4630000591278081</v>
      </c>
      <c r="F23">
        <v>1.557000041007996</v>
      </c>
      <c r="G23">
        <v>0</v>
      </c>
      <c r="H23">
        <v>1.557000041007996</v>
      </c>
      <c r="I23" t="s">
        <v>592</v>
      </c>
      <c r="J23" s="22">
        <v>45460</v>
      </c>
      <c r="K23">
        <v>1.8312620232583621E-2</v>
      </c>
      <c r="L23">
        <v>6.099998950958252E-2</v>
      </c>
      <c r="M23">
        <v>0.19499993324279791</v>
      </c>
      <c r="N23" t="s">
        <v>585</v>
      </c>
      <c r="O23">
        <v>2021</v>
      </c>
    </row>
    <row r="24" spans="1:15" x14ac:dyDescent="0.35">
      <c r="A24" t="s">
        <v>591</v>
      </c>
      <c r="B24" s="22">
        <v>44501</v>
      </c>
      <c r="C24">
        <v>1.5870000123977659</v>
      </c>
      <c r="D24">
        <v>1.692999958992004</v>
      </c>
      <c r="E24">
        <v>1.4119999408721919</v>
      </c>
      <c r="F24">
        <v>1.442999958992004</v>
      </c>
      <c r="G24">
        <v>0</v>
      </c>
      <c r="H24">
        <v>1.442999958992004</v>
      </c>
      <c r="I24" t="s">
        <v>592</v>
      </c>
      <c r="J24" s="22">
        <v>45460</v>
      </c>
      <c r="K24">
        <v>-7.3217777144172769E-2</v>
      </c>
      <c r="L24">
        <v>-0.14400005340576169</v>
      </c>
      <c r="M24">
        <v>0.1059999465942383</v>
      </c>
      <c r="N24" t="s">
        <v>586</v>
      </c>
      <c r="O24">
        <v>2021</v>
      </c>
    </row>
    <row r="25" spans="1:15" x14ac:dyDescent="0.35">
      <c r="A25" t="s">
        <v>591</v>
      </c>
      <c r="B25" s="22">
        <v>44531</v>
      </c>
      <c r="C25">
        <v>1.48199999332428</v>
      </c>
      <c r="D25">
        <v>1.557999968528748</v>
      </c>
      <c r="E25">
        <v>1.343000054359436</v>
      </c>
      <c r="F25">
        <v>1.5119999647140501</v>
      </c>
      <c r="G25">
        <v>0</v>
      </c>
      <c r="H25">
        <v>1.5119999647140501</v>
      </c>
      <c r="I25" t="s">
        <v>592</v>
      </c>
      <c r="J25" s="22">
        <v>45460</v>
      </c>
      <c r="K25">
        <v>4.7817053141321793E-2</v>
      </c>
      <c r="L25">
        <v>2.9999971389770511E-2</v>
      </c>
      <c r="M25">
        <v>7.5999975204467773E-2</v>
      </c>
      <c r="N25" t="s">
        <v>582</v>
      </c>
      <c r="O25">
        <v>2021</v>
      </c>
    </row>
    <row r="26" spans="1:15" x14ac:dyDescent="0.35">
      <c r="A26" t="s">
        <v>591</v>
      </c>
      <c r="B26" s="22">
        <v>44562</v>
      </c>
      <c r="C26">
        <v>1.534000039100647</v>
      </c>
      <c r="D26">
        <v>1.8739999532699581</v>
      </c>
      <c r="E26">
        <v>1.532999992370605</v>
      </c>
      <c r="F26">
        <v>1.781999945640564</v>
      </c>
      <c r="G26">
        <v>0</v>
      </c>
      <c r="H26">
        <v>1.781999945640564</v>
      </c>
      <c r="I26" t="s">
        <v>592</v>
      </c>
      <c r="J26" s="22">
        <v>45460</v>
      </c>
      <c r="K26">
        <v>0.17857142012405799</v>
      </c>
      <c r="L26">
        <v>0.24799990653991699</v>
      </c>
      <c r="M26">
        <v>0.33999991416931152</v>
      </c>
      <c r="N26" t="s">
        <v>583</v>
      </c>
      <c r="O26">
        <v>2022</v>
      </c>
    </row>
    <row r="27" spans="1:15" x14ac:dyDescent="0.35">
      <c r="A27" t="s">
        <v>591</v>
      </c>
      <c r="B27" s="22">
        <v>44593</v>
      </c>
      <c r="C27">
        <v>1.75</v>
      </c>
      <c r="D27">
        <v>2.065000057220459</v>
      </c>
      <c r="E27">
        <v>1.7430000305175779</v>
      </c>
      <c r="F27">
        <v>1.83899998664856</v>
      </c>
      <c r="G27">
        <v>0</v>
      </c>
      <c r="H27">
        <v>1.83899998664856</v>
      </c>
      <c r="I27" t="s">
        <v>592</v>
      </c>
      <c r="J27" s="22">
        <v>45460</v>
      </c>
      <c r="K27">
        <v>3.1986555974616637E-2</v>
      </c>
      <c r="L27">
        <v>8.899998664855957E-2</v>
      </c>
      <c r="M27">
        <v>0.31500005722045898</v>
      </c>
      <c r="N27" t="s">
        <v>587</v>
      </c>
      <c r="O27">
        <v>2022</v>
      </c>
    </row>
    <row r="28" spans="1:15" x14ac:dyDescent="0.35">
      <c r="A28" t="s">
        <v>591</v>
      </c>
      <c r="B28" s="22">
        <v>44621</v>
      </c>
      <c r="C28">
        <v>1.733999967575073</v>
      </c>
      <c r="D28">
        <v>2.503000020980835</v>
      </c>
      <c r="E28">
        <v>1.682000041007996</v>
      </c>
      <c r="F28">
        <v>2.3269999027252202</v>
      </c>
      <c r="G28">
        <v>0</v>
      </c>
      <c r="H28">
        <v>2.3269999027252202</v>
      </c>
      <c r="I28" t="s">
        <v>592</v>
      </c>
      <c r="J28" s="22">
        <v>45460</v>
      </c>
      <c r="K28">
        <v>0.26536156586167442</v>
      </c>
      <c r="L28">
        <v>0.59299993515014648</v>
      </c>
      <c r="M28">
        <v>0.76900005340576172</v>
      </c>
      <c r="N28" t="s">
        <v>587</v>
      </c>
      <c r="O28">
        <v>2022</v>
      </c>
    </row>
    <row r="29" spans="1:15" x14ac:dyDescent="0.35">
      <c r="A29" t="s">
        <v>591</v>
      </c>
      <c r="B29" s="22">
        <v>44652</v>
      </c>
      <c r="C29">
        <v>2.404000043869019</v>
      </c>
      <c r="D29">
        <v>2.9539999961853032</v>
      </c>
      <c r="E29">
        <v>2.3570001125335689</v>
      </c>
      <c r="F29">
        <v>2.8870000839233398</v>
      </c>
      <c r="G29">
        <v>0</v>
      </c>
      <c r="H29">
        <v>2.8870000839233398</v>
      </c>
      <c r="I29" t="s">
        <v>592</v>
      </c>
      <c r="J29" s="22">
        <v>45460</v>
      </c>
      <c r="K29">
        <v>0.2406532894746953</v>
      </c>
      <c r="L29">
        <v>0.48300004005432129</v>
      </c>
      <c r="M29">
        <v>0.54999995231628418</v>
      </c>
      <c r="N29" t="s">
        <v>585</v>
      </c>
      <c r="O29">
        <v>2022</v>
      </c>
    </row>
    <row r="30" spans="1:15" x14ac:dyDescent="0.35">
      <c r="A30" t="s">
        <v>591</v>
      </c>
      <c r="B30" s="22">
        <v>44682</v>
      </c>
      <c r="C30">
        <v>2.9219999313354492</v>
      </c>
      <c r="D30">
        <v>3.1670000553131099</v>
      </c>
      <c r="E30">
        <v>2.7079999446868901</v>
      </c>
      <c r="F30">
        <v>2.844000101089478</v>
      </c>
      <c r="G30">
        <v>0</v>
      </c>
      <c r="H30">
        <v>2.844000101089478</v>
      </c>
      <c r="I30" t="s">
        <v>592</v>
      </c>
      <c r="J30" s="22">
        <v>45460</v>
      </c>
      <c r="K30">
        <v>-1.4894347621710709E-2</v>
      </c>
      <c r="L30">
        <v>-7.799983024597168E-2</v>
      </c>
      <c r="M30">
        <v>0.24500012397766111</v>
      </c>
      <c r="N30" t="s">
        <v>584</v>
      </c>
      <c r="O30">
        <v>2022</v>
      </c>
    </row>
    <row r="31" spans="1:15" x14ac:dyDescent="0.35">
      <c r="A31" t="s">
        <v>591</v>
      </c>
      <c r="B31" s="22">
        <v>44713</v>
      </c>
      <c r="C31">
        <v>2.8710000514984131</v>
      </c>
      <c r="D31">
        <v>3.4830000400543208</v>
      </c>
      <c r="E31">
        <v>2.8329999446868901</v>
      </c>
      <c r="F31">
        <v>2.971999883651733</v>
      </c>
      <c r="G31">
        <v>0</v>
      </c>
      <c r="H31">
        <v>2.971999883651733</v>
      </c>
      <c r="I31" t="s">
        <v>592</v>
      </c>
      <c r="J31" s="22">
        <v>45460</v>
      </c>
      <c r="K31">
        <v>4.5006954294137369E-2</v>
      </c>
      <c r="L31">
        <v>0.1009998321533203</v>
      </c>
      <c r="M31">
        <v>0.6119999885559082</v>
      </c>
      <c r="N31" t="s">
        <v>582</v>
      </c>
      <c r="O31">
        <v>2022</v>
      </c>
    </row>
    <row r="32" spans="1:15" x14ac:dyDescent="0.35">
      <c r="A32" t="s">
        <v>591</v>
      </c>
      <c r="B32" s="22">
        <v>44743</v>
      </c>
      <c r="C32">
        <v>2.9319999217987061</v>
      </c>
      <c r="D32">
        <v>3.101000070571899</v>
      </c>
      <c r="E32">
        <v>2.6180000305175781</v>
      </c>
      <c r="F32">
        <v>2.6419999599456792</v>
      </c>
      <c r="G32">
        <v>0</v>
      </c>
      <c r="H32">
        <v>2.6419999599456792</v>
      </c>
      <c r="I32" t="s">
        <v>592</v>
      </c>
      <c r="J32" s="22">
        <v>45460</v>
      </c>
      <c r="K32">
        <v>-0.11103631784149991</v>
      </c>
      <c r="L32">
        <v>-0.28999996185302729</v>
      </c>
      <c r="M32">
        <v>0.16900014877319339</v>
      </c>
      <c r="N32" t="s">
        <v>585</v>
      </c>
      <c r="O32">
        <v>2022</v>
      </c>
    </row>
    <row r="33" spans="1:15" x14ac:dyDescent="0.35">
      <c r="A33" t="s">
        <v>591</v>
      </c>
      <c r="B33" s="22">
        <v>44774</v>
      </c>
      <c r="C33">
        <v>2.657999992370605</v>
      </c>
      <c r="D33">
        <v>3.151000022888184</v>
      </c>
      <c r="E33">
        <v>2.5250000953674321</v>
      </c>
      <c r="F33">
        <v>3.1329998970031738</v>
      </c>
      <c r="G33">
        <v>0</v>
      </c>
      <c r="H33">
        <v>3.1329998970031738</v>
      </c>
      <c r="I33" t="s">
        <v>592</v>
      </c>
      <c r="J33" s="22">
        <v>45460</v>
      </c>
      <c r="K33">
        <v>0.18584403652587131</v>
      </c>
      <c r="L33">
        <v>0.47499990463256841</v>
      </c>
      <c r="M33">
        <v>0.49300003051757813</v>
      </c>
      <c r="N33" t="s">
        <v>586</v>
      </c>
      <c r="O33">
        <v>2022</v>
      </c>
    </row>
    <row r="34" spans="1:15" x14ac:dyDescent="0.35">
      <c r="A34" t="s">
        <v>591</v>
      </c>
      <c r="B34" s="22">
        <v>44805</v>
      </c>
      <c r="C34">
        <v>3.217000007629395</v>
      </c>
      <c r="D34">
        <v>3.9920001029968262</v>
      </c>
      <c r="E34">
        <v>3.1760001182556148</v>
      </c>
      <c r="F34">
        <v>3.8039999008178711</v>
      </c>
      <c r="G34">
        <v>0</v>
      </c>
      <c r="H34">
        <v>3.8039999008178711</v>
      </c>
      <c r="I34" t="s">
        <v>592</v>
      </c>
      <c r="J34" s="22">
        <v>45460</v>
      </c>
      <c r="K34">
        <v>0.21417172865423079</v>
      </c>
      <c r="L34">
        <v>0.58699989318847656</v>
      </c>
      <c r="M34">
        <v>0.77500009536743164</v>
      </c>
      <c r="N34" t="s">
        <v>588</v>
      </c>
      <c r="O34">
        <v>2022</v>
      </c>
    </row>
    <row r="35" spans="1:15" x14ac:dyDescent="0.35">
      <c r="A35" t="s">
        <v>591</v>
      </c>
      <c r="B35" s="22">
        <v>44835</v>
      </c>
      <c r="C35">
        <v>3.711999893188477</v>
      </c>
      <c r="D35">
        <v>4.3330001831054688</v>
      </c>
      <c r="E35">
        <v>3.5639998912811279</v>
      </c>
      <c r="F35">
        <v>4.0770001411437988</v>
      </c>
      <c r="G35">
        <v>0</v>
      </c>
      <c r="H35">
        <v>4.0770001411437988</v>
      </c>
      <c r="I35" t="s">
        <v>592</v>
      </c>
      <c r="J35" s="22">
        <v>45460</v>
      </c>
      <c r="K35">
        <v>7.1766626562538072E-2</v>
      </c>
      <c r="L35">
        <v>0.36500024795532232</v>
      </c>
      <c r="M35">
        <v>0.62100028991699219</v>
      </c>
      <c r="N35" t="s">
        <v>583</v>
      </c>
      <c r="O35">
        <v>2022</v>
      </c>
    </row>
    <row r="36" spans="1:15" x14ac:dyDescent="0.35">
      <c r="A36" t="s">
        <v>591</v>
      </c>
      <c r="B36" s="22">
        <v>44866</v>
      </c>
      <c r="C36">
        <v>3.937000036239624</v>
      </c>
      <c r="D36">
        <v>4.2230000495910636</v>
      </c>
      <c r="E36">
        <v>3.6679999828338619</v>
      </c>
      <c r="F36">
        <v>3.7030000686645508</v>
      </c>
      <c r="G36">
        <v>0</v>
      </c>
      <c r="H36">
        <v>3.7030000686645508</v>
      </c>
      <c r="I36" t="s">
        <v>592</v>
      </c>
      <c r="J36" s="22">
        <v>45460</v>
      </c>
      <c r="K36">
        <v>-9.1734132825985748E-2</v>
      </c>
      <c r="L36">
        <v>-0.23399996757507319</v>
      </c>
      <c r="M36">
        <v>0.28600001335144037</v>
      </c>
      <c r="N36" t="s">
        <v>587</v>
      </c>
      <c r="O36">
        <v>2022</v>
      </c>
    </row>
    <row r="37" spans="1:15" x14ac:dyDescent="0.35">
      <c r="A37" t="s">
        <v>591</v>
      </c>
      <c r="B37" s="22">
        <v>44896</v>
      </c>
      <c r="C37">
        <v>3.594000101089478</v>
      </c>
      <c r="D37">
        <v>3.904999971389771</v>
      </c>
      <c r="E37">
        <v>3.401999950408936</v>
      </c>
      <c r="F37">
        <v>3.8789999485015869</v>
      </c>
      <c r="G37">
        <v>0</v>
      </c>
      <c r="H37">
        <v>3.8789999485015869</v>
      </c>
      <c r="I37" t="s">
        <v>592</v>
      </c>
      <c r="J37" s="22">
        <v>45460</v>
      </c>
      <c r="K37">
        <v>4.7528997184304263E-2</v>
      </c>
      <c r="L37">
        <v>0.28499984741210938</v>
      </c>
      <c r="M37">
        <v>0.31099987030029302</v>
      </c>
      <c r="N37" t="s">
        <v>588</v>
      </c>
      <c r="O37">
        <v>2022</v>
      </c>
    </row>
    <row r="38" spans="1:15" x14ac:dyDescent="0.35">
      <c r="A38" t="s">
        <v>591</v>
      </c>
      <c r="B38" s="22">
        <v>44927</v>
      </c>
      <c r="C38">
        <v>3.7579998970031738</v>
      </c>
      <c r="D38">
        <v>3.809999942779541</v>
      </c>
      <c r="E38">
        <v>3.372999906539917</v>
      </c>
      <c r="F38">
        <v>3.529000043869019</v>
      </c>
      <c r="G38">
        <v>0</v>
      </c>
      <c r="H38">
        <v>3.529000043869019</v>
      </c>
      <c r="I38" t="s">
        <v>592</v>
      </c>
      <c r="J38" s="22">
        <v>45460</v>
      </c>
      <c r="K38">
        <v>-9.0229417189801486E-2</v>
      </c>
      <c r="L38">
        <v>-0.2289998531341553</v>
      </c>
      <c r="M38">
        <v>5.2000045776367188E-2</v>
      </c>
      <c r="N38" t="s">
        <v>584</v>
      </c>
      <c r="O38">
        <v>2023</v>
      </c>
    </row>
    <row r="39" spans="1:15" x14ac:dyDescent="0.35">
      <c r="A39" t="s">
        <v>591</v>
      </c>
      <c r="B39" s="22">
        <v>44958</v>
      </c>
      <c r="C39">
        <v>3.4749999046325679</v>
      </c>
      <c r="D39">
        <v>3.9830000400543208</v>
      </c>
      <c r="E39">
        <v>3.3340001106262211</v>
      </c>
      <c r="F39">
        <v>3.9159998893737789</v>
      </c>
      <c r="G39">
        <v>0</v>
      </c>
      <c r="H39">
        <v>3.9159998893737789</v>
      </c>
      <c r="I39" t="s">
        <v>592</v>
      </c>
      <c r="J39" s="22">
        <v>45460</v>
      </c>
      <c r="K39">
        <v>0.10966274885065561</v>
      </c>
      <c r="L39">
        <v>0.44099998474121088</v>
      </c>
      <c r="M39">
        <v>0.50800013542175293</v>
      </c>
      <c r="N39" t="s">
        <v>582</v>
      </c>
      <c r="O39">
        <v>2023</v>
      </c>
    </row>
    <row r="40" spans="1:15" x14ac:dyDescent="0.35">
      <c r="A40" t="s">
        <v>591</v>
      </c>
      <c r="B40" s="22">
        <v>44986</v>
      </c>
      <c r="C40">
        <v>3.940000057220459</v>
      </c>
      <c r="D40">
        <v>4.0910000801086426</v>
      </c>
      <c r="E40">
        <v>3.2950000762939449</v>
      </c>
      <c r="F40">
        <v>3.4939999580383301</v>
      </c>
      <c r="G40">
        <v>0</v>
      </c>
      <c r="H40">
        <v>3.4939999580383301</v>
      </c>
      <c r="I40" t="s">
        <v>592</v>
      </c>
      <c r="J40" s="22">
        <v>45460</v>
      </c>
      <c r="K40">
        <v>-0.1077630090032848</v>
      </c>
      <c r="L40">
        <v>-0.44600009918212891</v>
      </c>
      <c r="M40">
        <v>0.15100002288818359</v>
      </c>
      <c r="N40" t="s">
        <v>582</v>
      </c>
      <c r="O40">
        <v>2023</v>
      </c>
    </row>
    <row r="41" spans="1:15" x14ac:dyDescent="0.35">
      <c r="A41" t="s">
        <v>591</v>
      </c>
      <c r="B41" s="22">
        <v>45017</v>
      </c>
      <c r="C41">
        <v>3.5169999599456792</v>
      </c>
      <c r="D41">
        <v>3.6389999389648442</v>
      </c>
      <c r="E41">
        <v>3.253000020980835</v>
      </c>
      <c r="F41">
        <v>3.4519999027252202</v>
      </c>
      <c r="G41">
        <v>0</v>
      </c>
      <c r="H41">
        <v>3.4519999027252202</v>
      </c>
      <c r="I41" t="s">
        <v>592</v>
      </c>
      <c r="J41" s="22">
        <v>45460</v>
      </c>
      <c r="K41">
        <v>-1.2020622729683961E-2</v>
      </c>
      <c r="L41">
        <v>-6.5000057220458984E-2</v>
      </c>
      <c r="M41">
        <v>0.121999979019165</v>
      </c>
      <c r="N41" t="s">
        <v>583</v>
      </c>
      <c r="O41">
        <v>2023</v>
      </c>
    </row>
    <row r="42" spans="1:15" x14ac:dyDescent="0.35">
      <c r="A42" t="s">
        <v>591</v>
      </c>
      <c r="B42" s="22">
        <v>45047</v>
      </c>
      <c r="C42">
        <v>3.500999927520752</v>
      </c>
      <c r="D42">
        <v>3.8589999675750728</v>
      </c>
      <c r="E42">
        <v>3.2960000038146968</v>
      </c>
      <c r="F42">
        <v>3.6370000839233398</v>
      </c>
      <c r="G42">
        <v>0</v>
      </c>
      <c r="H42">
        <v>3.6370000839233398</v>
      </c>
      <c r="I42" t="s">
        <v>592</v>
      </c>
      <c r="J42" s="22">
        <v>45460</v>
      </c>
      <c r="K42">
        <v>5.3592174510801671E-2</v>
      </c>
      <c r="L42">
        <v>0.13600015640258789</v>
      </c>
      <c r="M42">
        <v>0.35800004005432129</v>
      </c>
      <c r="N42" t="s">
        <v>586</v>
      </c>
      <c r="O42">
        <v>2023</v>
      </c>
    </row>
    <row r="43" spans="1:15" x14ac:dyDescent="0.35">
      <c r="A43" t="s">
        <v>591</v>
      </c>
      <c r="B43" s="22">
        <v>45078</v>
      </c>
      <c r="C43">
        <v>3.6500000953674321</v>
      </c>
      <c r="D43">
        <v>3.871999979019165</v>
      </c>
      <c r="E43">
        <v>3.5699999332427979</v>
      </c>
      <c r="F43">
        <v>3.8190000057220459</v>
      </c>
      <c r="G43">
        <v>0</v>
      </c>
      <c r="H43">
        <v>3.8190000057220459</v>
      </c>
      <c r="I43" t="s">
        <v>592</v>
      </c>
      <c r="J43" s="22">
        <v>45460</v>
      </c>
      <c r="K43">
        <v>5.0041220126224813E-2</v>
      </c>
      <c r="L43">
        <v>0.16899991035461431</v>
      </c>
      <c r="M43">
        <v>0.2219998836517334</v>
      </c>
      <c r="N43" t="s">
        <v>588</v>
      </c>
      <c r="O43">
        <v>2023</v>
      </c>
    </row>
    <row r="44" spans="1:15" x14ac:dyDescent="0.35">
      <c r="A44" t="s">
        <v>591</v>
      </c>
      <c r="B44" s="22">
        <v>45108</v>
      </c>
      <c r="C44">
        <v>3.8640000820159912</v>
      </c>
      <c r="D44">
        <v>4.0939998626708984</v>
      </c>
      <c r="E44">
        <v>3.7349998950958252</v>
      </c>
      <c r="F44">
        <v>3.9590001106262211</v>
      </c>
      <c r="G44">
        <v>0</v>
      </c>
      <c r="H44">
        <v>3.9590001106262211</v>
      </c>
      <c r="I44" t="s">
        <v>592</v>
      </c>
      <c r="J44" s="22">
        <v>45460</v>
      </c>
      <c r="K44">
        <v>3.6658838621212768E-2</v>
      </c>
      <c r="L44">
        <v>9.5000028610229492E-2</v>
      </c>
      <c r="M44">
        <v>0.2299997806549072</v>
      </c>
      <c r="N44" t="s">
        <v>583</v>
      </c>
      <c r="O44">
        <v>2023</v>
      </c>
    </row>
    <row r="45" spans="1:15" x14ac:dyDescent="0.35">
      <c r="A45" t="s">
        <v>591</v>
      </c>
      <c r="B45" s="22">
        <v>45139</v>
      </c>
      <c r="C45">
        <v>4.000999927520752</v>
      </c>
      <c r="D45">
        <v>4.3619999885559082</v>
      </c>
      <c r="E45">
        <v>3.9570000171661381</v>
      </c>
      <c r="F45">
        <v>4.0929999351501456</v>
      </c>
      <c r="G45">
        <v>0</v>
      </c>
      <c r="H45">
        <v>4.0929999351501456</v>
      </c>
      <c r="I45" t="s">
        <v>592</v>
      </c>
      <c r="J45" s="22">
        <v>45460</v>
      </c>
      <c r="K45">
        <v>3.3846885774077462E-2</v>
      </c>
      <c r="L45">
        <v>9.2000007629394531E-2</v>
      </c>
      <c r="M45">
        <v>0.36100006103515619</v>
      </c>
      <c r="N45" t="s">
        <v>587</v>
      </c>
      <c r="O45">
        <v>2023</v>
      </c>
    </row>
    <row r="46" spans="1:15" x14ac:dyDescent="0.35">
      <c r="A46" t="s">
        <v>591</v>
      </c>
      <c r="B46" s="22">
        <v>45170</v>
      </c>
      <c r="C46">
        <v>4.0970001220703116</v>
      </c>
      <c r="D46">
        <v>4.6880002021789551</v>
      </c>
      <c r="E46">
        <v>4.059999942779541</v>
      </c>
      <c r="F46">
        <v>4.5729999542236328</v>
      </c>
      <c r="G46">
        <v>0</v>
      </c>
      <c r="H46">
        <v>4.5729999542236328</v>
      </c>
      <c r="I46" t="s">
        <v>592</v>
      </c>
      <c r="J46" s="22">
        <v>45460</v>
      </c>
      <c r="K46">
        <v>0.1172734001169433</v>
      </c>
      <c r="L46">
        <v>0.47599983215332031</v>
      </c>
      <c r="M46">
        <v>0.59100008010864258</v>
      </c>
      <c r="N46" t="s">
        <v>585</v>
      </c>
      <c r="O46">
        <v>2023</v>
      </c>
    </row>
    <row r="47" spans="1:15" x14ac:dyDescent="0.35">
      <c r="A47" t="s">
        <v>591</v>
      </c>
      <c r="B47" s="22">
        <v>45200</v>
      </c>
      <c r="C47">
        <v>4.6310000419616699</v>
      </c>
      <c r="D47">
        <v>4.9970002174377441</v>
      </c>
      <c r="E47">
        <v>4.5320000648498544</v>
      </c>
      <c r="F47">
        <v>4.875</v>
      </c>
      <c r="G47">
        <v>0</v>
      </c>
      <c r="H47">
        <v>4.875</v>
      </c>
      <c r="I47" t="s">
        <v>592</v>
      </c>
      <c r="J47" s="22">
        <v>45460</v>
      </c>
      <c r="K47">
        <v>6.6039809490362922E-2</v>
      </c>
      <c r="L47">
        <v>0.24399995803833011</v>
      </c>
      <c r="M47">
        <v>0.36600017547607422</v>
      </c>
      <c r="N47" t="s">
        <v>584</v>
      </c>
      <c r="O47">
        <v>2023</v>
      </c>
    </row>
    <row r="48" spans="1:15" x14ac:dyDescent="0.35">
      <c r="A48" t="s">
        <v>591</v>
      </c>
      <c r="B48" s="22">
        <v>45231</v>
      </c>
      <c r="C48">
        <v>4.8930001258850098</v>
      </c>
      <c r="D48">
        <v>4.9029998779296884</v>
      </c>
      <c r="E48">
        <v>4.2529997825622559</v>
      </c>
      <c r="F48">
        <v>4.3520002365112296</v>
      </c>
      <c r="G48">
        <v>0</v>
      </c>
      <c r="H48">
        <v>4.3520002365112296</v>
      </c>
      <c r="I48" t="s">
        <v>592</v>
      </c>
      <c r="J48" s="22">
        <v>45460</v>
      </c>
      <c r="K48">
        <v>-0.10728200276692711</v>
      </c>
      <c r="L48">
        <v>-0.5409998893737793</v>
      </c>
      <c r="M48">
        <v>9.9997520446777344E-3</v>
      </c>
      <c r="N48" t="s">
        <v>582</v>
      </c>
      <c r="O48">
        <v>2023</v>
      </c>
    </row>
    <row r="49" spans="1:15" x14ac:dyDescent="0.35">
      <c r="A49" t="s">
        <v>591</v>
      </c>
      <c r="B49" s="22">
        <v>45261</v>
      </c>
      <c r="C49">
        <v>4.320000171661377</v>
      </c>
      <c r="D49">
        <v>4.3480000495910636</v>
      </c>
      <c r="E49">
        <v>3.785000085830688</v>
      </c>
      <c r="F49">
        <v>3.8659999370574951</v>
      </c>
      <c r="G49">
        <v>0</v>
      </c>
      <c r="H49">
        <v>3.8659999370574951</v>
      </c>
      <c r="I49" t="s">
        <v>592</v>
      </c>
      <c r="J49" s="22">
        <v>45460</v>
      </c>
      <c r="K49">
        <v>-0.1116728568570429</v>
      </c>
      <c r="L49">
        <v>-0.45400023460388178</v>
      </c>
      <c r="M49">
        <v>2.79998779296875E-2</v>
      </c>
      <c r="N49" t="s">
        <v>585</v>
      </c>
      <c r="O49">
        <v>2023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74CF-61D2-4809-AD79-C0685D255FED}">
  <sheetPr>
    <tabColor theme="6" tint="0.79998168889431442"/>
  </sheetPr>
  <dimension ref="A1:O49"/>
  <sheetViews>
    <sheetView showGridLines="0" workbookViewId="0"/>
  </sheetViews>
  <sheetFormatPr defaultRowHeight="14.5" x14ac:dyDescent="0.35"/>
  <cols>
    <col min="1" max="1" width="8.08984375" bestFit="1" customWidth="1"/>
    <col min="2" max="2" width="12" bestFit="1" customWidth="1"/>
    <col min="3" max="8" width="11.81640625" bestFit="1" customWidth="1"/>
    <col min="9" max="9" width="14.1796875" bestFit="1" customWidth="1"/>
    <col min="10" max="10" width="11.1796875" bestFit="1" customWidth="1"/>
    <col min="11" max="11" width="16" bestFit="1" customWidth="1"/>
    <col min="12" max="12" width="16.453125" bestFit="1" customWidth="1"/>
    <col min="13" max="13" width="15.81640625" bestFit="1" customWidth="1"/>
    <col min="14" max="14" width="14.26953125" bestFit="1" customWidth="1"/>
    <col min="15" max="15" width="16.7265625" bestFit="1" customWidth="1"/>
  </cols>
  <sheetData>
    <row r="1" spans="1:15" x14ac:dyDescent="0.35">
      <c r="A1" t="s">
        <v>211</v>
      </c>
      <c r="B1" t="s">
        <v>568</v>
      </c>
      <c r="C1" t="s">
        <v>569</v>
      </c>
      <c r="D1" t="s">
        <v>570</v>
      </c>
      <c r="E1" t="s">
        <v>571</v>
      </c>
      <c r="F1" t="s">
        <v>572</v>
      </c>
      <c r="G1" t="s">
        <v>573</v>
      </c>
      <c r="H1" t="s">
        <v>574</v>
      </c>
      <c r="I1" t="s">
        <v>139</v>
      </c>
      <c r="J1" t="s">
        <v>575</v>
      </c>
      <c r="K1" t="s">
        <v>576</v>
      </c>
      <c r="L1" t="s">
        <v>577</v>
      </c>
      <c r="M1" t="s">
        <v>578</v>
      </c>
      <c r="N1" t="s">
        <v>579</v>
      </c>
      <c r="O1" t="s">
        <v>580</v>
      </c>
    </row>
    <row r="2" spans="1:15" x14ac:dyDescent="0.35">
      <c r="A2" t="s">
        <v>581</v>
      </c>
      <c r="B2" s="22">
        <v>43831</v>
      </c>
      <c r="C2">
        <v>3244.669921875</v>
      </c>
      <c r="D2">
        <v>3337.77001953125</v>
      </c>
      <c r="E2">
        <v>3214.639892578125</v>
      </c>
      <c r="F2">
        <v>3225.52001953125</v>
      </c>
      <c r="G2">
        <v>77287980000</v>
      </c>
      <c r="H2">
        <v>3225.52001953125</v>
      </c>
      <c r="I2" t="s">
        <v>632</v>
      </c>
      <c r="J2" s="22">
        <v>45496</v>
      </c>
      <c r="L2">
        <v>-19.14990234375</v>
      </c>
      <c r="M2">
        <v>93.10009765625</v>
      </c>
      <c r="N2" t="s">
        <v>582</v>
      </c>
      <c r="O2">
        <v>2020</v>
      </c>
    </row>
    <row r="3" spans="1:15" x14ac:dyDescent="0.35">
      <c r="A3" t="s">
        <v>581</v>
      </c>
      <c r="B3" s="22">
        <v>43862</v>
      </c>
      <c r="C3">
        <v>3235.659912109375</v>
      </c>
      <c r="D3">
        <v>3393.52001953125</v>
      </c>
      <c r="E3">
        <v>2855.840087890625</v>
      </c>
      <c r="F3">
        <v>2954.219970703125</v>
      </c>
      <c r="G3">
        <v>84436590000</v>
      </c>
      <c r="H3">
        <v>2954.219970703125</v>
      </c>
      <c r="I3" t="s">
        <v>632</v>
      </c>
      <c r="J3" s="22">
        <v>45496</v>
      </c>
      <c r="K3">
        <v>-8.4110483638403122E-2</v>
      </c>
      <c r="L3">
        <v>-281.43994140625</v>
      </c>
      <c r="M3">
        <v>157.860107421875</v>
      </c>
      <c r="N3" t="s">
        <v>583</v>
      </c>
      <c r="O3">
        <v>2020</v>
      </c>
    </row>
    <row r="4" spans="1:15" x14ac:dyDescent="0.35">
      <c r="A4" t="s">
        <v>581</v>
      </c>
      <c r="B4" s="22">
        <v>43891</v>
      </c>
      <c r="C4">
        <v>2974.280029296875</v>
      </c>
      <c r="D4">
        <v>3136.719970703125</v>
      </c>
      <c r="E4">
        <v>2191.860107421875</v>
      </c>
      <c r="F4">
        <v>2584.590087890625</v>
      </c>
      <c r="G4">
        <v>162185380000</v>
      </c>
      <c r="H4">
        <v>2584.590087890625</v>
      </c>
      <c r="I4" t="s">
        <v>632</v>
      </c>
      <c r="J4" s="22">
        <v>45496</v>
      </c>
      <c r="K4">
        <v>-0.1251192824089282</v>
      </c>
      <c r="L4">
        <v>-389.68994140625</v>
      </c>
      <c r="M4">
        <v>162.43994140625</v>
      </c>
      <c r="N4" t="s">
        <v>584</v>
      </c>
      <c r="O4">
        <v>2020</v>
      </c>
    </row>
    <row r="5" spans="1:15" x14ac:dyDescent="0.35">
      <c r="A5" t="s">
        <v>581</v>
      </c>
      <c r="B5" s="22">
        <v>43922</v>
      </c>
      <c r="C5">
        <v>2498.080078125</v>
      </c>
      <c r="D5">
        <v>2954.860107421875</v>
      </c>
      <c r="E5">
        <v>2447.489990234375</v>
      </c>
      <c r="F5">
        <v>2912.429931640625</v>
      </c>
      <c r="G5">
        <v>123608160000</v>
      </c>
      <c r="H5">
        <v>2912.429931640625</v>
      </c>
      <c r="I5" t="s">
        <v>632</v>
      </c>
      <c r="J5" s="22">
        <v>45496</v>
      </c>
      <c r="K5">
        <v>0.12684403816527889</v>
      </c>
      <c r="L5">
        <v>414.349853515625</v>
      </c>
      <c r="M5">
        <v>456.780029296875</v>
      </c>
      <c r="N5" t="s">
        <v>582</v>
      </c>
      <c r="O5">
        <v>2020</v>
      </c>
    </row>
    <row r="6" spans="1:15" x14ac:dyDescent="0.35">
      <c r="A6" t="s">
        <v>581</v>
      </c>
      <c r="B6" s="22">
        <v>43952</v>
      </c>
      <c r="C6">
        <v>2869.090087890625</v>
      </c>
      <c r="D6">
        <v>3068.669921875</v>
      </c>
      <c r="E6">
        <v>2766.639892578125</v>
      </c>
      <c r="F6">
        <v>3044.31005859375</v>
      </c>
      <c r="G6">
        <v>107135190000</v>
      </c>
      <c r="H6">
        <v>3044.31005859375</v>
      </c>
      <c r="I6" t="s">
        <v>632</v>
      </c>
      <c r="J6" s="22">
        <v>45496</v>
      </c>
      <c r="K6">
        <v>4.5281819665558221E-2</v>
      </c>
      <c r="L6">
        <v>175.219970703125</v>
      </c>
      <c r="M6">
        <v>199.579833984375</v>
      </c>
      <c r="N6" t="s">
        <v>585</v>
      </c>
      <c r="O6">
        <v>2020</v>
      </c>
    </row>
    <row r="7" spans="1:15" x14ac:dyDescent="0.35">
      <c r="A7" t="s">
        <v>581</v>
      </c>
      <c r="B7" s="22">
        <v>43983</v>
      </c>
      <c r="C7">
        <v>3038.780029296875</v>
      </c>
      <c r="D7">
        <v>3233.1298828125</v>
      </c>
      <c r="E7">
        <v>2965.659912109375</v>
      </c>
      <c r="F7">
        <v>3100.2900390625</v>
      </c>
      <c r="G7">
        <v>131458880000</v>
      </c>
      <c r="H7">
        <v>3100.2900390625</v>
      </c>
      <c r="I7" t="s">
        <v>632</v>
      </c>
      <c r="J7" s="22">
        <v>45496</v>
      </c>
      <c r="K7">
        <v>1.838839651392421E-2</v>
      </c>
      <c r="L7">
        <v>61.510009765625</v>
      </c>
      <c r="M7">
        <v>194.349853515625</v>
      </c>
      <c r="N7" t="s">
        <v>586</v>
      </c>
      <c r="O7">
        <v>2020</v>
      </c>
    </row>
    <row r="8" spans="1:15" x14ac:dyDescent="0.35">
      <c r="A8" t="s">
        <v>581</v>
      </c>
      <c r="B8" s="22">
        <v>44013</v>
      </c>
      <c r="C8">
        <v>3105.919921875</v>
      </c>
      <c r="D8">
        <v>3279.989990234375</v>
      </c>
      <c r="E8">
        <v>3101.169921875</v>
      </c>
      <c r="F8">
        <v>3271.1201171875</v>
      </c>
      <c r="G8">
        <v>96928130000</v>
      </c>
      <c r="H8">
        <v>3271.1201171875</v>
      </c>
      <c r="I8" t="s">
        <v>632</v>
      </c>
      <c r="J8" s="22">
        <v>45496</v>
      </c>
      <c r="K8">
        <v>5.5101321480443673E-2</v>
      </c>
      <c r="L8">
        <v>165.2001953125</v>
      </c>
      <c r="M8">
        <v>174.070068359375</v>
      </c>
      <c r="N8" t="s">
        <v>582</v>
      </c>
      <c r="O8">
        <v>2020</v>
      </c>
    </row>
    <row r="9" spans="1:15" x14ac:dyDescent="0.35">
      <c r="A9" t="s">
        <v>581</v>
      </c>
      <c r="B9" s="22">
        <v>44044</v>
      </c>
      <c r="C9">
        <v>3288.260009765625</v>
      </c>
      <c r="D9">
        <v>3514.77001953125</v>
      </c>
      <c r="E9">
        <v>3284.530029296875</v>
      </c>
      <c r="F9">
        <v>3500.31005859375</v>
      </c>
      <c r="G9">
        <v>82466520000</v>
      </c>
      <c r="H9">
        <v>3500.31005859375</v>
      </c>
      <c r="I9" t="s">
        <v>632</v>
      </c>
      <c r="J9" s="22">
        <v>45496</v>
      </c>
      <c r="K9">
        <v>7.0064666901717754E-2</v>
      </c>
      <c r="L9">
        <v>212.050048828125</v>
      </c>
      <c r="M9">
        <v>226.510009765625</v>
      </c>
      <c r="N9" t="s">
        <v>583</v>
      </c>
      <c r="O9">
        <v>2020</v>
      </c>
    </row>
    <row r="10" spans="1:15" x14ac:dyDescent="0.35">
      <c r="A10" t="s">
        <v>581</v>
      </c>
      <c r="B10" s="22">
        <v>44075</v>
      </c>
      <c r="C10">
        <v>3507.43994140625</v>
      </c>
      <c r="D10">
        <v>3588.110107421875</v>
      </c>
      <c r="E10">
        <v>3209.449951171875</v>
      </c>
      <c r="F10">
        <v>3363</v>
      </c>
      <c r="G10">
        <v>92310780000</v>
      </c>
      <c r="H10">
        <v>3363</v>
      </c>
      <c r="I10" t="s">
        <v>632</v>
      </c>
      <c r="J10" s="22">
        <v>45496</v>
      </c>
      <c r="K10">
        <v>-3.9227970178423062E-2</v>
      </c>
      <c r="L10">
        <v>-144.43994140625</v>
      </c>
      <c r="M10">
        <v>80.670166015625</v>
      </c>
      <c r="N10" t="s">
        <v>587</v>
      </c>
      <c r="O10">
        <v>2020</v>
      </c>
    </row>
    <row r="11" spans="1:15" x14ac:dyDescent="0.35">
      <c r="A11" t="s">
        <v>581</v>
      </c>
      <c r="B11" s="22">
        <v>44105</v>
      </c>
      <c r="C11">
        <v>3385.8701171875</v>
      </c>
      <c r="D11">
        <v>3549.85009765625</v>
      </c>
      <c r="E11">
        <v>3233.93994140625</v>
      </c>
      <c r="F11">
        <v>3269.9599609375</v>
      </c>
      <c r="G11">
        <v>89938980000</v>
      </c>
      <c r="H11">
        <v>3269.9599609375</v>
      </c>
      <c r="I11" t="s">
        <v>632</v>
      </c>
      <c r="J11" s="22">
        <v>45496</v>
      </c>
      <c r="K11">
        <v>-2.7665786221379721E-2</v>
      </c>
      <c r="L11">
        <v>-115.91015625</v>
      </c>
      <c r="M11">
        <v>163.97998046875</v>
      </c>
      <c r="N11" t="s">
        <v>588</v>
      </c>
      <c r="O11">
        <v>2020</v>
      </c>
    </row>
    <row r="12" spans="1:15" x14ac:dyDescent="0.35">
      <c r="A12" t="s">
        <v>581</v>
      </c>
      <c r="B12" s="22">
        <v>44136</v>
      </c>
      <c r="C12">
        <v>3296.199951171875</v>
      </c>
      <c r="D12">
        <v>3645.989990234375</v>
      </c>
      <c r="E12">
        <v>3279.739990234375</v>
      </c>
      <c r="F12">
        <v>3621.6298828125</v>
      </c>
      <c r="G12">
        <v>101247180000</v>
      </c>
      <c r="H12">
        <v>3621.6298828125</v>
      </c>
      <c r="I12" t="s">
        <v>632</v>
      </c>
      <c r="J12" s="22">
        <v>45496</v>
      </c>
      <c r="K12">
        <v>0.1075456354438591</v>
      </c>
      <c r="L12">
        <v>325.429931640625</v>
      </c>
      <c r="M12">
        <v>349.7900390625</v>
      </c>
      <c r="N12" t="s">
        <v>584</v>
      </c>
      <c r="O12">
        <v>2020</v>
      </c>
    </row>
    <row r="13" spans="1:15" x14ac:dyDescent="0.35">
      <c r="A13" t="s">
        <v>581</v>
      </c>
      <c r="B13" s="22">
        <v>44166</v>
      </c>
      <c r="C13">
        <v>3645.8701171875</v>
      </c>
      <c r="D13">
        <v>3760.199951171875</v>
      </c>
      <c r="E13">
        <v>3633.39990234375</v>
      </c>
      <c r="F13">
        <v>3756.070068359375</v>
      </c>
      <c r="G13">
        <v>96375680000</v>
      </c>
      <c r="H13">
        <v>3756.070068359375</v>
      </c>
      <c r="I13" t="s">
        <v>632</v>
      </c>
      <c r="J13" s="22">
        <v>45496</v>
      </c>
      <c r="K13">
        <v>3.7121459093570008E-2</v>
      </c>
      <c r="L13">
        <v>110.199951171875</v>
      </c>
      <c r="M13">
        <v>114.329833984375</v>
      </c>
      <c r="N13" t="s">
        <v>587</v>
      </c>
      <c r="O13">
        <v>2020</v>
      </c>
    </row>
    <row r="14" spans="1:15" x14ac:dyDescent="0.35">
      <c r="A14" t="s">
        <v>581</v>
      </c>
      <c r="B14" s="22">
        <v>44197</v>
      </c>
      <c r="C14">
        <v>3764.610107421875</v>
      </c>
      <c r="D14">
        <v>3870.89990234375</v>
      </c>
      <c r="E14">
        <v>3662.7099609375</v>
      </c>
      <c r="F14">
        <v>3714.239990234375</v>
      </c>
      <c r="G14">
        <v>106117800000</v>
      </c>
      <c r="H14">
        <v>3714.239990234375</v>
      </c>
      <c r="I14" t="s">
        <v>632</v>
      </c>
      <c r="J14" s="22">
        <v>45496</v>
      </c>
      <c r="K14">
        <v>-1.113666075544517E-2</v>
      </c>
      <c r="L14">
        <v>-50.3701171875</v>
      </c>
      <c r="M14">
        <v>106.289794921875</v>
      </c>
      <c r="N14" t="s">
        <v>585</v>
      </c>
      <c r="O14">
        <v>2021</v>
      </c>
    </row>
    <row r="15" spans="1:15" x14ac:dyDescent="0.35">
      <c r="A15" t="s">
        <v>581</v>
      </c>
      <c r="B15" s="22">
        <v>44228</v>
      </c>
      <c r="C15">
        <v>3731.169921875</v>
      </c>
      <c r="D15">
        <v>3950.429931640625</v>
      </c>
      <c r="E15">
        <v>3725.6201171875</v>
      </c>
      <c r="F15">
        <v>3811.14990234375</v>
      </c>
      <c r="G15">
        <v>99082320000</v>
      </c>
      <c r="H15">
        <v>3811.14990234375</v>
      </c>
      <c r="I15" t="s">
        <v>632</v>
      </c>
      <c r="J15" s="22">
        <v>45496</v>
      </c>
      <c r="K15">
        <v>2.609145137744839E-2</v>
      </c>
      <c r="L15">
        <v>79.97998046875</v>
      </c>
      <c r="M15">
        <v>219.260009765625</v>
      </c>
      <c r="N15" t="s">
        <v>586</v>
      </c>
      <c r="O15">
        <v>2021</v>
      </c>
    </row>
    <row r="16" spans="1:15" x14ac:dyDescent="0.35">
      <c r="A16" t="s">
        <v>581</v>
      </c>
      <c r="B16" s="22">
        <v>44256</v>
      </c>
      <c r="C16">
        <v>3842.510009765625</v>
      </c>
      <c r="D16">
        <v>3994.409912109375</v>
      </c>
      <c r="E16">
        <v>3723.340087890625</v>
      </c>
      <c r="F16">
        <v>3972.889892578125</v>
      </c>
      <c r="G16">
        <v>122371150000</v>
      </c>
      <c r="H16">
        <v>3972.889892578125</v>
      </c>
      <c r="I16" t="s">
        <v>632</v>
      </c>
      <c r="J16" s="22">
        <v>45496</v>
      </c>
      <c r="K16">
        <v>4.2438632533165148E-2</v>
      </c>
      <c r="L16">
        <v>130.3798828125</v>
      </c>
      <c r="M16">
        <v>151.89990234375</v>
      </c>
      <c r="N16" t="s">
        <v>586</v>
      </c>
      <c r="O16">
        <v>2021</v>
      </c>
    </row>
    <row r="17" spans="1:15" x14ac:dyDescent="0.35">
      <c r="A17" t="s">
        <v>581</v>
      </c>
      <c r="B17" s="22">
        <v>44287</v>
      </c>
      <c r="C17">
        <v>3992.780029296875</v>
      </c>
      <c r="D17">
        <v>4218.77978515625</v>
      </c>
      <c r="E17">
        <v>3992.780029296875</v>
      </c>
      <c r="F17">
        <v>4181.169921875</v>
      </c>
      <c r="G17">
        <v>83124090000</v>
      </c>
      <c r="H17">
        <v>4181.169921875</v>
      </c>
      <c r="I17" t="s">
        <v>632</v>
      </c>
      <c r="J17" s="22">
        <v>45496</v>
      </c>
      <c r="K17">
        <v>5.2425321347558507E-2</v>
      </c>
      <c r="L17">
        <v>188.389892578125</v>
      </c>
      <c r="M17">
        <v>225.999755859375</v>
      </c>
      <c r="N17" t="s">
        <v>588</v>
      </c>
      <c r="O17">
        <v>2021</v>
      </c>
    </row>
    <row r="18" spans="1:15" x14ac:dyDescent="0.35">
      <c r="A18" t="s">
        <v>581</v>
      </c>
      <c r="B18" s="22">
        <v>44317</v>
      </c>
      <c r="C18">
        <v>4191.97998046875</v>
      </c>
      <c r="D18">
        <v>4238.0400390625</v>
      </c>
      <c r="E18">
        <v>4056.8798828125</v>
      </c>
      <c r="F18">
        <v>4204.10986328125</v>
      </c>
      <c r="G18">
        <v>88321860000</v>
      </c>
      <c r="H18">
        <v>4204.10986328125</v>
      </c>
      <c r="I18" t="s">
        <v>632</v>
      </c>
      <c r="J18" s="22">
        <v>45496</v>
      </c>
      <c r="K18">
        <v>5.4864886706069704E-3</v>
      </c>
      <c r="L18">
        <v>12.1298828125</v>
      </c>
      <c r="M18">
        <v>46.06005859375</v>
      </c>
      <c r="N18" t="s">
        <v>583</v>
      </c>
      <c r="O18">
        <v>2021</v>
      </c>
    </row>
    <row r="19" spans="1:15" x14ac:dyDescent="0.35">
      <c r="A19" t="s">
        <v>581</v>
      </c>
      <c r="B19" s="22">
        <v>44348</v>
      </c>
      <c r="C19">
        <v>4216.52001953125</v>
      </c>
      <c r="D19">
        <v>4302.43017578125</v>
      </c>
      <c r="E19">
        <v>4164.39990234375</v>
      </c>
      <c r="F19">
        <v>4297.5</v>
      </c>
      <c r="G19">
        <v>102544180000</v>
      </c>
      <c r="H19">
        <v>4297.5</v>
      </c>
      <c r="I19" t="s">
        <v>632</v>
      </c>
      <c r="J19" s="22">
        <v>45496</v>
      </c>
      <c r="K19">
        <v>2.221400956583475E-2</v>
      </c>
      <c r="L19">
        <v>80.97998046875</v>
      </c>
      <c r="M19">
        <v>85.91015625</v>
      </c>
      <c r="N19" t="s">
        <v>587</v>
      </c>
      <c r="O19">
        <v>2021</v>
      </c>
    </row>
    <row r="20" spans="1:15" x14ac:dyDescent="0.35">
      <c r="A20" t="s">
        <v>581</v>
      </c>
      <c r="B20" s="22">
        <v>44378</v>
      </c>
      <c r="C20">
        <v>4300.72998046875</v>
      </c>
      <c r="D20">
        <v>4429.97021484375</v>
      </c>
      <c r="E20">
        <v>4233.1298828125</v>
      </c>
      <c r="F20">
        <v>4395.259765625</v>
      </c>
      <c r="G20">
        <v>84255620000</v>
      </c>
      <c r="H20">
        <v>4395.259765625</v>
      </c>
      <c r="I20" t="s">
        <v>632</v>
      </c>
      <c r="J20" s="22">
        <v>45496</v>
      </c>
      <c r="K20">
        <v>2.2748054828388709E-2</v>
      </c>
      <c r="L20">
        <v>94.52978515625</v>
      </c>
      <c r="M20">
        <v>129.240234375</v>
      </c>
      <c r="N20" t="s">
        <v>588</v>
      </c>
      <c r="O20">
        <v>2021</v>
      </c>
    </row>
    <row r="21" spans="1:15" x14ac:dyDescent="0.35">
      <c r="A21" t="s">
        <v>581</v>
      </c>
      <c r="B21" s="22">
        <v>44409</v>
      </c>
      <c r="C21">
        <v>4406.85986328125</v>
      </c>
      <c r="D21">
        <v>4537.35986328125</v>
      </c>
      <c r="E21">
        <v>4367.72998046875</v>
      </c>
      <c r="F21">
        <v>4522.68017578125</v>
      </c>
      <c r="G21">
        <v>80500760000</v>
      </c>
      <c r="H21">
        <v>4522.68017578125</v>
      </c>
      <c r="I21" t="s">
        <v>632</v>
      </c>
      <c r="J21" s="22">
        <v>45496</v>
      </c>
      <c r="K21">
        <v>2.899041625543863E-2</v>
      </c>
      <c r="L21">
        <v>115.8203125</v>
      </c>
      <c r="M21">
        <v>130.5</v>
      </c>
      <c r="N21" t="s">
        <v>584</v>
      </c>
      <c r="O21">
        <v>2021</v>
      </c>
    </row>
    <row r="22" spans="1:15" x14ac:dyDescent="0.35">
      <c r="A22" t="s">
        <v>581</v>
      </c>
      <c r="B22" s="22">
        <v>44440</v>
      </c>
      <c r="C22">
        <v>4528.7998046875</v>
      </c>
      <c r="D22">
        <v>4545.85009765625</v>
      </c>
      <c r="E22">
        <v>4305.91015625</v>
      </c>
      <c r="F22">
        <v>4307.5400390625</v>
      </c>
      <c r="G22">
        <v>85528860000</v>
      </c>
      <c r="H22">
        <v>4307.5400390625</v>
      </c>
      <c r="I22" t="s">
        <v>632</v>
      </c>
      <c r="J22" s="22">
        <v>45496</v>
      </c>
      <c r="K22">
        <v>-4.7569168801901103E-2</v>
      </c>
      <c r="L22">
        <v>-221.259765625</v>
      </c>
      <c r="M22">
        <v>17.05029296875</v>
      </c>
      <c r="N22" t="s">
        <v>582</v>
      </c>
      <c r="O22">
        <v>2021</v>
      </c>
    </row>
    <row r="23" spans="1:15" x14ac:dyDescent="0.35">
      <c r="A23" t="s">
        <v>581</v>
      </c>
      <c r="B23" s="22">
        <v>44470</v>
      </c>
      <c r="C23">
        <v>4317.16015625</v>
      </c>
      <c r="D23">
        <v>4608.080078125</v>
      </c>
      <c r="E23">
        <v>4278.93994140625</v>
      </c>
      <c r="F23">
        <v>4605.3798828125</v>
      </c>
      <c r="G23">
        <v>80253600000</v>
      </c>
      <c r="H23">
        <v>4605.3798828125</v>
      </c>
      <c r="I23" t="s">
        <v>632</v>
      </c>
      <c r="J23" s="22">
        <v>45496</v>
      </c>
      <c r="K23">
        <v>6.9143836400606506E-2</v>
      </c>
      <c r="L23">
        <v>288.2197265625</v>
      </c>
      <c r="M23">
        <v>290.919921875</v>
      </c>
      <c r="N23" t="s">
        <v>585</v>
      </c>
      <c r="O23">
        <v>2021</v>
      </c>
    </row>
    <row r="24" spans="1:15" x14ac:dyDescent="0.35">
      <c r="A24" t="s">
        <v>581</v>
      </c>
      <c r="B24" s="22">
        <v>44501</v>
      </c>
      <c r="C24">
        <v>4610.6201171875</v>
      </c>
      <c r="D24">
        <v>4743.830078125</v>
      </c>
      <c r="E24">
        <v>4560</v>
      </c>
      <c r="F24">
        <v>4567</v>
      </c>
      <c r="G24">
        <v>88268840000</v>
      </c>
      <c r="H24">
        <v>4567</v>
      </c>
      <c r="I24" t="s">
        <v>632</v>
      </c>
      <c r="J24" s="22">
        <v>45496</v>
      </c>
      <c r="K24">
        <v>-8.3337061847461591E-3</v>
      </c>
      <c r="L24">
        <v>-43.6201171875</v>
      </c>
      <c r="M24">
        <v>133.2099609375</v>
      </c>
      <c r="N24" t="s">
        <v>586</v>
      </c>
      <c r="O24">
        <v>2021</v>
      </c>
    </row>
    <row r="25" spans="1:15" x14ac:dyDescent="0.35">
      <c r="A25" t="s">
        <v>581</v>
      </c>
      <c r="B25" s="22">
        <v>44531</v>
      </c>
      <c r="C25">
        <v>4602.81982421875</v>
      </c>
      <c r="D25">
        <v>4808.93017578125</v>
      </c>
      <c r="E25">
        <v>4495.1201171875</v>
      </c>
      <c r="F25">
        <v>4766.18017578125</v>
      </c>
      <c r="G25">
        <v>92750180000</v>
      </c>
      <c r="H25">
        <v>4766.18017578125</v>
      </c>
      <c r="I25" t="s">
        <v>632</v>
      </c>
      <c r="J25" s="22">
        <v>45496</v>
      </c>
      <c r="K25">
        <v>4.3612913462064862E-2</v>
      </c>
      <c r="L25">
        <v>163.3603515625</v>
      </c>
      <c r="M25">
        <v>206.1103515625</v>
      </c>
      <c r="N25" t="s">
        <v>582</v>
      </c>
      <c r="O25">
        <v>2021</v>
      </c>
    </row>
    <row r="26" spans="1:15" x14ac:dyDescent="0.35">
      <c r="A26" t="s">
        <v>581</v>
      </c>
      <c r="B26" s="22">
        <v>44562</v>
      </c>
      <c r="C26">
        <v>4778.14013671875</v>
      </c>
      <c r="D26">
        <v>4818.6201171875</v>
      </c>
      <c r="E26">
        <v>4222.6201171875</v>
      </c>
      <c r="F26">
        <v>4515.5498046875</v>
      </c>
      <c r="G26">
        <v>95562890000</v>
      </c>
      <c r="H26">
        <v>4515.5498046875</v>
      </c>
      <c r="I26" t="s">
        <v>632</v>
      </c>
      <c r="J26" s="22">
        <v>45496</v>
      </c>
      <c r="K26">
        <v>-5.2585165027393847E-2</v>
      </c>
      <c r="L26">
        <v>-262.59033203125</v>
      </c>
      <c r="M26">
        <v>40.47998046875</v>
      </c>
      <c r="N26" t="s">
        <v>583</v>
      </c>
      <c r="O26">
        <v>2022</v>
      </c>
    </row>
    <row r="27" spans="1:15" x14ac:dyDescent="0.35">
      <c r="A27" t="s">
        <v>581</v>
      </c>
      <c r="B27" s="22">
        <v>44593</v>
      </c>
      <c r="C27">
        <v>4519.56982421875</v>
      </c>
      <c r="D27">
        <v>4595.31005859375</v>
      </c>
      <c r="E27">
        <v>4114.64990234375</v>
      </c>
      <c r="F27">
        <v>4373.93994140625</v>
      </c>
      <c r="G27">
        <v>92667710000</v>
      </c>
      <c r="H27">
        <v>4373.93994140625</v>
      </c>
      <c r="I27" t="s">
        <v>632</v>
      </c>
      <c r="J27" s="22">
        <v>45496</v>
      </c>
      <c r="K27">
        <v>-3.1360491945908293E-2</v>
      </c>
      <c r="L27">
        <v>-145.6298828125</v>
      </c>
      <c r="M27">
        <v>75.740234375</v>
      </c>
      <c r="N27" t="s">
        <v>587</v>
      </c>
      <c r="O27">
        <v>2022</v>
      </c>
    </row>
    <row r="28" spans="1:15" x14ac:dyDescent="0.35">
      <c r="A28" t="s">
        <v>581</v>
      </c>
      <c r="B28" s="22">
        <v>44621</v>
      </c>
      <c r="C28">
        <v>4363.14013671875</v>
      </c>
      <c r="D28">
        <v>4637.2998046875</v>
      </c>
      <c r="E28">
        <v>4157.8701171875</v>
      </c>
      <c r="F28">
        <v>4530.41015625</v>
      </c>
      <c r="G28">
        <v>123546260000</v>
      </c>
      <c r="H28">
        <v>4530.41015625</v>
      </c>
      <c r="I28" t="s">
        <v>632</v>
      </c>
      <c r="J28" s="22">
        <v>45496</v>
      </c>
      <c r="K28">
        <v>3.5773288371546252E-2</v>
      </c>
      <c r="L28">
        <v>167.27001953125</v>
      </c>
      <c r="M28">
        <v>274.15966796875</v>
      </c>
      <c r="N28" t="s">
        <v>587</v>
      </c>
      <c r="O28">
        <v>2022</v>
      </c>
    </row>
    <row r="29" spans="1:15" x14ac:dyDescent="0.35">
      <c r="A29" t="s">
        <v>581</v>
      </c>
      <c r="B29" s="22">
        <v>44652</v>
      </c>
      <c r="C29">
        <v>4540.31982421875</v>
      </c>
      <c r="D29">
        <v>4593.4501953125</v>
      </c>
      <c r="E29">
        <v>4124.27978515625</v>
      </c>
      <c r="F29">
        <v>4131.93017578125</v>
      </c>
      <c r="G29">
        <v>90367840000</v>
      </c>
      <c r="H29">
        <v>4131.93017578125</v>
      </c>
      <c r="I29" t="s">
        <v>632</v>
      </c>
      <c r="J29" s="22">
        <v>45496</v>
      </c>
      <c r="K29">
        <v>-8.7956711804343057E-2</v>
      </c>
      <c r="L29">
        <v>-408.3896484375</v>
      </c>
      <c r="M29">
        <v>53.13037109375</v>
      </c>
      <c r="N29" t="s">
        <v>585</v>
      </c>
      <c r="O29">
        <v>2022</v>
      </c>
    </row>
    <row r="30" spans="1:15" x14ac:dyDescent="0.35">
      <c r="A30" t="s">
        <v>581</v>
      </c>
      <c r="B30" s="22">
        <v>44682</v>
      </c>
      <c r="C30">
        <v>4130.60986328125</v>
      </c>
      <c r="D30">
        <v>4307.66015625</v>
      </c>
      <c r="E30">
        <v>3810.320068359375</v>
      </c>
      <c r="F30">
        <v>4132.14990234375</v>
      </c>
      <c r="G30">
        <v>108860390000</v>
      </c>
      <c r="H30">
        <v>4132.14990234375</v>
      </c>
      <c r="I30" t="s">
        <v>632</v>
      </c>
      <c r="J30" s="22">
        <v>45496</v>
      </c>
      <c r="K30">
        <v>5.3177704644635782E-5</v>
      </c>
      <c r="L30">
        <v>1.5400390625</v>
      </c>
      <c r="M30">
        <v>177.05029296875</v>
      </c>
      <c r="N30" t="s">
        <v>584</v>
      </c>
      <c r="O30">
        <v>2022</v>
      </c>
    </row>
    <row r="31" spans="1:15" x14ac:dyDescent="0.35">
      <c r="A31" t="s">
        <v>581</v>
      </c>
      <c r="B31" s="22">
        <v>44713</v>
      </c>
      <c r="C31">
        <v>4149.77978515625</v>
      </c>
      <c r="D31">
        <v>4177.509765625</v>
      </c>
      <c r="E31">
        <v>3636.8701171875</v>
      </c>
      <c r="F31">
        <v>3785.3798828125</v>
      </c>
      <c r="G31">
        <v>106116710000</v>
      </c>
      <c r="H31">
        <v>3785.3798828125</v>
      </c>
      <c r="I31" t="s">
        <v>632</v>
      </c>
      <c r="J31" s="22">
        <v>45496</v>
      </c>
      <c r="K31">
        <v>-8.3919999933826817E-2</v>
      </c>
      <c r="L31">
        <v>-364.39990234375</v>
      </c>
      <c r="M31">
        <v>27.72998046875</v>
      </c>
      <c r="N31" t="s">
        <v>582</v>
      </c>
      <c r="O31">
        <v>2022</v>
      </c>
    </row>
    <row r="32" spans="1:15" x14ac:dyDescent="0.35">
      <c r="A32" t="s">
        <v>581</v>
      </c>
      <c r="B32" s="22">
        <v>44743</v>
      </c>
      <c r="C32">
        <v>3781</v>
      </c>
      <c r="D32">
        <v>4140.14990234375</v>
      </c>
      <c r="E32">
        <v>3721.56005859375</v>
      </c>
      <c r="F32">
        <v>4130.2900390625</v>
      </c>
      <c r="G32">
        <v>81688320000</v>
      </c>
      <c r="H32">
        <v>4130.2900390625</v>
      </c>
      <c r="I32" t="s">
        <v>632</v>
      </c>
      <c r="J32" s="22">
        <v>45496</v>
      </c>
      <c r="K32">
        <v>9.1116391730210022E-2</v>
      </c>
      <c r="L32">
        <v>349.2900390625</v>
      </c>
      <c r="M32">
        <v>359.14990234375</v>
      </c>
      <c r="N32" t="s">
        <v>585</v>
      </c>
      <c r="O32">
        <v>2022</v>
      </c>
    </row>
    <row r="33" spans="1:15" x14ac:dyDescent="0.35">
      <c r="A33" t="s">
        <v>581</v>
      </c>
      <c r="B33" s="22">
        <v>44774</v>
      </c>
      <c r="C33">
        <v>4112.3798828125</v>
      </c>
      <c r="D33">
        <v>4325.27978515625</v>
      </c>
      <c r="E33">
        <v>3954.530029296875</v>
      </c>
      <c r="F33">
        <v>3955</v>
      </c>
      <c r="G33">
        <v>92252350000</v>
      </c>
      <c r="H33">
        <v>3955</v>
      </c>
      <c r="I33" t="s">
        <v>632</v>
      </c>
      <c r="J33" s="22">
        <v>45496</v>
      </c>
      <c r="K33">
        <v>-4.2440128272998368E-2</v>
      </c>
      <c r="L33">
        <v>-157.3798828125</v>
      </c>
      <c r="M33">
        <v>212.89990234375</v>
      </c>
      <c r="N33" t="s">
        <v>586</v>
      </c>
      <c r="O33">
        <v>2022</v>
      </c>
    </row>
    <row r="34" spans="1:15" x14ac:dyDescent="0.35">
      <c r="A34" t="s">
        <v>581</v>
      </c>
      <c r="B34" s="22">
        <v>44805</v>
      </c>
      <c r="C34">
        <v>3936.72998046875</v>
      </c>
      <c r="D34">
        <v>4119.27978515625</v>
      </c>
      <c r="E34">
        <v>3584.1298828125</v>
      </c>
      <c r="F34">
        <v>3585.6201171875</v>
      </c>
      <c r="G34">
        <v>94241020000</v>
      </c>
      <c r="H34">
        <v>3585.6201171875</v>
      </c>
      <c r="I34" t="s">
        <v>632</v>
      </c>
      <c r="J34" s="22">
        <v>45496</v>
      </c>
      <c r="K34">
        <v>-9.3395672013274367E-2</v>
      </c>
      <c r="L34">
        <v>-351.10986328125</v>
      </c>
      <c r="M34">
        <v>182.5498046875</v>
      </c>
      <c r="N34" t="s">
        <v>588</v>
      </c>
      <c r="O34">
        <v>2022</v>
      </c>
    </row>
    <row r="35" spans="1:15" x14ac:dyDescent="0.35">
      <c r="A35" t="s">
        <v>581</v>
      </c>
      <c r="B35" s="22">
        <v>44835</v>
      </c>
      <c r="C35">
        <v>3609.780029296875</v>
      </c>
      <c r="D35">
        <v>3905.419921875</v>
      </c>
      <c r="E35">
        <v>3491.580078125</v>
      </c>
      <c r="F35">
        <v>3871.97998046875</v>
      </c>
      <c r="G35">
        <v>95823760000</v>
      </c>
      <c r="H35">
        <v>3871.97998046875</v>
      </c>
      <c r="I35" t="s">
        <v>632</v>
      </c>
      <c r="J35" s="22">
        <v>45496</v>
      </c>
      <c r="K35">
        <v>7.9863413837008901E-2</v>
      </c>
      <c r="L35">
        <v>262.199951171875</v>
      </c>
      <c r="M35">
        <v>295.639892578125</v>
      </c>
      <c r="N35" t="s">
        <v>583</v>
      </c>
      <c r="O35">
        <v>2022</v>
      </c>
    </row>
    <row r="36" spans="1:15" x14ac:dyDescent="0.35">
      <c r="A36" t="s">
        <v>581</v>
      </c>
      <c r="B36" s="22">
        <v>44866</v>
      </c>
      <c r="C36">
        <v>3901.7900390625</v>
      </c>
      <c r="D36">
        <v>4080.110107421875</v>
      </c>
      <c r="E36">
        <v>3698.14990234375</v>
      </c>
      <c r="F36">
        <v>4080.110107421875</v>
      </c>
      <c r="G36">
        <v>92671910000</v>
      </c>
      <c r="H36">
        <v>4080.110107421875</v>
      </c>
      <c r="I36" t="s">
        <v>632</v>
      </c>
      <c r="J36" s="22">
        <v>45496</v>
      </c>
      <c r="K36">
        <v>5.3752893352493107E-2</v>
      </c>
      <c r="L36">
        <v>178.320068359375</v>
      </c>
      <c r="M36">
        <v>178.320068359375</v>
      </c>
      <c r="N36" t="s">
        <v>587</v>
      </c>
      <c r="O36">
        <v>2022</v>
      </c>
    </row>
    <row r="37" spans="1:15" x14ac:dyDescent="0.35">
      <c r="A37" t="s">
        <v>581</v>
      </c>
      <c r="B37" s="22">
        <v>44896</v>
      </c>
      <c r="C37">
        <v>4087.139892578125</v>
      </c>
      <c r="D37">
        <v>4100.9599609375</v>
      </c>
      <c r="E37">
        <v>3764.489990234375</v>
      </c>
      <c r="F37">
        <v>3839.5</v>
      </c>
      <c r="G37">
        <v>85249330000</v>
      </c>
      <c r="H37">
        <v>3839.5</v>
      </c>
      <c r="I37" t="s">
        <v>632</v>
      </c>
      <c r="J37" s="22">
        <v>45496</v>
      </c>
      <c r="K37">
        <v>-5.8971474074730468E-2</v>
      </c>
      <c r="L37">
        <v>-247.639892578125</v>
      </c>
      <c r="M37">
        <v>13.820068359375</v>
      </c>
      <c r="N37" t="s">
        <v>588</v>
      </c>
      <c r="O37">
        <v>2022</v>
      </c>
    </row>
    <row r="38" spans="1:15" x14ac:dyDescent="0.35">
      <c r="A38" t="s">
        <v>581</v>
      </c>
      <c r="B38" s="22">
        <v>44927</v>
      </c>
      <c r="C38">
        <v>3853.2900390625</v>
      </c>
      <c r="D38">
        <v>4094.2099609375</v>
      </c>
      <c r="E38">
        <v>3794.330078125</v>
      </c>
      <c r="F38">
        <v>4076.60009765625</v>
      </c>
      <c r="G38">
        <v>80763810000</v>
      </c>
      <c r="H38">
        <v>4076.60009765625</v>
      </c>
      <c r="I38" t="s">
        <v>632</v>
      </c>
      <c r="J38" s="22">
        <v>45496</v>
      </c>
      <c r="K38">
        <v>6.1752857834679098E-2</v>
      </c>
      <c r="L38">
        <v>223.31005859375</v>
      </c>
      <c r="M38">
        <v>240.919921875</v>
      </c>
      <c r="N38" t="s">
        <v>584</v>
      </c>
      <c r="O38">
        <v>2023</v>
      </c>
    </row>
    <row r="39" spans="1:15" x14ac:dyDescent="0.35">
      <c r="A39" t="s">
        <v>581</v>
      </c>
      <c r="B39" s="22">
        <v>44958</v>
      </c>
      <c r="C39">
        <v>4070.070068359375</v>
      </c>
      <c r="D39">
        <v>4195.43994140625</v>
      </c>
      <c r="E39">
        <v>3943.080078125</v>
      </c>
      <c r="F39">
        <v>3970.14990234375</v>
      </c>
      <c r="G39">
        <v>80392280000</v>
      </c>
      <c r="H39">
        <v>3970.14990234375</v>
      </c>
      <c r="I39" t="s">
        <v>632</v>
      </c>
      <c r="J39" s="22">
        <v>45496</v>
      </c>
      <c r="K39">
        <v>-2.6112493931818581E-2</v>
      </c>
      <c r="L39">
        <v>-99.920166015625</v>
      </c>
      <c r="M39">
        <v>125.369873046875</v>
      </c>
      <c r="N39" t="s">
        <v>582</v>
      </c>
      <c r="O39">
        <v>2023</v>
      </c>
    </row>
    <row r="40" spans="1:15" x14ac:dyDescent="0.35">
      <c r="A40" t="s">
        <v>581</v>
      </c>
      <c r="B40" s="22">
        <v>44986</v>
      </c>
      <c r="C40">
        <v>3963.340087890625</v>
      </c>
      <c r="D40">
        <v>4110.75</v>
      </c>
      <c r="E40">
        <v>3808.860107421875</v>
      </c>
      <c r="F40">
        <v>4109.31005859375</v>
      </c>
      <c r="G40">
        <v>113094800000</v>
      </c>
      <c r="H40">
        <v>4109.31005859375</v>
      </c>
      <c r="I40" t="s">
        <v>632</v>
      </c>
      <c r="J40" s="22">
        <v>45496</v>
      </c>
      <c r="K40">
        <v>3.5051612577108981E-2</v>
      </c>
      <c r="L40">
        <v>145.969970703125</v>
      </c>
      <c r="M40">
        <v>147.409912109375</v>
      </c>
      <c r="N40" t="s">
        <v>582</v>
      </c>
      <c r="O40">
        <v>2023</v>
      </c>
    </row>
    <row r="41" spans="1:15" x14ac:dyDescent="0.35">
      <c r="A41" t="s">
        <v>581</v>
      </c>
      <c r="B41" s="22">
        <v>45017</v>
      </c>
      <c r="C41">
        <v>4102.2001953125</v>
      </c>
      <c r="D41">
        <v>4170.06005859375</v>
      </c>
      <c r="E41">
        <v>4049.35009765625</v>
      </c>
      <c r="F41">
        <v>4169.47998046875</v>
      </c>
      <c r="G41">
        <v>70861260000</v>
      </c>
      <c r="H41">
        <v>4169.47998046875</v>
      </c>
      <c r="I41" t="s">
        <v>632</v>
      </c>
      <c r="J41" s="22">
        <v>45496</v>
      </c>
      <c r="K41">
        <v>1.4642341662481019E-2</v>
      </c>
      <c r="L41">
        <v>67.27978515625</v>
      </c>
      <c r="M41">
        <v>67.85986328125</v>
      </c>
      <c r="N41" t="s">
        <v>583</v>
      </c>
      <c r="O41">
        <v>2023</v>
      </c>
    </row>
    <row r="42" spans="1:15" x14ac:dyDescent="0.35">
      <c r="A42" t="s">
        <v>581</v>
      </c>
      <c r="B42" s="22">
        <v>45047</v>
      </c>
      <c r="C42">
        <v>4166.7900390625</v>
      </c>
      <c r="D42">
        <v>4231.10009765625</v>
      </c>
      <c r="E42">
        <v>4048.280029296875</v>
      </c>
      <c r="F42">
        <v>4179.830078125</v>
      </c>
      <c r="G42">
        <v>88929200000</v>
      </c>
      <c r="H42">
        <v>4179.830078125</v>
      </c>
      <c r="I42" t="s">
        <v>632</v>
      </c>
      <c r="J42" s="22">
        <v>45496</v>
      </c>
      <c r="K42">
        <v>2.482347368192972E-3</v>
      </c>
      <c r="L42">
        <v>13.0400390625</v>
      </c>
      <c r="M42">
        <v>64.31005859375</v>
      </c>
      <c r="N42" t="s">
        <v>586</v>
      </c>
      <c r="O42">
        <v>2023</v>
      </c>
    </row>
    <row r="43" spans="1:15" x14ac:dyDescent="0.35">
      <c r="A43" t="s">
        <v>581</v>
      </c>
      <c r="B43" s="22">
        <v>45078</v>
      </c>
      <c r="C43">
        <v>4183.02978515625</v>
      </c>
      <c r="D43">
        <v>4458.47998046875</v>
      </c>
      <c r="E43">
        <v>4171.64013671875</v>
      </c>
      <c r="F43">
        <v>4450.3798828125</v>
      </c>
      <c r="G43">
        <v>87983140000</v>
      </c>
      <c r="H43">
        <v>4450.3798828125</v>
      </c>
      <c r="I43" t="s">
        <v>632</v>
      </c>
      <c r="J43" s="22">
        <v>45496</v>
      </c>
      <c r="K43">
        <v>6.4727464904234644E-2</v>
      </c>
      <c r="L43">
        <v>267.35009765625</v>
      </c>
      <c r="M43">
        <v>275.4501953125</v>
      </c>
      <c r="N43" t="s">
        <v>588</v>
      </c>
      <c r="O43">
        <v>2023</v>
      </c>
    </row>
    <row r="44" spans="1:15" x14ac:dyDescent="0.35">
      <c r="A44" t="s">
        <v>581</v>
      </c>
      <c r="B44" s="22">
        <v>45108</v>
      </c>
      <c r="C44">
        <v>4450.47998046875</v>
      </c>
      <c r="D44">
        <v>4607.06982421875</v>
      </c>
      <c r="E44">
        <v>4385.0498046875</v>
      </c>
      <c r="F44">
        <v>4588.9599609375</v>
      </c>
      <c r="G44">
        <v>75063200000</v>
      </c>
      <c r="H44">
        <v>4588.9599609375</v>
      </c>
      <c r="I44" t="s">
        <v>632</v>
      </c>
      <c r="J44" s="22">
        <v>45496</v>
      </c>
      <c r="K44">
        <v>3.1138932355010859E-2</v>
      </c>
      <c r="L44">
        <v>138.47998046875</v>
      </c>
      <c r="M44">
        <v>156.58984375</v>
      </c>
      <c r="N44" t="s">
        <v>583</v>
      </c>
      <c r="O44">
        <v>2023</v>
      </c>
    </row>
    <row r="45" spans="1:15" x14ac:dyDescent="0.35">
      <c r="A45" t="s">
        <v>581</v>
      </c>
      <c r="B45" s="22">
        <v>45139</v>
      </c>
      <c r="C45">
        <v>4578.830078125</v>
      </c>
      <c r="D45">
        <v>4584.6201171875</v>
      </c>
      <c r="E45">
        <v>4335.31005859375</v>
      </c>
      <c r="F45">
        <v>4507.66015625</v>
      </c>
      <c r="G45">
        <v>86840820000</v>
      </c>
      <c r="H45">
        <v>4507.66015625</v>
      </c>
      <c r="I45" t="s">
        <v>632</v>
      </c>
      <c r="J45" s="22">
        <v>45496</v>
      </c>
      <c r="K45">
        <v>-1.7716390070854019E-2</v>
      </c>
      <c r="L45">
        <v>-71.169921875</v>
      </c>
      <c r="M45">
        <v>5.7900390625</v>
      </c>
      <c r="N45" t="s">
        <v>587</v>
      </c>
      <c r="O45">
        <v>2023</v>
      </c>
    </row>
    <row r="46" spans="1:15" x14ac:dyDescent="0.35">
      <c r="A46" t="s">
        <v>581</v>
      </c>
      <c r="B46" s="22">
        <v>45170</v>
      </c>
      <c r="C46">
        <v>4530.60009765625</v>
      </c>
      <c r="D46">
        <v>4541.25</v>
      </c>
      <c r="E46">
        <v>4238.6298828125</v>
      </c>
      <c r="F46">
        <v>4288.0498046875</v>
      </c>
      <c r="G46">
        <v>73482980000</v>
      </c>
      <c r="H46">
        <v>4288.0498046875</v>
      </c>
      <c r="I46" t="s">
        <v>632</v>
      </c>
      <c r="J46" s="22">
        <v>45496</v>
      </c>
      <c r="K46">
        <v>-4.8719367465624892E-2</v>
      </c>
      <c r="L46">
        <v>-242.55029296875</v>
      </c>
      <c r="M46">
        <v>10.64990234375</v>
      </c>
      <c r="N46" t="s">
        <v>585</v>
      </c>
      <c r="O46">
        <v>2023</v>
      </c>
    </row>
    <row r="47" spans="1:15" x14ac:dyDescent="0.35">
      <c r="A47" t="s">
        <v>581</v>
      </c>
      <c r="B47" s="22">
        <v>45200</v>
      </c>
      <c r="C47">
        <v>4284.52001953125</v>
      </c>
      <c r="D47">
        <v>4393.56982421875</v>
      </c>
      <c r="E47">
        <v>4103.77978515625</v>
      </c>
      <c r="F47">
        <v>4193.7998046875</v>
      </c>
      <c r="G47">
        <v>83519460000</v>
      </c>
      <c r="H47">
        <v>4193.7998046875</v>
      </c>
      <c r="I47" t="s">
        <v>632</v>
      </c>
      <c r="J47" s="22">
        <v>45496</v>
      </c>
      <c r="K47">
        <v>-2.197968873798295E-2</v>
      </c>
      <c r="L47">
        <v>-90.72021484375</v>
      </c>
      <c r="M47">
        <v>109.0498046875</v>
      </c>
      <c r="N47" t="s">
        <v>584</v>
      </c>
      <c r="O47">
        <v>2023</v>
      </c>
    </row>
    <row r="48" spans="1:15" x14ac:dyDescent="0.35">
      <c r="A48" t="s">
        <v>581</v>
      </c>
      <c r="B48" s="22">
        <v>45231</v>
      </c>
      <c r="C48">
        <v>4201.27001953125</v>
      </c>
      <c r="D48">
        <v>4587.64013671875</v>
      </c>
      <c r="E48">
        <v>4197.740234375</v>
      </c>
      <c r="F48">
        <v>4567.7998046875</v>
      </c>
      <c r="G48">
        <v>80970570000</v>
      </c>
      <c r="H48">
        <v>4567.7998046875</v>
      </c>
      <c r="I48" t="s">
        <v>632</v>
      </c>
      <c r="J48" s="22">
        <v>45496</v>
      </c>
      <c r="K48">
        <v>8.9179268781970134E-2</v>
      </c>
      <c r="L48">
        <v>366.52978515625</v>
      </c>
      <c r="M48">
        <v>386.3701171875</v>
      </c>
      <c r="N48" t="s">
        <v>582</v>
      </c>
      <c r="O48">
        <v>2023</v>
      </c>
    </row>
    <row r="49" spans="1:15" x14ac:dyDescent="0.35">
      <c r="A49" t="s">
        <v>581</v>
      </c>
      <c r="B49" s="22">
        <v>45261</v>
      </c>
      <c r="C49">
        <v>4559.43017578125</v>
      </c>
      <c r="D49">
        <v>4793.2998046875</v>
      </c>
      <c r="E49">
        <v>4546.5</v>
      </c>
      <c r="F49">
        <v>4769.830078125</v>
      </c>
      <c r="G49">
        <v>81530670000</v>
      </c>
      <c r="H49">
        <v>4769.830078125</v>
      </c>
      <c r="I49" t="s">
        <v>632</v>
      </c>
      <c r="J49" s="22">
        <v>45496</v>
      </c>
      <c r="K49">
        <v>4.4229231156360127E-2</v>
      </c>
      <c r="L49">
        <v>210.39990234375</v>
      </c>
      <c r="M49">
        <v>233.86962890625</v>
      </c>
      <c r="N49" t="s">
        <v>585</v>
      </c>
      <c r="O49">
        <v>2023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DCDD-593D-4189-9504-FBE5B91B5152}">
  <sheetPr>
    <tabColor theme="1"/>
  </sheetPr>
  <dimension ref="A1:C7"/>
  <sheetViews>
    <sheetView showGridLines="0" workbookViewId="0">
      <selection activeCell="B6" sqref="B6"/>
    </sheetView>
  </sheetViews>
  <sheetFormatPr defaultRowHeight="14.5" x14ac:dyDescent="0.35"/>
  <cols>
    <col min="1" max="1" width="29.7265625" bestFit="1" customWidth="1"/>
    <col min="2" max="2" width="44.7265625" customWidth="1"/>
    <col min="3" max="3" width="34.453125" bestFit="1" customWidth="1"/>
  </cols>
  <sheetData>
    <row r="1" spans="1:3" x14ac:dyDescent="0.35">
      <c r="A1" s="36" t="s">
        <v>125</v>
      </c>
      <c r="B1" s="36" t="s">
        <v>126</v>
      </c>
    </row>
    <row r="2" spans="1:3" x14ac:dyDescent="0.35">
      <c r="A2" s="37" t="s">
        <v>121</v>
      </c>
      <c r="B2" s="38" t="s">
        <v>123</v>
      </c>
      <c r="C2" s="46" t="s">
        <v>471</v>
      </c>
    </row>
    <row r="3" spans="1:3" x14ac:dyDescent="0.35">
      <c r="A3" s="37" t="s">
        <v>119</v>
      </c>
      <c r="B3" s="38" t="s">
        <v>122</v>
      </c>
      <c r="C3" s="46" t="s">
        <v>471</v>
      </c>
    </row>
    <row r="4" spans="1:3" x14ac:dyDescent="0.35">
      <c r="A4" s="37" t="s">
        <v>120</v>
      </c>
      <c r="B4" s="38" t="s">
        <v>124</v>
      </c>
      <c r="C4" s="46" t="s">
        <v>471</v>
      </c>
    </row>
    <row r="5" spans="1:3" x14ac:dyDescent="0.35">
      <c r="A5" s="37" t="s">
        <v>127</v>
      </c>
      <c r="B5" s="38" t="s">
        <v>128</v>
      </c>
      <c r="C5" s="46" t="s">
        <v>471</v>
      </c>
    </row>
    <row r="6" spans="1:3" x14ac:dyDescent="0.35">
      <c r="A6" s="37" t="s">
        <v>129</v>
      </c>
      <c r="B6" s="38" t="s">
        <v>130</v>
      </c>
      <c r="C6" s="46" t="s">
        <v>471</v>
      </c>
    </row>
    <row r="7" spans="1:3" x14ac:dyDescent="0.35">
      <c r="A7" s="37" t="s">
        <v>132</v>
      </c>
      <c r="B7" s="38" t="s">
        <v>131</v>
      </c>
      <c r="C7" s="46" t="s">
        <v>471</v>
      </c>
    </row>
  </sheetData>
  <autoFilter ref="A1:B1" xr:uid="{B834DCDD-593D-4189-9504-FBE5B91B5152}">
    <sortState xmlns:xlrd2="http://schemas.microsoft.com/office/spreadsheetml/2017/richdata2" ref="A2:B4">
      <sortCondition ref="A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7D56-3334-496E-BE3A-A0801A9D85AB}">
  <sheetPr>
    <tabColor theme="1"/>
  </sheetPr>
  <dimension ref="A1"/>
  <sheetViews>
    <sheetView showGridLines="0" workbookViewId="0">
      <selection activeCell="B39" sqref="B39"/>
    </sheetView>
  </sheetViews>
  <sheetFormatPr defaultRowHeight="14.5" x14ac:dyDescent="0.3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F496-26B0-4FB3-9AD8-FBD3F23D785D}">
  <sheetPr>
    <tabColor theme="1"/>
  </sheetPr>
  <dimension ref="A1:A2"/>
  <sheetViews>
    <sheetView workbookViewId="0">
      <selection activeCell="A2" sqref="A2"/>
    </sheetView>
  </sheetViews>
  <sheetFormatPr defaultRowHeight="14.5" x14ac:dyDescent="0.35"/>
  <sheetData>
    <row r="1" spans="1:1" x14ac:dyDescent="0.35">
      <c r="A1" t="s">
        <v>65</v>
      </c>
    </row>
    <row r="2" spans="1:1" x14ac:dyDescent="0.35">
      <c r="A2" s="19" t="s">
        <v>66</v>
      </c>
    </row>
  </sheetData>
  <hyperlinks>
    <hyperlink ref="A2" r:id="rId1" xr:uid="{1A83A14C-A7EB-47B2-9BF5-2F1DC5967D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BB0-F07C-4513-BA51-566370FBD4DA}">
  <sheetPr>
    <tabColor rgb="FF0C78C2"/>
  </sheetPr>
  <dimension ref="A1:O208"/>
  <sheetViews>
    <sheetView showGridLines="0" zoomScaleNormal="100" workbookViewId="0">
      <pane xSplit="1" ySplit="2" topLeftCell="B3" activePane="bottomRight" state="frozen"/>
      <selection pane="topRight" activeCell="B1" sqref="B1"/>
      <selection pane="bottomLeft" activeCell="A3" sqref="A3"/>
      <selection pane="bottomRight" activeCell="H47" sqref="H47"/>
    </sheetView>
  </sheetViews>
  <sheetFormatPr defaultRowHeight="14.5" outlineLevelRow="2" x14ac:dyDescent="0.35"/>
  <cols>
    <col min="1" max="1" width="22.453125" customWidth="1"/>
    <col min="3" max="3" width="15.26953125" customWidth="1"/>
    <col min="4" max="4" width="21.81640625" bestFit="1" customWidth="1"/>
    <col min="5" max="5" width="17.26953125" style="10" bestFit="1" customWidth="1"/>
    <col min="6" max="6" width="17.81640625" style="10" bestFit="1" customWidth="1"/>
    <col min="7" max="7" width="17.36328125" style="10" bestFit="1" customWidth="1"/>
    <col min="8" max="8" width="18.54296875" style="10" customWidth="1"/>
    <col min="9" max="9" width="21.54296875" style="10" bestFit="1" customWidth="1"/>
    <col min="10" max="10" width="18.54296875" style="10" customWidth="1"/>
    <col min="11" max="11" width="17" style="10" bestFit="1" customWidth="1"/>
    <col min="12" max="12" width="17.54296875" bestFit="1" customWidth="1"/>
    <col min="13" max="13" width="17.453125" bestFit="1" customWidth="1"/>
    <col min="14" max="14" width="21.36328125" bestFit="1" customWidth="1"/>
    <col min="15" max="15" width="18.453125" bestFit="1" customWidth="1"/>
  </cols>
  <sheetData>
    <row r="1" spans="1:15" ht="21" customHeight="1" x14ac:dyDescent="0.35">
      <c r="A1" s="50" t="s">
        <v>476</v>
      </c>
      <c r="B1" s="152" t="s">
        <v>653</v>
      </c>
      <c r="C1" s="153"/>
      <c r="D1" s="154"/>
      <c r="E1" s="149"/>
      <c r="F1" s="149"/>
      <c r="G1" s="149"/>
      <c r="H1" s="149"/>
      <c r="I1" s="150" t="s">
        <v>2</v>
      </c>
      <c r="J1" s="150"/>
      <c r="K1" s="150"/>
      <c r="L1" s="150"/>
      <c r="M1" s="150"/>
      <c r="N1" s="49" t="s">
        <v>472</v>
      </c>
    </row>
    <row r="2" spans="1:15" ht="21" x14ac:dyDescent="0.5">
      <c r="A2" s="151" t="s">
        <v>0</v>
      </c>
      <c r="B2" s="151"/>
      <c r="C2" s="151"/>
      <c r="D2" s="151"/>
      <c r="E2" s="28">
        <f>_xlfn.MINIFS(TickerYears!$E:$E,TickerYears!$A:$A,$B$1)+E4</f>
        <v>2021</v>
      </c>
      <c r="F2" s="28">
        <f t="shared" ref="F2:M2" si="0">E2+1</f>
        <v>2022</v>
      </c>
      <c r="G2" s="28">
        <f t="shared" si="0"/>
        <v>2023</v>
      </c>
      <c r="H2" s="28">
        <f t="shared" si="0"/>
        <v>2024</v>
      </c>
      <c r="I2" s="29">
        <f t="shared" si="0"/>
        <v>2025</v>
      </c>
      <c r="J2" s="29">
        <f t="shared" si="0"/>
        <v>2026</v>
      </c>
      <c r="K2" s="29">
        <f t="shared" si="0"/>
        <v>2027</v>
      </c>
      <c r="L2" s="29">
        <f t="shared" si="0"/>
        <v>2028</v>
      </c>
      <c r="M2" s="29">
        <f t="shared" si="0"/>
        <v>2029</v>
      </c>
    </row>
    <row r="3" spans="1:15" ht="15" thickBot="1" x14ac:dyDescent="0.4">
      <c r="A3" s="1" t="s">
        <v>3</v>
      </c>
      <c r="B3" s="1"/>
      <c r="C3" s="1"/>
      <c r="D3" s="1"/>
      <c r="E3" s="9" t="b">
        <f>E2=_xlfn.MINIFS(TickerYears!$E:$E,TickerYears!$A:$A,$B$1)</f>
        <v>1</v>
      </c>
      <c r="F3" s="9" t="b">
        <f>F2=_xlfn.MAXIFS(TickerYears!$E:$E,TickerYears!$A:$A,$B$1)</f>
        <v>0</v>
      </c>
      <c r="G3" s="9" t="b">
        <f>G2=_xlfn.MAXIFS(TickerYears!$E:$E,TickerYears!$A:$A,$B$1)</f>
        <v>0</v>
      </c>
      <c r="H3" s="9" t="b">
        <f>H2=_xlfn.MAXIFS(TickerYears!$E:$E,TickerYears!$A:$A,$B$1)</f>
        <v>1</v>
      </c>
      <c r="I3" s="9"/>
      <c r="J3" s="9"/>
      <c r="K3" s="9"/>
      <c r="L3" s="9"/>
      <c r="M3" s="9"/>
    </row>
    <row r="4" spans="1:15" ht="15" thickTop="1" x14ac:dyDescent="0.35">
      <c r="E4" s="124">
        <v>0</v>
      </c>
    </row>
    <row r="5" spans="1:15" x14ac:dyDescent="0.35">
      <c r="A5" s="2" t="s">
        <v>4</v>
      </c>
      <c r="B5" s="2"/>
      <c r="C5" s="2"/>
      <c r="D5" s="2"/>
      <c r="E5" s="11"/>
      <c r="F5" s="11"/>
      <c r="G5" s="11"/>
      <c r="H5" s="11"/>
      <c r="I5" s="11"/>
      <c r="J5" s="11"/>
      <c r="K5" s="11"/>
      <c r="L5" s="11"/>
      <c r="M5" s="11"/>
    </row>
    <row r="6" spans="1:15" outlineLevel="1" x14ac:dyDescent="0.35">
      <c r="A6" s="3" t="s">
        <v>5</v>
      </c>
      <c r="I6" s="78">
        <f>PERCENTILE(E7:H7,0.2)</f>
        <v>-2.187691404830016E-2</v>
      </c>
    </row>
    <row r="7" spans="1:15" outlineLevel="1" x14ac:dyDescent="0.35">
      <c r="A7" s="131" t="s">
        <v>11</v>
      </c>
      <c r="D7" s="86">
        <f t="shared" ref="D7:D13" si="1">STDEV(E7:H7)</f>
        <v>0.26366678078816497</v>
      </c>
      <c r="E7" s="68" t="str">
        <f>IFERROR((E31-D31)/D31,"")</f>
        <v/>
      </c>
      <c r="F7" s="68">
        <f>IFERROR((F31-E31)/E31,"")</f>
        <v>0.43641251644886481</v>
      </c>
      <c r="G7" s="68">
        <f>IFERROR((G31-F31)/F31,"")</f>
        <v>3.9069771753126627E-2</v>
      </c>
      <c r="H7" s="68">
        <f>IFERROR((H31-G31)/G31,"")</f>
        <v>-6.2508037915918011E-2</v>
      </c>
      <c r="I7" s="81">
        <f>AVERAGE($F$7:$H$7)</f>
        <v>0.13765808342869115</v>
      </c>
      <c r="J7" s="81">
        <f>PERCENTILE($I$6:$I$7,0.8)</f>
        <v>0.10575108393329288</v>
      </c>
      <c r="K7" s="81">
        <f>PERCENTILE($I$6:$I$7,0.6)</f>
        <v>7.3844084437894641E-2</v>
      </c>
      <c r="L7" s="81">
        <f>PERCENTILE($I$6:$I$7,0.4)</f>
        <v>4.1937084942496351E-2</v>
      </c>
      <c r="M7" s="81">
        <f>PERCENTILE(E7:H7,0.2)</f>
        <v>-2.187691404830016E-2</v>
      </c>
      <c r="N7" s="86">
        <f>STDEV(I7:M7)</f>
        <v>6.1374338954953915E-2</v>
      </c>
      <c r="O7" t="b">
        <f>N7&lt;D7</f>
        <v>1</v>
      </c>
    </row>
    <row r="8" spans="1:15" outlineLevel="1" x14ac:dyDescent="0.35">
      <c r="A8" s="131" t="s">
        <v>12</v>
      </c>
      <c r="D8" s="86">
        <f t="shared" si="1"/>
        <v>2.8006868626744653E-2</v>
      </c>
      <c r="E8" s="68">
        <f>IFERROR(E32/E31,"")</f>
        <v>0.55544460199849544</v>
      </c>
      <c r="F8" s="68">
        <f>IFERROR(F32/F31,"")</f>
        <v>0.49559287104117311</v>
      </c>
      <c r="G8" s="68">
        <f>IFERROR(G32/G31,"")</f>
        <v>0.49746540815514867</v>
      </c>
      <c r="H8" s="68">
        <f>IFERROR(H32/H31,"")</f>
        <v>0.50910790721131205</v>
      </c>
      <c r="I8" s="81">
        <f>AVERAGE($E$8:$H$8)</f>
        <v>0.5144026971015323</v>
      </c>
      <c r="J8" s="81">
        <f>AVERAGE($E$8:$H$8)</f>
        <v>0.5144026971015323</v>
      </c>
      <c r="K8" s="81">
        <f>AVERAGE($E$8:$H$8)</f>
        <v>0.5144026971015323</v>
      </c>
      <c r="L8" s="81">
        <f>AVERAGE($E$8:$H$8)</f>
        <v>0.5144026971015323</v>
      </c>
      <c r="M8" s="81">
        <f>AVERAGE($E$8:$H$8)</f>
        <v>0.5144026971015323</v>
      </c>
      <c r="N8" s="86">
        <f t="shared" ref="N8:N19" si="2">STDEV(I8:M8)</f>
        <v>0</v>
      </c>
      <c r="O8" t="b">
        <f t="shared" ref="O8:O19" si="3">N8&lt;D8</f>
        <v>1</v>
      </c>
    </row>
    <row r="9" spans="1:15" outlineLevel="1" x14ac:dyDescent="0.35">
      <c r="A9" s="131" t="s">
        <v>523</v>
      </c>
      <c r="D9" s="86">
        <f t="shared" si="1"/>
        <v>1.2600346355386437E-2</v>
      </c>
      <c r="E9" s="68">
        <f>E37/E31</f>
        <v>0.25812901235800717</v>
      </c>
      <c r="F9" s="68">
        <f>F37/F31</f>
        <v>0.24525589619089036</v>
      </c>
      <c r="G9" s="68">
        <f>G37/G31</f>
        <v>0.25860419406372498</v>
      </c>
      <c r="H9" s="68">
        <f>H37/H31</f>
        <v>0.275953887948794</v>
      </c>
      <c r="I9" s="81">
        <f>AVERAGE($E$9:$H$9)</f>
        <v>0.25948574764035409</v>
      </c>
      <c r="J9" s="81">
        <f>AVERAGE($E$9:$H$9)</f>
        <v>0.25948574764035409</v>
      </c>
      <c r="K9" s="81">
        <f>AVERAGE($E$9:$H$9)</f>
        <v>0.25948574764035409</v>
      </c>
      <c r="L9" s="81">
        <f>AVERAGE($E$9:$H$9)</f>
        <v>0.25948574764035409</v>
      </c>
      <c r="M9" s="81">
        <f>AVERAGE($E$9:$H$9)</f>
        <v>0.25948574764035409</v>
      </c>
      <c r="N9" s="86">
        <f t="shared" si="2"/>
        <v>0</v>
      </c>
    </row>
    <row r="10" spans="1:15" outlineLevel="1" x14ac:dyDescent="0.35">
      <c r="A10" s="134" t="s">
        <v>15</v>
      </c>
      <c r="D10" s="86">
        <f t="shared" si="1"/>
        <v>1.2878903319550033E-3</v>
      </c>
      <c r="E10" s="68">
        <f>IFERROR(E38/E60,"")</f>
        <v>2.8551487241947955E-2</v>
      </c>
      <c r="F10" s="68">
        <f t="shared" ref="F10:H10" si="4">IFERROR(F38/F60,"")</f>
        <v>2.6243361576764185E-2</v>
      </c>
      <c r="G10" s="68">
        <f t="shared" si="4"/>
        <v>2.5557715298844312E-2</v>
      </c>
      <c r="H10" s="68">
        <f t="shared" si="4"/>
        <v>2.7057218938754304E-2</v>
      </c>
      <c r="I10" s="81">
        <f>AVERAGE($E$10:$H$10)</f>
        <v>2.6852445764077689E-2</v>
      </c>
      <c r="J10" s="81">
        <f>AVERAGE($E$10:$H$10)</f>
        <v>2.6852445764077689E-2</v>
      </c>
      <c r="K10" s="81">
        <f>AVERAGE($E$10:$H$10)</f>
        <v>2.6852445764077689E-2</v>
      </c>
      <c r="L10" s="81">
        <f>AVERAGE($E$10:$H$10)</f>
        <v>2.6852445764077689E-2</v>
      </c>
      <c r="M10" s="81">
        <f>AVERAGE($E$10:$H$10)</f>
        <v>2.6852445764077689E-2</v>
      </c>
      <c r="N10" s="86">
        <f t="shared" si="2"/>
        <v>3.8789596144488642E-18</v>
      </c>
      <c r="O10" t="b">
        <f t="shared" si="3"/>
        <v>1</v>
      </c>
    </row>
    <row r="11" spans="1:15" outlineLevel="1" x14ac:dyDescent="0.35">
      <c r="A11" s="131" t="s">
        <v>518</v>
      </c>
      <c r="D11" s="86">
        <f t="shared" si="1"/>
        <v>4.2231385633353111E-3</v>
      </c>
      <c r="E11" s="68">
        <f>E38/E31</f>
        <v>2.3148240609445699E-2</v>
      </c>
      <c r="F11" s="68">
        <f>F38/F31</f>
        <v>1.443604120787235E-2</v>
      </c>
      <c r="G11" s="68">
        <f>G38/G31</f>
        <v>1.4016638578874164E-2</v>
      </c>
      <c r="H11" s="68">
        <f>H38/H31</f>
        <v>1.6517299948774961E-2</v>
      </c>
      <c r="I11" s="81">
        <f>AVERAGE($E$11:$H$11)</f>
        <v>1.7029555086241793E-2</v>
      </c>
      <c r="J11" s="81">
        <f>AVERAGE($E$11:$H$11)</f>
        <v>1.7029555086241793E-2</v>
      </c>
      <c r="K11" s="81">
        <f>AVERAGE($E$11:$H$11)</f>
        <v>1.7029555086241793E-2</v>
      </c>
      <c r="L11" s="81">
        <f>AVERAGE($E$11:$H$11)</f>
        <v>1.7029555086241793E-2</v>
      </c>
      <c r="M11" s="81">
        <f>AVERAGE($E$11:$H$11)</f>
        <v>1.7029555086241793E-2</v>
      </c>
      <c r="N11" s="86">
        <f t="shared" si="2"/>
        <v>0</v>
      </c>
    </row>
    <row r="12" spans="1:15" outlineLevel="1" x14ac:dyDescent="0.35">
      <c r="A12" s="134" t="s">
        <v>16</v>
      </c>
      <c r="D12" s="86">
        <f t="shared" si="1"/>
        <v>0</v>
      </c>
      <c r="E12" s="68">
        <f>IFERROR(E39/E163,"")</f>
        <v>0</v>
      </c>
      <c r="F12" s="68">
        <f t="shared" ref="F12:H12" si="5">IFERROR(F39/F163,"")</f>
        <v>0</v>
      </c>
      <c r="G12" s="68">
        <f t="shared" si="5"/>
        <v>0</v>
      </c>
      <c r="H12" s="68">
        <f t="shared" si="5"/>
        <v>0</v>
      </c>
      <c r="I12" s="81">
        <f>AVERAGE($E$12:$H$12)</f>
        <v>0</v>
      </c>
      <c r="J12" s="81">
        <f>AVERAGE($E$12:$H$12)</f>
        <v>0</v>
      </c>
      <c r="K12" s="81">
        <f>AVERAGE($E$12:$H$12)</f>
        <v>0</v>
      </c>
      <c r="L12" s="81">
        <f>AVERAGE($E$12:$H$12)</f>
        <v>0</v>
      </c>
      <c r="M12" s="81">
        <f>AVERAGE($E$12:$H$12)</f>
        <v>0</v>
      </c>
      <c r="N12" s="86">
        <f t="shared" si="2"/>
        <v>0</v>
      </c>
      <c r="O12" t="b">
        <f t="shared" si="3"/>
        <v>0</v>
      </c>
    </row>
    <row r="13" spans="1:15" outlineLevel="1" x14ac:dyDescent="0.35">
      <c r="A13" s="134" t="s">
        <v>17</v>
      </c>
      <c r="D13" s="86">
        <f t="shared" si="1"/>
        <v>3.2015621187164271E-3</v>
      </c>
      <c r="E13" s="68">
        <f>AVERAGEIFS(IncomeStatement[TaxRateForCalcs],IncomeStatement[Ticker],$B$1,IncomeStatement[Year],E2,IncomeStatement[periodType],"&lt;&gt;TTM")</f>
        <v>0.23899999999999999</v>
      </c>
      <c r="F13" s="68">
        <f>AVERAGEIFS(IncomeStatement[TaxRateForCalcs],IncomeStatement[Ticker],$B$1,IncomeStatement[Year],F2,IncomeStatement[periodType],"&lt;&gt;TTM")</f>
        <v>0.246</v>
      </c>
      <c r="G13" s="68">
        <f>AVERAGEIFS(IncomeStatement[TaxRateForCalcs],IncomeStatement[Ticker],$B$1,IncomeStatement[Year],G2,IncomeStatement[periodType],"&lt;&gt;TTM")</f>
        <v>0.24</v>
      </c>
      <c r="H13" s="68">
        <f>AVERAGEIFS(IncomeStatement[TaxRateForCalcs],IncomeStatement[Ticker],$B$1,IncomeStatement[Year],H2,IncomeStatement[periodType],"&lt;&gt;TTM")</f>
        <v>0.24</v>
      </c>
      <c r="I13" s="81">
        <f>AVERAGE($E$13:$H$13)</f>
        <v>0.24124999999999999</v>
      </c>
      <c r="J13" s="81">
        <f>AVERAGE($E$13:$H$13)</f>
        <v>0.24124999999999999</v>
      </c>
      <c r="K13" s="81">
        <f>AVERAGE($E$13:$H$13)</f>
        <v>0.24124999999999999</v>
      </c>
      <c r="L13" s="81">
        <f>AVERAGE($E$13:$H$13)</f>
        <v>0.24124999999999999</v>
      </c>
      <c r="M13" s="81">
        <f>AVERAGE($E$13:$H$13)</f>
        <v>0.24124999999999999</v>
      </c>
      <c r="N13" s="86">
        <f t="shared" si="2"/>
        <v>3.1031676915590914E-17</v>
      </c>
      <c r="O13" t="b">
        <f t="shared" si="3"/>
        <v>1</v>
      </c>
    </row>
    <row r="14" spans="1:15" outlineLevel="1" x14ac:dyDescent="0.35">
      <c r="A14" s="3" t="s">
        <v>6</v>
      </c>
      <c r="D14" s="86"/>
      <c r="E14" s="65"/>
      <c r="F14" s="65"/>
      <c r="G14" s="65"/>
      <c r="H14" s="65"/>
      <c r="I14" s="66"/>
      <c r="J14" s="66"/>
      <c r="K14" s="66"/>
      <c r="L14" s="67"/>
      <c r="M14" s="67"/>
    </row>
    <row r="15" spans="1:15" outlineLevel="1" x14ac:dyDescent="0.35">
      <c r="A15" t="s">
        <v>564</v>
      </c>
      <c r="D15" s="86">
        <f>STDEV(E15:H15)</f>
        <v>7.8185156101762146E-2</v>
      </c>
      <c r="E15" s="62">
        <f>E53/E31</f>
        <v>0.35370773501627689</v>
      </c>
      <c r="F15" s="62">
        <f>F53/F31</f>
        <v>0.19617536441561029</v>
      </c>
      <c r="G15" s="62">
        <f>G53/G31</f>
        <v>0.18739179013772805</v>
      </c>
      <c r="H15" s="62">
        <f>H53/H31</f>
        <v>0.21268144844746895</v>
      </c>
      <c r="I15" s="132">
        <f>AVERAGE($E$15:$H$15)</f>
        <v>0.23748908450427106</v>
      </c>
      <c r="J15" s="132">
        <f>AVERAGE($E$15:$H$15)</f>
        <v>0.23748908450427106</v>
      </c>
      <c r="K15" s="132">
        <f>AVERAGE($E$15:$H$15)</f>
        <v>0.23748908450427106</v>
      </c>
      <c r="L15" s="132">
        <f>AVERAGE($E$15:$H$15)</f>
        <v>0.23748908450427106</v>
      </c>
      <c r="M15" s="132">
        <f>AVERAGE($E$15:$H$15)</f>
        <v>0.23748908450427106</v>
      </c>
      <c r="N15" s="86"/>
    </row>
    <row r="16" spans="1:15" outlineLevel="1" x14ac:dyDescent="0.35">
      <c r="A16" s="134" t="s">
        <v>18</v>
      </c>
      <c r="D16" s="86"/>
      <c r="E16" s="136">
        <f t="shared" ref="E16:H17" si="6">E54/E31*365</f>
        <v>1.1432599042692708</v>
      </c>
      <c r="F16" s="136">
        <f t="shared" si="6"/>
        <v>3.4077947979579908</v>
      </c>
      <c r="G16" s="136">
        <f t="shared" si="6"/>
        <v>3.4318797312195253</v>
      </c>
      <c r="H16" s="136">
        <f t="shared" si="6"/>
        <v>2.5171675249107524</v>
      </c>
      <c r="I16" s="83">
        <f>AVERAGE($E$16:$H$16)</f>
        <v>2.625025489589385</v>
      </c>
      <c r="J16" s="83">
        <f>AVERAGE($E$16:$H$16)</f>
        <v>2.625025489589385</v>
      </c>
      <c r="K16" s="83">
        <f>AVERAGE($E$16:$H$16)</f>
        <v>2.625025489589385</v>
      </c>
      <c r="L16" s="83">
        <f>AVERAGE($E$16:$H$16)</f>
        <v>2.625025489589385</v>
      </c>
      <c r="M16" s="83">
        <f>AVERAGE($E$16:$H$16)</f>
        <v>2.625025489589385</v>
      </c>
      <c r="N16" s="86">
        <f t="shared" si="2"/>
        <v>0</v>
      </c>
      <c r="O16" t="b">
        <f t="shared" si="3"/>
        <v>0</v>
      </c>
    </row>
    <row r="17" spans="1:15" outlineLevel="1" x14ac:dyDescent="0.35">
      <c r="A17" s="134" t="s">
        <v>19</v>
      </c>
      <c r="D17" s="86"/>
      <c r="E17" s="136">
        <f t="shared" si="6"/>
        <v>73.686092966580773</v>
      </c>
      <c r="F17" s="136">
        <f t="shared" si="6"/>
        <v>58.081033606713234</v>
      </c>
      <c r="G17" s="136">
        <f t="shared" si="6"/>
        <v>68.253141139058911</v>
      </c>
      <c r="H17" s="136">
        <f t="shared" si="6"/>
        <v>71.796251617897411</v>
      </c>
      <c r="I17" s="83">
        <f>AVERAGE($E$17:$H$17)</f>
        <v>67.954129832562586</v>
      </c>
      <c r="J17" s="83">
        <f>AVERAGE($E$17:$H$17)</f>
        <v>67.954129832562586</v>
      </c>
      <c r="K17" s="83">
        <f>AVERAGE($E$17:$H$17)</f>
        <v>67.954129832562586</v>
      </c>
      <c r="L17" s="83">
        <f>AVERAGE($E$17:$H$17)</f>
        <v>67.954129832562586</v>
      </c>
      <c r="M17" s="83">
        <f>AVERAGE($E$17:$H$17)</f>
        <v>67.954129832562586</v>
      </c>
      <c r="N17" s="86">
        <f t="shared" si="2"/>
        <v>0</v>
      </c>
      <c r="O17" t="b">
        <f t="shared" si="3"/>
        <v>0</v>
      </c>
    </row>
    <row r="18" spans="1:15" outlineLevel="1" x14ac:dyDescent="0.35">
      <c r="A18" s="131" t="s">
        <v>563</v>
      </c>
      <c r="D18" s="86">
        <f t="shared" ref="D18:D25" si="7">STDEV(E18:H18)</f>
        <v>3.1919559894165398E-3</v>
      </c>
      <c r="E18" s="68">
        <f>E58/E31</f>
        <v>1.24157030350236E-2</v>
      </c>
      <c r="F18" s="68">
        <f>F58/F31</f>
        <v>7.8232235728680592E-3</v>
      </c>
      <c r="G18" s="68">
        <f>G58/G31</f>
        <v>9.277520523168898E-3</v>
      </c>
      <c r="H18" s="68">
        <f>H58/H31</f>
        <v>1.4944072723697211E-2</v>
      </c>
      <c r="I18" s="81">
        <f>AVERAGE($E$18:$H$18)</f>
        <v>1.1115129963689442E-2</v>
      </c>
      <c r="J18" s="81">
        <f>AVERAGE($E$18:$H$18)</f>
        <v>1.1115129963689442E-2</v>
      </c>
      <c r="K18" s="81">
        <f>AVERAGE($E$18:$H$18)</f>
        <v>1.1115129963689442E-2</v>
      </c>
      <c r="L18" s="81">
        <f>AVERAGE($E$18:$H$18)</f>
        <v>1.1115129963689442E-2</v>
      </c>
      <c r="M18" s="81">
        <f>AVERAGE($E$18:$H$18)</f>
        <v>1.1115129963689442E-2</v>
      </c>
      <c r="N18" s="86">
        <f t="shared" si="2"/>
        <v>0</v>
      </c>
    </row>
    <row r="19" spans="1:15" outlineLevel="1" x14ac:dyDescent="0.35">
      <c r="A19" s="134" t="s">
        <v>20</v>
      </c>
      <c r="D19" s="86"/>
      <c r="E19" s="136">
        <f>E71/E32*365</f>
        <v>39.481332774015705</v>
      </c>
      <c r="F19" s="136">
        <f>F71/F32*365</f>
        <v>34.974914198610342</v>
      </c>
      <c r="G19" s="136">
        <f>G71/G32*365</f>
        <v>24.454821095543231</v>
      </c>
      <c r="H19" s="136">
        <f>H71/H32*365</f>
        <v>28.78330999615287</v>
      </c>
      <c r="I19" s="83">
        <f>AVERAGE($E$19:$H$19)</f>
        <v>31.923594516080534</v>
      </c>
      <c r="J19" s="83">
        <f>AVERAGE($E$19:$H$19)</f>
        <v>31.923594516080534</v>
      </c>
      <c r="K19" s="83">
        <f>AVERAGE($E$19:$H$19)</f>
        <v>31.923594516080534</v>
      </c>
      <c r="L19" s="83">
        <f>AVERAGE($E$19:$H$19)</f>
        <v>31.923594516080534</v>
      </c>
      <c r="M19" s="83">
        <f>AVERAGE($E$19:$H$19)</f>
        <v>31.923594516080534</v>
      </c>
      <c r="N19" s="86">
        <f t="shared" si="2"/>
        <v>0</v>
      </c>
      <c r="O19" t="b">
        <f t="shared" si="3"/>
        <v>0</v>
      </c>
    </row>
    <row r="20" spans="1:15" outlineLevel="1" x14ac:dyDescent="0.35">
      <c r="A20" s="131" t="s">
        <v>624</v>
      </c>
      <c r="D20" s="86">
        <f t="shared" si="7"/>
        <v>9.1734959367977247E-3</v>
      </c>
      <c r="E20" s="68">
        <f>E154/E31</f>
        <v>8.4957138640907696E-3</v>
      </c>
      <c r="F20" s="68">
        <f>F154/F31</f>
        <v>1.4753512069686012E-2</v>
      </c>
      <c r="G20" s="68">
        <f>G154/G31</f>
        <v>2.2569352811170493E-2</v>
      </c>
      <c r="H20" s="68">
        <f>H154/H31</f>
        <v>2.9556689308239938E-2</v>
      </c>
      <c r="I20" s="81">
        <f>AVERAGE($E$20:$H$20)</f>
        <v>1.8843817013296803E-2</v>
      </c>
      <c r="J20" s="81">
        <f>AVERAGE($E$20:$H$20)</f>
        <v>1.8843817013296803E-2</v>
      </c>
      <c r="K20" s="81">
        <f>AVERAGE($E$20:$H$20)</f>
        <v>1.8843817013296803E-2</v>
      </c>
      <c r="L20" s="81">
        <f>AVERAGE($E$20:$H$20)</f>
        <v>1.8843817013296803E-2</v>
      </c>
      <c r="M20" s="81">
        <f>AVERAGE($E$20:$H$20)</f>
        <v>1.8843817013296803E-2</v>
      </c>
      <c r="N20" s="86">
        <f>STDEV(I20:M20)</f>
        <v>0</v>
      </c>
      <c r="O20" t="b">
        <f>N20&lt;D20</f>
        <v>1</v>
      </c>
    </row>
    <row r="21" spans="1:15" outlineLevel="1" x14ac:dyDescent="0.35">
      <c r="A21" s="131" t="s">
        <v>561</v>
      </c>
      <c r="D21" s="86">
        <f t="shared" si="7"/>
        <v>1.1702612718104299E-2</v>
      </c>
      <c r="E21" s="68">
        <f>E73/E31</f>
        <v>9.071784732346734E-2</v>
      </c>
      <c r="F21" s="68">
        <f>F73/F31</f>
        <v>6.8185171252743107E-2</v>
      </c>
      <c r="G21" s="68">
        <f>G73/G31</f>
        <v>6.6300819142617345E-2</v>
      </c>
      <c r="H21" s="68">
        <f>H73/H31</f>
        <v>6.7611501686620112E-2</v>
      </c>
      <c r="I21" s="81">
        <f>AVERAGE($E$21:$H$21)</f>
        <v>7.3203834851361976E-2</v>
      </c>
      <c r="J21" s="81">
        <f>AVERAGE($E$21:$H$21)</f>
        <v>7.3203834851361976E-2</v>
      </c>
      <c r="K21" s="81">
        <f>AVERAGE($E$21:$H$21)</f>
        <v>7.3203834851361976E-2</v>
      </c>
      <c r="L21" s="81">
        <f>AVERAGE($E$21:$H$21)</f>
        <v>7.3203834851361976E-2</v>
      </c>
      <c r="M21" s="81">
        <f>AVERAGE($E$21:$H$21)</f>
        <v>7.3203834851361976E-2</v>
      </c>
      <c r="N21" s="86"/>
    </row>
    <row r="22" spans="1:15" outlineLevel="1" x14ac:dyDescent="0.35">
      <c r="A22" s="134" t="s">
        <v>560</v>
      </c>
      <c r="D22" s="86">
        <f t="shared" si="7"/>
        <v>5.2288589053073832E-3</v>
      </c>
      <c r="E22" s="68">
        <f>E72/E32</f>
        <v>4.0556521044325923E-2</v>
      </c>
      <c r="F22" s="68">
        <f>F72/F32</f>
        <v>3.1583639599874064E-2</v>
      </c>
      <c r="G22" s="68">
        <f>G72/G32</f>
        <v>2.9519534238714614E-2</v>
      </c>
      <c r="H22" s="68">
        <f>H72/H32</f>
        <v>2.9697665399346145E-2</v>
      </c>
      <c r="I22" s="81">
        <f>AVERAGE($E$22:$H$22)</f>
        <v>3.2839340070565187E-2</v>
      </c>
      <c r="J22" s="81">
        <f>AVERAGE($E$22:$H$22)</f>
        <v>3.2839340070565187E-2</v>
      </c>
      <c r="K22" s="81">
        <f>AVERAGE($E$22:$H$22)</f>
        <v>3.2839340070565187E-2</v>
      </c>
      <c r="L22" s="81">
        <f>AVERAGE($E$22:$H$22)</f>
        <v>3.2839340070565187E-2</v>
      </c>
      <c r="M22" s="81">
        <f>AVERAGE($E$22:$H$22)</f>
        <v>3.2839340070565187E-2</v>
      </c>
      <c r="N22" s="86"/>
    </row>
    <row r="23" spans="1:15" outlineLevel="1" x14ac:dyDescent="0.35">
      <c r="A23" s="131" t="s">
        <v>562</v>
      </c>
      <c r="D23" s="86">
        <f t="shared" si="7"/>
        <v>1.5509945185458664E-3</v>
      </c>
      <c r="E23" s="68">
        <f>E$76/E$31</f>
        <v>1.5843058412609651E-2</v>
      </c>
      <c r="F23" s="68">
        <f>F$76/F$31</f>
        <v>1.2722007528153332E-2</v>
      </c>
      <c r="G23" s="68">
        <f>G$76/G$31</f>
        <v>1.2471871940481138E-2</v>
      </c>
      <c r="H23" s="68">
        <f>H$76/H$31</f>
        <v>1.3216218830832082E-2</v>
      </c>
      <c r="I23" s="81">
        <f>AVERAGE($E$23:$H$23)</f>
        <v>1.356328917801905E-2</v>
      </c>
      <c r="J23" s="81">
        <f>AVERAGE($E$23:$H$23)</f>
        <v>1.356328917801905E-2</v>
      </c>
      <c r="K23" s="81">
        <f>AVERAGE($E$23:$H$23)</f>
        <v>1.356328917801905E-2</v>
      </c>
      <c r="L23" s="81">
        <f>AVERAGE($E$23:$H$23)</f>
        <v>1.356328917801905E-2</v>
      </c>
      <c r="M23" s="81">
        <f>AVERAGE($E$23:$H$23)</f>
        <v>1.356328917801905E-2</v>
      </c>
      <c r="N23" s="86"/>
    </row>
    <row r="24" spans="1:15" outlineLevel="1" x14ac:dyDescent="0.35">
      <c r="A24" s="131" t="s">
        <v>567</v>
      </c>
      <c r="D24" s="86">
        <f t="shared" si="7"/>
        <v>5.9692179994044005E-2</v>
      </c>
      <c r="E24" s="68">
        <f>E130/E31</f>
        <v>0.14253093939938621</v>
      </c>
      <c r="F24" s="68">
        <f>F130/F31</f>
        <v>0.26865141313155266</v>
      </c>
      <c r="G24" s="68">
        <f>G130/G31</f>
        <v>0.15081620622262926</v>
      </c>
      <c r="H24" s="68">
        <f>H130/H31</f>
        <v>0.15600482752386405</v>
      </c>
      <c r="I24" s="81">
        <f>AVERAGE(E24:H24)</f>
        <v>0.17950084656935802</v>
      </c>
      <c r="J24" s="81">
        <f>AVERAGE(F24:I24)</f>
        <v>0.18874332336185101</v>
      </c>
      <c r="K24" s="81">
        <f>AVERAGE(G24:J24)</f>
        <v>0.16876630091942557</v>
      </c>
      <c r="L24" s="81">
        <f>AVERAGE(H24:K24)</f>
        <v>0.17325382459362465</v>
      </c>
      <c r="M24" s="81">
        <f>AVERAGE(I24:L24)</f>
        <v>0.17756607386106482</v>
      </c>
      <c r="N24" s="86"/>
    </row>
    <row r="25" spans="1:15" outlineLevel="1" x14ac:dyDescent="0.35">
      <c r="A25" s="131" t="s">
        <v>618</v>
      </c>
      <c r="D25" s="86">
        <f t="shared" si="7"/>
        <v>0</v>
      </c>
      <c r="E25" s="68">
        <f>E85/E31</f>
        <v>0</v>
      </c>
      <c r="F25" s="68">
        <f>F85/F31</f>
        <v>0</v>
      </c>
      <c r="G25" s="68">
        <f>G85/G31</f>
        <v>0</v>
      </c>
      <c r="H25" s="68">
        <f>H85/H31</f>
        <v>0</v>
      </c>
      <c r="I25" s="81">
        <f>AVERAGE($E$25:$H$25)</f>
        <v>0</v>
      </c>
      <c r="J25" s="81">
        <f>AVERAGE($E$25:$H$25)</f>
        <v>0</v>
      </c>
      <c r="K25" s="81">
        <f>AVERAGE($E$25:$H$25)</f>
        <v>0</v>
      </c>
      <c r="L25" s="81">
        <f>AVERAGE($E$25:$H$25)</f>
        <v>0</v>
      </c>
      <c r="M25" s="81">
        <f>AVERAGE($E$25:$H$25)</f>
        <v>0</v>
      </c>
      <c r="N25" s="86"/>
    </row>
    <row r="26" spans="1:15" outlineLevel="1" x14ac:dyDescent="0.35">
      <c r="A26" t="s">
        <v>22</v>
      </c>
      <c r="E26" s="63">
        <f t="shared" ref="E26:H27" si="8">E131</f>
        <v>0</v>
      </c>
      <c r="F26" s="63">
        <f t="shared" si="8"/>
        <v>0</v>
      </c>
      <c r="G26" s="63">
        <f t="shared" si="8"/>
        <v>0</v>
      </c>
      <c r="H26" s="63">
        <f t="shared" si="8"/>
        <v>0</v>
      </c>
      <c r="I26" s="64">
        <f>E26</f>
        <v>0</v>
      </c>
      <c r="J26" s="64">
        <f>F26</f>
        <v>0</v>
      </c>
      <c r="K26" s="64">
        <f>G26</f>
        <v>0</v>
      </c>
      <c r="L26" s="64">
        <f>H26</f>
        <v>0</v>
      </c>
      <c r="M26" s="64">
        <f>I26</f>
        <v>0</v>
      </c>
    </row>
    <row r="27" spans="1:15" outlineLevel="1" x14ac:dyDescent="0.35">
      <c r="A27" t="s">
        <v>23</v>
      </c>
      <c r="E27" s="63">
        <f t="shared" si="8"/>
        <v>-372000</v>
      </c>
      <c r="F27" s="63">
        <f t="shared" si="8"/>
        <v>0</v>
      </c>
      <c r="G27" s="63">
        <f t="shared" si="8"/>
        <v>0</v>
      </c>
      <c r="H27" s="63">
        <f t="shared" si="8"/>
        <v>0</v>
      </c>
      <c r="I27" s="135">
        <f>AVERAGE(E27:H27)</f>
        <v>-93000</v>
      </c>
      <c r="J27" s="135">
        <f>AVERAGE(E27:I27)</f>
        <v>-93000</v>
      </c>
      <c r="K27" s="135">
        <f>AVERAGE(F27:J27)</f>
        <v>-37200</v>
      </c>
      <c r="L27" s="135">
        <f>AVERAGE(G27:K27)</f>
        <v>-44640</v>
      </c>
      <c r="M27" s="135">
        <f>AVERAGE(H27:L27)</f>
        <v>-53568</v>
      </c>
    </row>
    <row r="28" spans="1:15" outlineLevel="1" x14ac:dyDescent="0.35">
      <c r="E28" s="84"/>
    </row>
    <row r="30" spans="1:15" x14ac:dyDescent="0.35">
      <c r="A30" s="2" t="s">
        <v>5</v>
      </c>
      <c r="B30" s="2"/>
      <c r="C30" s="2"/>
      <c r="D30" s="2"/>
      <c r="E30" s="11"/>
      <c r="F30" s="11"/>
      <c r="G30" s="11"/>
      <c r="H30" s="11"/>
      <c r="I30" s="11"/>
      <c r="J30" s="11"/>
      <c r="K30" s="11"/>
      <c r="L30" s="11"/>
      <c r="M30" s="11"/>
    </row>
    <row r="31" spans="1:15" outlineLevel="1" x14ac:dyDescent="0.35">
      <c r="A31" s="3" t="s">
        <v>24</v>
      </c>
      <c r="B31" s="3"/>
      <c r="C31" s="3"/>
      <c r="D31" s="3"/>
      <c r="E31" s="12">
        <f>SUMIFS(IncomeStatement[TotalRevenue],IncomeStatement[Ticker],$B$1,IncomeStatement[Year],E2,IncomeStatement[periodType],"&lt;&gt;TTM")</f>
        <v>901278000</v>
      </c>
      <c r="F31" s="12">
        <f>SUMIFS(IncomeStatement[TotalRevenue],IncomeStatement[Ticker],$B$1,IncomeStatement[Year],F2,IncomeStatement[periodType],"&lt;&gt;TTM")</f>
        <v>1294607000</v>
      </c>
      <c r="G31" s="12">
        <f>SUMIFS(IncomeStatement[TotalRevenue],IncomeStatement[Ticker],$B$1,IncomeStatement[Year],G2,IncomeStatement[periodType],"&lt;&gt;TTM")</f>
        <v>1345187000</v>
      </c>
      <c r="H31" s="12">
        <f>SUMIFS(IncomeStatement[TotalRevenue],IncomeStatement[Ticker],$B$1,IncomeStatement[Year],H2,IncomeStatement[periodType],"&lt;&gt;TTM")</f>
        <v>1261102000</v>
      </c>
      <c r="I31" s="93">
        <f>H31*(1+I7)</f>
        <v>1434702884.3280892</v>
      </c>
      <c r="J31" s="93">
        <f>I31*(1+J7)</f>
        <v>1586424269.4680064</v>
      </c>
      <c r="K31" s="93">
        <f>J31*(1+K7)</f>
        <v>1703572317.1769273</v>
      </c>
      <c r="L31" s="93">
        <f>K31*(1+L7)</f>
        <v>1775015174.1480613</v>
      </c>
      <c r="M31" s="93">
        <f>L31*(1+M7)</f>
        <v>1736183319.7487955</v>
      </c>
    </row>
    <row r="32" spans="1:15" outlineLevel="1" x14ac:dyDescent="0.35">
      <c r="A32" t="s">
        <v>25</v>
      </c>
      <c r="E32" s="59">
        <f>SUMIFS(IncomeStatement[CostOfRevenue],IncomeStatement[Ticker],$B$1,IncomeStatement[Year],E2,IncomeStatement[periodType],"&lt;&gt;TTM")</f>
        <v>500610000</v>
      </c>
      <c r="F32" s="59">
        <f>SUMIFS(IncomeStatement[CostOfRevenue],IncomeStatement[Ticker],$B$1,IncomeStatement[Year],F2,IncomeStatement[periodType],"&lt;&gt;TTM")</f>
        <v>641598000</v>
      </c>
      <c r="G32" s="59">
        <f>SUMIFS(IncomeStatement[CostOfRevenue],IncomeStatement[Ticker],$B$1,IncomeStatement[Year],G2,IncomeStatement[periodType],"&lt;&gt;TTM")</f>
        <v>669184000</v>
      </c>
      <c r="H32" s="59">
        <f>SUMIFS(IncomeStatement[CostOfRevenue],IncomeStatement[Ticker],$B$1,IncomeStatement[Year],H2,IncomeStatement[periodType],"&lt;&gt;TTM")</f>
        <v>642037000</v>
      </c>
      <c r="I32" s="94">
        <f>I31*I8</f>
        <v>738015033.23771679</v>
      </c>
      <c r="J32" s="94">
        <f>J31*J8</f>
        <v>816060922.96167052</v>
      </c>
      <c r="K32" s="94">
        <f>K31*K8</f>
        <v>876322194.66331851</v>
      </c>
      <c r="L32" s="94">
        <f>L31*L8</f>
        <v>913072592.97790873</v>
      </c>
      <c r="M32" s="94">
        <f>M31*M8</f>
        <v>893097382.34147251</v>
      </c>
    </row>
    <row r="33" spans="1:14" ht="15" outlineLevel="1" thickBot="1" x14ac:dyDescent="0.4">
      <c r="A33" s="6" t="s">
        <v>26</v>
      </c>
      <c r="B33" s="6"/>
      <c r="C33" s="6"/>
      <c r="D33" s="6"/>
      <c r="E33" s="15">
        <f t="shared" ref="E33:M33" si="9">E31-E32</f>
        <v>400668000</v>
      </c>
      <c r="F33" s="15">
        <f t="shared" si="9"/>
        <v>653009000</v>
      </c>
      <c r="G33" s="15">
        <f t="shared" si="9"/>
        <v>676003000</v>
      </c>
      <c r="H33" s="15">
        <f t="shared" si="9"/>
        <v>619065000</v>
      </c>
      <c r="I33" s="95">
        <f t="shared" si="9"/>
        <v>696687851.09037244</v>
      </c>
      <c r="J33" s="95">
        <f t="shared" si="9"/>
        <v>770363346.50633585</v>
      </c>
      <c r="K33" s="95">
        <f t="shared" si="9"/>
        <v>827250122.51360881</v>
      </c>
      <c r="L33" s="95">
        <f t="shared" si="9"/>
        <v>861942581.17015254</v>
      </c>
      <c r="M33" s="95">
        <f t="shared" si="9"/>
        <v>843085937.407323</v>
      </c>
    </row>
    <row r="34" spans="1:14" ht="15" outlineLevel="1" thickTop="1" x14ac:dyDescent="0.35">
      <c r="A34" s="3" t="s">
        <v>484</v>
      </c>
      <c r="B34" s="3"/>
      <c r="C34" s="3"/>
      <c r="D34" s="3"/>
      <c r="E34" s="12">
        <f>SUMIFS(IncomeStatement[GrossProfit],IncomeStatement[Ticker],$B$1,IncomeStatement[Year],E2,IncomeStatement[periodType],"&lt;&gt;TTM")</f>
        <v>400668000</v>
      </c>
      <c r="F34" s="12">
        <f>SUMIFS(IncomeStatement[GrossProfit],IncomeStatement[Ticker],$B$1,IncomeStatement[Year],F2,IncomeStatement[periodType],"&lt;&gt;TTM")</f>
        <v>653009000</v>
      </c>
      <c r="G34" s="12">
        <f>SUMIFS(IncomeStatement[GrossProfit],IncomeStatement[Ticker],$B$1,IncomeStatement[Year],G2,IncomeStatement[periodType],"&lt;&gt;TTM")</f>
        <v>676003000</v>
      </c>
      <c r="H34" s="12">
        <f>SUMIFS(IncomeStatement[GrossProfit],IncomeStatement[Ticker],$B$1,IncomeStatement[Year],H2,IncomeStatement[periodType],"&lt;&gt;TTM")</f>
        <v>619065000</v>
      </c>
      <c r="I34" s="93"/>
      <c r="J34" s="93"/>
      <c r="K34" s="93"/>
      <c r="L34" s="93"/>
      <c r="M34" s="93"/>
    </row>
    <row r="35" spans="1:14" outlineLevel="1" x14ac:dyDescent="0.35">
      <c r="A35" s="3"/>
      <c r="B35" s="3"/>
      <c r="C35" s="3"/>
      <c r="D35" s="99"/>
      <c r="E35" s="92"/>
      <c r="F35" s="92"/>
      <c r="G35" s="92"/>
      <c r="H35" s="92"/>
      <c r="I35"/>
      <c r="J35" s="93"/>
      <c r="K35" s="93"/>
      <c r="L35" s="93"/>
      <c r="M35" s="93"/>
      <c r="N35" s="86">
        <f>STDEV(E36:M36)</f>
        <v>1.971321855292222E-2</v>
      </c>
    </row>
    <row r="36" spans="1:14" outlineLevel="1" x14ac:dyDescent="0.35">
      <c r="A36" s="3" t="s">
        <v>27</v>
      </c>
      <c r="B36" s="3"/>
      <c r="C36" s="3"/>
      <c r="D36" s="99">
        <f>STDEV(E36:H36)</f>
        <v>3.2191551095084016E-2</v>
      </c>
      <c r="E36" s="92">
        <f>E40/E31</f>
        <v>0.81357361435650266</v>
      </c>
      <c r="F36" s="92">
        <f>F40/F31</f>
        <v>0.7408487672320635</v>
      </c>
      <c r="G36" s="92">
        <f t="shared" ref="G36:M36" si="10">G40/G31</f>
        <v>0.75606960221887365</v>
      </c>
      <c r="H36" s="92">
        <f t="shared" si="10"/>
        <v>0.78506179516010599</v>
      </c>
      <c r="I36" s="92">
        <f t="shared" si="10"/>
        <v>0.77388844474188645</v>
      </c>
      <c r="J36" s="92">
        <f t="shared" si="10"/>
        <v>0.77388844474188634</v>
      </c>
      <c r="K36" s="92">
        <f t="shared" si="10"/>
        <v>0.77388844474188645</v>
      </c>
      <c r="L36" s="92">
        <f t="shared" si="10"/>
        <v>0.77388844474188645</v>
      </c>
      <c r="M36" s="92">
        <f t="shared" si="10"/>
        <v>0.77388844474188645</v>
      </c>
      <c r="N36" s="86">
        <f>STDEV(I36:M36)</f>
        <v>1.1102230246251565E-16</v>
      </c>
    </row>
    <row r="37" spans="1:14" outlineLevel="1" x14ac:dyDescent="0.35">
      <c r="A37" t="s">
        <v>520</v>
      </c>
      <c r="B37" s="3"/>
      <c r="C37" s="3"/>
      <c r="D37" s="3"/>
      <c r="E37" s="82">
        <f>SUMIFS(IncomeStatement[OperatingExpense],IncomeStatement[Ticker],$B$1,IncomeStatement[Year],E$2,IncomeStatement[periodType],"&lt;&gt;TTM")</f>
        <v>232646000</v>
      </c>
      <c r="F37" s="82">
        <f>SUMIFS(IncomeStatement[OperatingExpense],IncomeStatement[Ticker],$B$1,IncomeStatement[Year],F$2,IncomeStatement[periodType],"&lt;&gt;TTM")</f>
        <v>317510000</v>
      </c>
      <c r="G37" s="82">
        <f>SUMIFS(IncomeStatement[OperatingExpense],IncomeStatement[Ticker],$B$1,IncomeStatement[Year],G$2,IncomeStatement[periodType],"&lt;&gt;TTM")</f>
        <v>347871000</v>
      </c>
      <c r="H37" s="82">
        <f>SUMIFS(IncomeStatement[OperatingExpense],IncomeStatement[Ticker],$B$1,IncomeStatement[Year],H$2,IncomeStatement[periodType],"&lt;&gt;TTM")</f>
        <v>348006000</v>
      </c>
      <c r="I37" s="85">
        <f>I31*I9</f>
        <v>372284950.58164668</v>
      </c>
      <c r="J37" s="85">
        <f>J31*J9</f>
        <v>411654487.63770819</v>
      </c>
      <c r="K37" s="85">
        <f>K31*K9</f>
        <v>442052736.38206542</v>
      </c>
      <c r="L37" s="85">
        <f>L31*L9</f>
        <v>460591139.53678298</v>
      </c>
      <c r="M37" s="85">
        <f>M31*M9</f>
        <v>450514826.76572818</v>
      </c>
    </row>
    <row r="38" spans="1:14" outlineLevel="1" x14ac:dyDescent="0.35">
      <c r="A38" t="s">
        <v>30</v>
      </c>
      <c r="B38" s="3"/>
      <c r="C38" s="3"/>
      <c r="D38" s="3"/>
      <c r="E38" s="82">
        <f>SUMIFS(IncomeStatement[ReconciledDepreciation],IncomeStatement[Ticker],$B$1,IncomeStatement[Year],E$2,IncomeStatement[periodType],"&lt;&gt;TTM")</f>
        <v>20863000</v>
      </c>
      <c r="F38" s="82">
        <f>SUMIFS(IncomeStatement[ReconciledDepreciation],IncomeStatement[Ticker],$B$1,IncomeStatement[Year],F$2,IncomeStatement[periodType],"&lt;&gt;TTM")</f>
        <v>18689000</v>
      </c>
      <c r="G38" s="82">
        <f>SUMIFS(IncomeStatement[ReconciledDepreciation],IncomeStatement[Ticker],$B$1,IncomeStatement[Year],G$2,IncomeStatement[periodType],"&lt;&gt;TTM")</f>
        <v>18855000</v>
      </c>
      <c r="H38" s="82">
        <f>SUMIFS(IncomeStatement[ReconciledDepreciation],IncomeStatement[Ticker],$B$1,IncomeStatement[Year],H$2,IncomeStatement[periodType],"&lt;&gt;TTM")</f>
        <v>20830000</v>
      </c>
      <c r="I38" s="85">
        <f>I31*I11</f>
        <v>24432351.801055182</v>
      </c>
      <c r="J38" s="85">
        <f>J31*J11</f>
        <v>27016099.487056307</v>
      </c>
      <c r="K38" s="85">
        <f>K31*K11</f>
        <v>29011078.618761059</v>
      </c>
      <c r="L38" s="85">
        <f>L31*L11</f>
        <v>30227718.687069479</v>
      </c>
      <c r="M38" s="85">
        <f>M31*M11</f>
        <v>29566429.483476263</v>
      </c>
      <c r="N38" t="s">
        <v>519</v>
      </c>
    </row>
    <row r="39" spans="1:14" outlineLevel="1" x14ac:dyDescent="0.35">
      <c r="A39" t="s">
        <v>31</v>
      </c>
      <c r="E39" s="10">
        <f>SUMIFS(IncomeStatement[InterestExpense],IncomeStatement[Ticker],$B$1,IncomeStatement[Year],E2,IncomeStatement[periodType],"&lt;&gt;TTM")</f>
        <v>0</v>
      </c>
      <c r="F39" s="10">
        <f>SUMIFS(IncomeStatement[InterestExpense],IncomeStatement[Ticker],$B$1,IncomeStatement[Year],F2,IncomeStatement[periodType],"&lt;&gt;TTM")</f>
        <v>0</v>
      </c>
      <c r="G39" s="10">
        <f>SUMIFS(IncomeStatement[InterestExpense],IncomeStatement[Ticker],$B$1,IncomeStatement[Year],G2,IncomeStatement[periodType],"&lt;&gt;TTM")</f>
        <v>0</v>
      </c>
      <c r="H39" s="10">
        <f>SUMIFS(IncomeStatement[InterestExpense],IncomeStatement[Ticker],$B$1,IncomeStatement[Year],H2,IncomeStatement[periodType],"&lt;&gt;TTM")</f>
        <v>0</v>
      </c>
      <c r="I39" s="85">
        <f>I164</f>
        <v>0</v>
      </c>
      <c r="J39" s="85">
        <f>J164</f>
        <v>0</v>
      </c>
      <c r="K39" s="85">
        <f>K164</f>
        <v>0</v>
      </c>
      <c r="L39" s="85">
        <f>L164</f>
        <v>0</v>
      </c>
      <c r="M39" s="85">
        <f>M164</f>
        <v>0</v>
      </c>
      <c r="N39" t="s">
        <v>133</v>
      </c>
    </row>
    <row r="40" spans="1:14" outlineLevel="1" x14ac:dyDescent="0.35">
      <c r="A40" s="100" t="s">
        <v>502</v>
      </c>
      <c r="B40" s="100"/>
      <c r="C40" s="100"/>
      <c r="D40" s="100"/>
      <c r="E40" s="101">
        <f>SUMIFS(IncomeStatement[TotalExpenses],IncomeStatement[Ticker],$B$1,IncomeStatement[Year],E2,IncomeStatement[periodType],"&lt;&gt;TTM")</f>
        <v>733256000</v>
      </c>
      <c r="F40" s="101">
        <f>SUMIFS(IncomeStatement[TotalExpenses],IncomeStatement[Ticker],$B$1,IncomeStatement[Year],F2,IncomeStatement[periodType],"&lt;&gt;TTM")</f>
        <v>959108000</v>
      </c>
      <c r="G40" s="101">
        <f>SUMIFS(IncomeStatement[TotalExpenses],IncomeStatement[Ticker],$B$1,IncomeStatement[Year],G2,IncomeStatement[periodType],"&lt;&gt;TTM")</f>
        <v>1017055000</v>
      </c>
      <c r="H40" s="101">
        <f>SUMIFS(IncomeStatement[TotalExpenses],IncomeStatement[Ticker],$B$1,IncomeStatement[Year],H2,IncomeStatement[periodType],"&lt;&gt;TTM")</f>
        <v>990043000</v>
      </c>
      <c r="I40" s="101">
        <f>SUM(I37)+I32</f>
        <v>1110299983.8193636</v>
      </c>
      <c r="J40" s="101">
        <f>SUM(J37)+J32</f>
        <v>1227715410.5993786</v>
      </c>
      <c r="K40" s="101">
        <f>SUM(K37)+K32</f>
        <v>1318374931.0453839</v>
      </c>
      <c r="L40" s="101">
        <f>SUM(L37)+L32</f>
        <v>1373663732.5146918</v>
      </c>
      <c r="M40" s="101">
        <f>SUM(M37)+M32</f>
        <v>1343612209.1072006</v>
      </c>
    </row>
    <row r="41" spans="1:14" outlineLevel="1" x14ac:dyDescent="0.35">
      <c r="A41" s="3" t="s">
        <v>485</v>
      </c>
      <c r="B41" s="3"/>
      <c r="C41" s="3"/>
      <c r="D41" s="3"/>
      <c r="E41" s="12">
        <f>SUMIFS(IncomeStatement[PretaxIncome],IncomeStatement[Ticker],$B$1,IncomeStatement[Year],E2,IncomeStatement[periodType],"&lt;&gt;TTM")</f>
        <v>170947000</v>
      </c>
      <c r="F41" s="12">
        <f>SUMIFS(IncomeStatement[PretaxIncome],IncomeStatement[Ticker],$B$1,IncomeStatement[Year],F2,IncomeStatement[periodType],"&lt;&gt;TTM")</f>
        <v>337755000</v>
      </c>
      <c r="G41" s="12">
        <f>SUMIFS(IncomeStatement[PretaxIncome],IncomeStatement[Ticker],$B$1,IncomeStatement[Year],G2,IncomeStatement[periodType],"&lt;&gt;TTM")</f>
        <v>335056000</v>
      </c>
      <c r="H41" s="12">
        <f>SUMIFS(IncomeStatement[PretaxIncome],IncomeStatement[Ticker],$B$1,IncomeStatement[Year],H2,IncomeStatement[periodType],"&lt;&gt;TTM")</f>
        <v>289215000</v>
      </c>
      <c r="I41" s="93">
        <f>I33-I37-I39</f>
        <v>324402900.50872576</v>
      </c>
      <c r="J41" s="93">
        <f>J33-J37-J39</f>
        <v>358708858.86862767</v>
      </c>
      <c r="K41" s="93">
        <f>K33-K37-K39</f>
        <v>385197386.1315434</v>
      </c>
      <c r="L41" s="93">
        <f>L33-L37-L39</f>
        <v>401351441.63336957</v>
      </c>
      <c r="M41" s="93">
        <f>M33-M37-M39</f>
        <v>392571110.64159483</v>
      </c>
    </row>
    <row r="42" spans="1:14" ht="15" outlineLevel="1" thickBot="1" x14ac:dyDescent="0.4">
      <c r="A42" s="52" t="s">
        <v>477</v>
      </c>
      <c r="B42" s="52"/>
      <c r="C42" s="52"/>
      <c r="D42" s="52"/>
      <c r="E42" s="53">
        <f>SUMIFS(IncomeStatement[EBITDA],IncomeStatement[Ticker],$B$1,IncomeStatement[Year],E2,IncomeStatement[periodType],"&lt;&gt;TTM")</f>
        <v>188885000</v>
      </c>
      <c r="F42" s="53">
        <f>SUMIFS(IncomeStatement[EBITDA],IncomeStatement[Ticker],$B$1,IncomeStatement[Year],F2,IncomeStatement[periodType],"&lt;&gt;TTM")</f>
        <v>354188000</v>
      </c>
      <c r="G42" s="53">
        <f>SUMIFS(IncomeStatement[EBITDA],IncomeStatement[Ticker],$B$1,IncomeStatement[Year],G2,IncomeStatement[periodType],"&lt;&gt;TTM")</f>
        <v>346987000</v>
      </c>
      <c r="H42" s="53">
        <f>SUMIFS(IncomeStatement[EBITDA],IncomeStatement[Ticker],$B$1,IncomeStatement[Year],H2,IncomeStatement[periodType],"&lt;&gt;TTM")</f>
        <v>291889000</v>
      </c>
      <c r="I42" s="96">
        <f>I41+I39+I38</f>
        <v>348835252.30978096</v>
      </c>
      <c r="J42" s="96">
        <f>J41+J39+J38</f>
        <v>385724958.35568398</v>
      </c>
      <c r="K42" s="96">
        <f>K41+K39+K38</f>
        <v>414208464.75030446</v>
      </c>
      <c r="L42" s="96">
        <f>L41+L39+L38</f>
        <v>431579160.32043904</v>
      </c>
      <c r="M42" s="96">
        <f>M41+M39+M38</f>
        <v>422137540.12507111</v>
      </c>
    </row>
    <row r="43" spans="1:14" ht="15" outlineLevel="1" thickTop="1" x14ac:dyDescent="0.35">
      <c r="A43" s="3"/>
      <c r="B43" s="3"/>
      <c r="C43" s="3"/>
      <c r="D43" s="3"/>
      <c r="E43" s="90"/>
      <c r="F43" s="90"/>
      <c r="G43" s="90"/>
      <c r="H43" s="90"/>
      <c r="I43" s="97"/>
      <c r="J43" s="97"/>
      <c r="K43" s="97"/>
      <c r="L43" s="97"/>
      <c r="M43" s="97"/>
    </row>
    <row r="44" spans="1:14" outlineLevel="1" x14ac:dyDescent="0.35">
      <c r="A44" s="7" t="s">
        <v>522</v>
      </c>
      <c r="E44" s="91">
        <f t="shared" ref="E44:M44" si="11">E45/E41</f>
        <v>0.23871726324533335</v>
      </c>
      <c r="F44" s="91">
        <f t="shared" si="11"/>
        <v>0.2455478083226007</v>
      </c>
      <c r="G44" s="91">
        <f t="shared" si="11"/>
        <v>0.2400494245738026</v>
      </c>
      <c r="H44" s="91">
        <f t="shared" si="11"/>
        <v>0.23960029735663779</v>
      </c>
      <c r="I44" s="98">
        <f t="shared" si="11"/>
        <v>0.24124999999999999</v>
      </c>
      <c r="J44" s="98">
        <f t="shared" si="11"/>
        <v>0.24124999999999999</v>
      </c>
      <c r="K44" s="98">
        <f t="shared" si="11"/>
        <v>0.24124999999999999</v>
      </c>
      <c r="L44" s="98">
        <f t="shared" si="11"/>
        <v>0.24125000000000002</v>
      </c>
      <c r="M44" s="98">
        <f t="shared" si="11"/>
        <v>0.24124999999999999</v>
      </c>
    </row>
    <row r="45" spans="1:14" outlineLevel="1" x14ac:dyDescent="0.35">
      <c r="A45" t="s">
        <v>521</v>
      </c>
      <c r="E45" s="10">
        <f>SUMIFS(IncomeStatement[TaxProvision],IncomeStatement[Ticker],$B$1,IncomeStatement[Year],E$2,IncomeStatement[periodType],"&lt;&gt;TTM")</f>
        <v>40808000</v>
      </c>
      <c r="F45" s="10">
        <f>SUMIFS(IncomeStatement[TaxProvision],IncomeStatement[Ticker],$B$1,IncomeStatement[Year],F$2,IncomeStatement[periodType],"&lt;&gt;TTM")</f>
        <v>82935000</v>
      </c>
      <c r="G45" s="10">
        <f>SUMIFS(IncomeStatement[TaxProvision],IncomeStatement[Ticker],$B$1,IncomeStatement[Year],G$2,IncomeStatement[periodType],"&lt;&gt;TTM")</f>
        <v>80430000</v>
      </c>
      <c r="H45" s="10">
        <f>SUMIFS(IncomeStatement[TaxProvision],IncomeStatement[Ticker],$B$1,IncomeStatement[Year],H$2,IncomeStatement[periodType],"&lt;&gt;TTM")</f>
        <v>69296000</v>
      </c>
      <c r="I45" s="85">
        <f>I41*I13</f>
        <v>78262199.747730091</v>
      </c>
      <c r="J45" s="85">
        <f>J41*J13</f>
        <v>86538512.202056423</v>
      </c>
      <c r="K45" s="85">
        <f>K41*K13</f>
        <v>92928869.404234841</v>
      </c>
      <c r="L45" s="85">
        <f>L41*L13</f>
        <v>96826035.29405041</v>
      </c>
      <c r="M45" s="85">
        <f>M41*M13</f>
        <v>94707780.442284748</v>
      </c>
    </row>
    <row r="46" spans="1:14" ht="15" outlineLevel="1" thickBot="1" x14ac:dyDescent="0.4">
      <c r="A46" s="52" t="s">
        <v>478</v>
      </c>
      <c r="B46" s="52"/>
      <c r="C46" s="52"/>
      <c r="D46" s="52"/>
      <c r="E46" s="53">
        <f>SUMIFS(IncomeStatement[NetIncome],IncomeStatement[Ticker],$B$1,IncomeStatement[Year],E$2,IncomeStatement[periodType],"&lt;&gt;TTM")</f>
        <v>130139000</v>
      </c>
      <c r="F46" s="53">
        <f>SUMIFS(IncomeStatement[NetIncome],IncomeStatement[Ticker],$B$1,IncomeStatement[Year],F$2,IncomeStatement[periodType],"&lt;&gt;TTM")</f>
        <v>254820000</v>
      </c>
      <c r="G46" s="53">
        <f>SUMIFS(IncomeStatement[NetIncome],IncomeStatement[Ticker],$B$1,IncomeStatement[Year],G$2,IncomeStatement[periodType],"&lt;&gt;TTM")</f>
        <v>254626000</v>
      </c>
      <c r="H46" s="53">
        <f>SUMIFS(IncomeStatement[NetIncome],IncomeStatement[Ticker],$B$1,IncomeStatement[Year],H$2,IncomeStatement[periodType],"&lt;&gt;TTM")</f>
        <v>219919000</v>
      </c>
      <c r="I46" s="96">
        <f>I41-I45</f>
        <v>246140700.76099569</v>
      </c>
      <c r="J46" s="96">
        <f>J41-J45</f>
        <v>272170346.66657126</v>
      </c>
      <c r="K46" s="96">
        <f>K41-K45</f>
        <v>292268516.72730857</v>
      </c>
      <c r="L46" s="96">
        <f>L41-L45</f>
        <v>304525406.33931917</v>
      </c>
      <c r="M46" s="96">
        <f>M41-M45</f>
        <v>297863330.19931006</v>
      </c>
      <c r="N46" s="86">
        <f>STDEV(E47:M47)</f>
        <v>1.4405582273747193E-2</v>
      </c>
    </row>
    <row r="47" spans="1:14" ht="15" outlineLevel="1" thickTop="1" x14ac:dyDescent="0.35">
      <c r="A47" s="7" t="s">
        <v>524</v>
      </c>
      <c r="D47" s="99">
        <f>STDEV(E47:H47)</f>
        <v>2.3179418211257692E-2</v>
      </c>
      <c r="E47" s="78">
        <f>E46/E31</f>
        <v>0.14439384962242505</v>
      </c>
      <c r="F47" s="78">
        <f t="shared" ref="F47:M47" si="12">F46/F31</f>
        <v>0.19683193432447066</v>
      </c>
      <c r="G47" s="78">
        <f t="shared" si="12"/>
        <v>0.1892866939689426</v>
      </c>
      <c r="H47" s="78">
        <f t="shared" si="12"/>
        <v>0.1743863700160653</v>
      </c>
      <c r="I47" s="70">
        <f t="shared" si="12"/>
        <v>0.17156214255209373</v>
      </c>
      <c r="J47" s="70">
        <f t="shared" si="12"/>
        <v>0.17156214255209373</v>
      </c>
      <c r="K47" s="70">
        <f t="shared" si="12"/>
        <v>0.17156214255209368</v>
      </c>
      <c r="L47" s="70">
        <f t="shared" si="12"/>
        <v>0.17156214255209373</v>
      </c>
      <c r="M47" s="70">
        <f t="shared" si="12"/>
        <v>0.17156214255209365</v>
      </c>
      <c r="N47" s="86">
        <f>STDEV(I47:M47)</f>
        <v>5.0037075531084012E-17</v>
      </c>
    </row>
    <row r="48" spans="1:14" outlineLevel="1" x14ac:dyDescent="0.35">
      <c r="A48" s="7" t="s">
        <v>525</v>
      </c>
      <c r="E48" s="78" t="str">
        <f>IFERROR((E46-D46)/D46,"")</f>
        <v/>
      </c>
      <c r="F48" s="78">
        <f t="shared" ref="F48:M48" si="13">IFERROR((F46-E46)/E46,"")</f>
        <v>0.95806022791015755</v>
      </c>
      <c r="G48" s="78">
        <f t="shared" si="13"/>
        <v>-7.6132171729063653E-4</v>
      </c>
      <c r="H48" s="78">
        <f t="shared" si="13"/>
        <v>-0.13630579752264105</v>
      </c>
      <c r="I48" s="78">
        <f t="shared" si="13"/>
        <v>0.11923344850147412</v>
      </c>
      <c r="J48" s="78">
        <f t="shared" si="13"/>
        <v>0.10575108393329284</v>
      </c>
      <c r="K48" s="78">
        <f t="shared" si="13"/>
        <v>7.3844084437894517E-2</v>
      </c>
      <c r="L48" s="78">
        <f t="shared" si="13"/>
        <v>4.1937084942496497E-2</v>
      </c>
      <c r="M48" s="78">
        <f t="shared" si="13"/>
        <v>-2.1876914048300618E-2</v>
      </c>
    </row>
    <row r="49" spans="1:14" x14ac:dyDescent="0.35">
      <c r="A49" s="7"/>
      <c r="E49" s="78"/>
      <c r="F49" s="78"/>
      <c r="G49" s="78"/>
      <c r="H49" s="78"/>
      <c r="I49" s="78"/>
      <c r="J49" s="78"/>
      <c r="K49" s="78"/>
      <c r="L49" s="78"/>
      <c r="M49" s="78"/>
    </row>
    <row r="50" spans="1:14" x14ac:dyDescent="0.35">
      <c r="A50" s="2" t="s">
        <v>6</v>
      </c>
      <c r="B50" s="2"/>
      <c r="C50" s="2"/>
      <c r="D50" s="2"/>
      <c r="E50" s="11"/>
      <c r="F50" s="11"/>
      <c r="G50" s="11"/>
      <c r="H50" s="11"/>
      <c r="I50" s="11"/>
      <c r="J50" s="11"/>
      <c r="K50" s="11"/>
      <c r="L50" s="11"/>
      <c r="M50" s="11"/>
    </row>
    <row r="51" spans="1:14" hidden="1" outlineLevel="1" x14ac:dyDescent="0.35">
      <c r="A51" s="3" t="s">
        <v>36</v>
      </c>
      <c r="E51" s="79">
        <f>E53/E42</f>
        <v>1.6877412182015512</v>
      </c>
      <c r="F51" s="79">
        <f>F53/F42</f>
        <v>0.71704857307418657</v>
      </c>
      <c r="G51" s="79">
        <f>G53/G42</f>
        <v>0.72647390248049637</v>
      </c>
      <c r="H51" s="79">
        <f>H53/H42</f>
        <v>0.9188869741579847</v>
      </c>
      <c r="L51" s="10"/>
      <c r="M51" s="10"/>
    </row>
    <row r="52" spans="1:14" hidden="1" outlineLevel="1" x14ac:dyDescent="0.35">
      <c r="A52" s="3" t="s">
        <v>526</v>
      </c>
      <c r="E52" s="10">
        <f>SUMIFS(BalanceSheet[CurrentAssets],BalanceSheet[Ticker],$B$1,BalanceSheet[Year],E$2,BalanceSheet[periodType],"&lt;&gt;TTM")</f>
        <v>437224000</v>
      </c>
      <c r="F52" s="10">
        <f>SUMIFS(BalanceSheet[CurrentAssets],BalanceSheet[Ticker],$B$1,BalanceSheet[Year],F$2,BalanceSheet[periodType],"&lt;&gt;TTM")</f>
        <v>391206000</v>
      </c>
      <c r="G52" s="10">
        <f>SUMIFS(BalanceSheet[CurrentAssets],BalanceSheet[Ticker],$B$1,BalanceSheet[Year],G$2,BalanceSheet[periodType],"&lt;&gt;TTM")</f>
        <v>423336000</v>
      </c>
      <c r="H52" s="10">
        <f>SUMIFS(BalanceSheet[CurrentAssets],BalanceSheet[Ticker],$B$1,BalanceSheet[Year],H$2,BalanceSheet[periodType],"&lt;&gt;TTM")</f>
        <v>444256000</v>
      </c>
      <c r="L52" s="10"/>
      <c r="M52" s="10"/>
    </row>
    <row r="53" spans="1:14" hidden="1" outlineLevel="1" x14ac:dyDescent="0.35">
      <c r="A53" t="s">
        <v>37</v>
      </c>
      <c r="E53" s="10">
        <f>SUMIFS(BalanceSheet[CashAndCashEquivalents],BalanceSheet[Ticker],$B$1,BalanceSheet[Year],E2,BalanceSheet[periodType],"&lt;&gt;TTM")</f>
        <v>318789000</v>
      </c>
      <c r="F53" s="10">
        <f>SUMIFS(BalanceSheet[CashAndCashEquivalents],BalanceSheet[Ticker],$B$1,BalanceSheet[Year],F2,BalanceSheet[periodType],"&lt;&gt;TTM")</f>
        <v>253970000</v>
      </c>
      <c r="G53" s="10">
        <f>SUMIFS(BalanceSheet[CashAndCashEquivalents],BalanceSheet[Ticker],$B$1,BalanceSheet[Year],G2,BalanceSheet[periodType],"&lt;&gt;TTM")</f>
        <v>252077000</v>
      </c>
      <c r="H53" s="10">
        <f>SUMIFS(BalanceSheet[CashAndCashEquivalents],BalanceSheet[Ticker],$B$1,BalanceSheet[Year],H2,BalanceSheet[periodType],"&lt;&gt;TTM")</f>
        <v>268213000</v>
      </c>
      <c r="I53" s="85">
        <f>I138</f>
        <v>756178152.61339355</v>
      </c>
      <c r="J53" s="85">
        <f>J138</f>
        <v>1293995964.4262612</v>
      </c>
      <c r="K53" s="85">
        <f>K138</f>
        <v>1839997327.9951587</v>
      </c>
      <c r="L53" s="85">
        <f>L138</f>
        <v>2420134968.1999798</v>
      </c>
      <c r="M53" s="85">
        <f>M138</f>
        <v>2999606720.9939928</v>
      </c>
      <c r="N53" t="s">
        <v>135</v>
      </c>
    </row>
    <row r="54" spans="1:14" hidden="1" outlineLevel="1" x14ac:dyDescent="0.35">
      <c r="A54" t="s">
        <v>38</v>
      </c>
      <c r="E54" s="10">
        <f>SUMIFS(BalanceSheet[AccountsReceivable],BalanceSheet[Ticker],$B$1,BalanceSheet[Year],E2,BalanceSheet[periodType],"&lt;&gt;TTM")</f>
        <v>2823000</v>
      </c>
      <c r="F54" s="10">
        <f>SUMIFS(BalanceSheet[AccountsReceivable],BalanceSheet[Ticker],$B$1,BalanceSheet[Year],F2,BalanceSheet[periodType],"&lt;&gt;TTM")</f>
        <v>12087000</v>
      </c>
      <c r="G54" s="10">
        <f>SUMIFS(BalanceSheet[AccountsReceivable],BalanceSheet[Ticker],$B$1,BalanceSheet[Year],G2,BalanceSheet[periodType],"&lt;&gt;TTM")</f>
        <v>12648000</v>
      </c>
      <c r="H54" s="10">
        <f>SUMIFS(BalanceSheet[AccountsReceivable],BalanceSheet[Ticker],$B$1,BalanceSheet[Year],H2,BalanceSheet[periodType],"&lt;&gt;TTM")</f>
        <v>8697000</v>
      </c>
      <c r="I54" s="85">
        <f t="shared" ref="I54:M55" si="14">I145</f>
        <v>10318168.880407248</v>
      </c>
      <c r="J54" s="85">
        <f t="shared" si="14"/>
        <v>11409326.423717083</v>
      </c>
      <c r="K54" s="85">
        <f t="shared" si="14"/>
        <v>12251837.687529553</v>
      </c>
      <c r="L54" s="85">
        <f t="shared" si="14"/>
        <v>12765644.045333156</v>
      </c>
      <c r="M54" s="85">
        <f t="shared" si="14"/>
        <v>12486371.147782207</v>
      </c>
      <c r="N54" s="55" t="s">
        <v>133</v>
      </c>
    </row>
    <row r="55" spans="1:14" hidden="1" outlineLevel="1" x14ac:dyDescent="0.35">
      <c r="A55" t="s">
        <v>39</v>
      </c>
      <c r="E55" s="10">
        <f>SUMIFS(BalanceSheet[Inventory],BalanceSheet[Ticker],$B$1,BalanceSheet[Year],E2,BalanceSheet[periodType],"&lt;&gt;TTM")</f>
        <v>101063000</v>
      </c>
      <c r="F55" s="10">
        <f>SUMIFS(BalanceSheet[Inventory],BalanceSheet[Ticker],$B$1,BalanceSheet[Year],F2,BalanceSheet[periodType],"&lt;&gt;TTM")</f>
        <v>102095000</v>
      </c>
      <c r="G55" s="10">
        <f>SUMIFS(BalanceSheet[Inventory],BalanceSheet[Ticker],$B$1,BalanceSheet[Year],G2,BalanceSheet[periodType],"&lt;&gt;TTM")</f>
        <v>125134000</v>
      </c>
      <c r="H55" s="10">
        <f>SUMIFS(BalanceSheet[Inventory],BalanceSheet[Ticker],$B$1,BalanceSheet[Year],H2,BalanceSheet[periodType],"&lt;&gt;TTM")</f>
        <v>126290000</v>
      </c>
      <c r="I55" s="85">
        <f t="shared" si="14"/>
        <v>137400464.07402411</v>
      </c>
      <c r="J55" s="85">
        <f t="shared" si="14"/>
        <v>151930712.08278963</v>
      </c>
      <c r="K55" s="85">
        <f t="shared" si="14"/>
        <v>163149896.41454062</v>
      </c>
      <c r="L55" s="85">
        <f t="shared" si="14"/>
        <v>169991927.47883666</v>
      </c>
      <c r="M55" s="85">
        <f t="shared" si="14"/>
        <v>166273028.69247729</v>
      </c>
      <c r="N55" s="55" t="s">
        <v>133</v>
      </c>
    </row>
    <row r="56" spans="1:14" hidden="1" outlineLevel="1" x14ac:dyDescent="0.35">
      <c r="A56" t="s">
        <v>530</v>
      </c>
      <c r="E56" s="10">
        <f>SUMIFS(BalanceSheet[OtherReceivables],BalanceSheet[Ticker],$B$1,BalanceSheet[Year],E$2,BalanceSheet[periodType],"&lt;&gt;TTM")</f>
        <v>0</v>
      </c>
      <c r="F56" s="10">
        <f>SUMIFS(BalanceSheet[OtherReceivables],BalanceSheet[Ticker],$B$1,BalanceSheet[Year],F$2,BalanceSheet[periodType],"&lt;&gt;TTM")</f>
        <v>0</v>
      </c>
      <c r="G56" s="10">
        <f>SUMIFS(BalanceSheet[OtherReceivables],BalanceSheet[Ticker],$B$1,BalanceSheet[Year],G$2,BalanceSheet[periodType],"&lt;&gt;TTM")</f>
        <v>0</v>
      </c>
      <c r="H56" s="10">
        <f>SUMIFS(BalanceSheet[OtherReceivables],BalanceSheet[Ticker],$B$1,BalanceSheet[Year],H$2,BalanceSheet[periodType],"&lt;&gt;TTM")</f>
        <v>0</v>
      </c>
      <c r="I56" s="65">
        <f>AVERAGE($E56:$H56)</f>
        <v>0</v>
      </c>
      <c r="J56" s="65">
        <f t="shared" ref="J56:M58" si="15">AVERAGE($E56:$H56)</f>
        <v>0</v>
      </c>
      <c r="K56" s="65">
        <f t="shared" si="15"/>
        <v>0</v>
      </c>
      <c r="L56" s="65">
        <f t="shared" si="15"/>
        <v>0</v>
      </c>
      <c r="M56" s="65">
        <f t="shared" si="15"/>
        <v>0</v>
      </c>
    </row>
    <row r="57" spans="1:14" hidden="1" outlineLevel="1" x14ac:dyDescent="0.35">
      <c r="A57" t="s">
        <v>494</v>
      </c>
      <c r="E57" s="10">
        <f>SUMIFS(BalanceSheet[OtherShortTermInvestments],BalanceSheet[Ticker],$B$1,BalanceSheet[Year],E$2,BalanceSheet[periodType],"&lt;&gt;TTM")</f>
        <v>3359000</v>
      </c>
      <c r="F57" s="10">
        <f>SUMIFS(BalanceSheet[OtherShortTermInvestments],BalanceSheet[Ticker],$B$1,BalanceSheet[Year],F$2,BalanceSheet[periodType],"&lt;&gt;TTM")</f>
        <v>12926000</v>
      </c>
      <c r="G57" s="10">
        <f>SUMIFS(BalanceSheet[OtherShortTermInvestments],BalanceSheet[Ticker],$B$1,BalanceSheet[Year],G$2,BalanceSheet[periodType],"&lt;&gt;TTM")</f>
        <v>20997000</v>
      </c>
      <c r="H57" s="10">
        <f>SUMIFS(BalanceSheet[OtherShortTermInvestments],BalanceSheet[Ticker],$B$1,BalanceSheet[Year],H$2,BalanceSheet[periodType],"&lt;&gt;TTM")</f>
        <v>22210000</v>
      </c>
      <c r="I57" s="65">
        <f>AVERAGE($E57:$H57)</f>
        <v>14873000</v>
      </c>
      <c r="J57" s="65">
        <f t="shared" si="15"/>
        <v>14873000</v>
      </c>
      <c r="K57" s="65">
        <f t="shared" si="15"/>
        <v>14873000</v>
      </c>
      <c r="L57" s="65">
        <f t="shared" si="15"/>
        <v>14873000</v>
      </c>
      <c r="M57" s="65">
        <f t="shared" si="15"/>
        <v>14873000</v>
      </c>
    </row>
    <row r="58" spans="1:14" hidden="1" outlineLevel="1" x14ac:dyDescent="0.35">
      <c r="A58" t="s">
        <v>492</v>
      </c>
      <c r="E58" s="48">
        <f>SUMIFS(BalanceSheet[OtherCurrentAssets],BalanceSheet[Ticker],$B$1,BalanceSheet[Year],E$2,BalanceSheet[periodType],"&lt;&gt;TTM")</f>
        <v>11190000</v>
      </c>
      <c r="F58" s="48">
        <f>SUMIFS(BalanceSheet[OtherCurrentAssets],BalanceSheet[Ticker],$B$1,BalanceSheet[Year],F$2,BalanceSheet[periodType],"&lt;&gt;TTM")</f>
        <v>10128000</v>
      </c>
      <c r="G58" s="48">
        <f>SUMIFS(BalanceSheet[OtherCurrentAssets],BalanceSheet[Ticker],$B$1,BalanceSheet[Year],G$2,BalanceSheet[periodType],"&lt;&gt;TTM")</f>
        <v>12480000</v>
      </c>
      <c r="H58" s="48">
        <f>SUMIFS(BalanceSheet[OtherCurrentAssets],BalanceSheet[Ticker],$B$1,BalanceSheet[Year],H$2,BalanceSheet[periodType],"&lt;&gt;TTM")</f>
        <v>18846000</v>
      </c>
      <c r="I58" s="48">
        <f>AVERAGE($E58:$H58)</f>
        <v>13161000</v>
      </c>
      <c r="J58" s="48">
        <f t="shared" si="15"/>
        <v>13161000</v>
      </c>
      <c r="K58" s="48">
        <f t="shared" si="15"/>
        <v>13161000</v>
      </c>
      <c r="L58" s="48">
        <f t="shared" si="15"/>
        <v>13161000</v>
      </c>
      <c r="M58" s="48">
        <f t="shared" si="15"/>
        <v>13161000</v>
      </c>
    </row>
    <row r="59" spans="1:14" hidden="1" outlineLevel="1" x14ac:dyDescent="0.35">
      <c r="A59" s="102" t="s">
        <v>508</v>
      </c>
      <c r="B59" s="102"/>
      <c r="C59" s="102"/>
      <c r="D59" s="102"/>
      <c r="E59" s="103">
        <f t="shared" ref="E59:M59" si="16">SUM(E53:E58)</f>
        <v>437224000</v>
      </c>
      <c r="F59" s="103">
        <f t="shared" si="16"/>
        <v>391206000</v>
      </c>
      <c r="G59" s="103">
        <f t="shared" si="16"/>
        <v>423336000</v>
      </c>
      <c r="H59" s="103">
        <f t="shared" si="16"/>
        <v>444256000</v>
      </c>
      <c r="I59" s="103">
        <f t="shared" si="16"/>
        <v>931930785.56782484</v>
      </c>
      <c r="J59" s="103">
        <f t="shared" si="16"/>
        <v>1485370002.9327679</v>
      </c>
      <c r="K59" s="103">
        <f t="shared" si="16"/>
        <v>2043433062.0972288</v>
      </c>
      <c r="L59" s="103">
        <f t="shared" si="16"/>
        <v>2630926539.7241497</v>
      </c>
      <c r="M59" s="103">
        <f t="shared" si="16"/>
        <v>3206400120.8342524</v>
      </c>
    </row>
    <row r="60" spans="1:14" hidden="1" outlineLevel="1" x14ac:dyDescent="0.35">
      <c r="A60" t="s">
        <v>40</v>
      </c>
      <c r="E60" s="10">
        <f>SUMIFS(BalanceSheet[GrossPPE],BalanceSheet[Ticker],$B$1,BalanceSheet[Year],E2,BalanceSheet[periodType],"&lt;&gt;TTM")</f>
        <v>730715000</v>
      </c>
      <c r="F60" s="10">
        <f>SUMIFS(BalanceSheet[GrossPPE],BalanceSheet[Ticker],$B$1,BalanceSheet[Year],F2,BalanceSheet[periodType],"&lt;&gt;TTM")</f>
        <v>712142000</v>
      </c>
      <c r="G60" s="10">
        <f>SUMIFS(BalanceSheet[GrossPPE],BalanceSheet[Ticker],$B$1,BalanceSheet[Year],G2,BalanceSheet[periodType],"&lt;&gt;TTM")</f>
        <v>737742000</v>
      </c>
      <c r="H60" s="10">
        <f>SUMIFS(BalanceSheet[GrossPPE],BalanceSheet[Ticker],$B$1,BalanceSheet[Year],H2,BalanceSheet[periodType],"&lt;&gt;TTM")</f>
        <v>769850000</v>
      </c>
      <c r="I60" s="85">
        <f>I156</f>
        <v>776212923.24925244</v>
      </c>
      <c r="J60" s="85">
        <f>J156</f>
        <v>785263996.46563387</v>
      </c>
      <c r="K60" s="85">
        <f>K156</f>
        <v>796279542.60385752</v>
      </c>
      <c r="L60" s="85">
        <f>L156</f>
        <v>808345550.51051402</v>
      </c>
      <c r="M60" s="85">
        <f>M156</f>
        <v>819355816.23568141</v>
      </c>
      <c r="N60" s="55" t="s">
        <v>133</v>
      </c>
    </row>
    <row r="61" spans="1:14" hidden="1" outlineLevel="1" x14ac:dyDescent="0.35">
      <c r="A61" t="s">
        <v>529</v>
      </c>
      <c r="E61" s="10">
        <f>SUMIFS(BalanceSheet[AccumulatedDepreciation],BalanceSheet[Ticker],$B$1,BalanceSheet[Year],E$2,BalanceSheet[periodType],"&lt;&gt;TTM")</f>
        <v>-350942000</v>
      </c>
      <c r="F61" s="10">
        <f>SUMIFS(BalanceSheet[AccumulatedDepreciation],BalanceSheet[Ticker],$B$1,BalanceSheet[Year],F$2,BalanceSheet[periodType],"&lt;&gt;TTM")</f>
        <v>-352724000</v>
      </c>
      <c r="G61" s="10">
        <f>SUMIFS(BalanceSheet[AccumulatedDepreciation],BalanceSheet[Ticker],$B$1,BalanceSheet[Year],G$2,BalanceSheet[periodType],"&lt;&gt;TTM")</f>
        <v>-353919000</v>
      </c>
      <c r="H61" s="10">
        <f>SUMIFS(BalanceSheet[AccumulatedDepreciation],BalanceSheet[Ticker],$B$1,BalanceSheet[Year],H$2,BalanceSheet[periodType],"&lt;&gt;TTM")</f>
        <v>-360200000</v>
      </c>
      <c r="I61" s="10">
        <f>AVERAGE($E$61:$H$61)</f>
        <v>-354446250</v>
      </c>
      <c r="J61" s="10">
        <f>AVERAGE($E$61:$H$61)</f>
        <v>-354446250</v>
      </c>
      <c r="K61" s="10">
        <f>AVERAGE($E$61:$H$61)</f>
        <v>-354446250</v>
      </c>
      <c r="L61" s="10">
        <f>AVERAGE($E$61:$H$61)</f>
        <v>-354446250</v>
      </c>
      <c r="M61" s="10">
        <f>AVERAGE($E$61:$H$61)</f>
        <v>-354446250</v>
      </c>
    </row>
    <row r="62" spans="1:14" hidden="1" outlineLevel="1" x14ac:dyDescent="0.35">
      <c r="A62" t="s">
        <v>238</v>
      </c>
      <c r="E62" s="10">
        <f>SUMIFS(BalanceSheet[GoodwillAndOtherIntangibleAssets],BalanceSheet[Ticker],$B$1,BalanceSheet[Year],E$2,BalanceSheet[periodType],"&lt;&gt;TTM")</f>
        <v>0</v>
      </c>
      <c r="F62" s="10">
        <f>SUMIFS(BalanceSheet[GoodwillAndOtherIntangibleAssets],BalanceSheet[Ticker],$B$1,BalanceSheet[Year],F$2,BalanceSheet[periodType],"&lt;&gt;TTM")</f>
        <v>0</v>
      </c>
      <c r="G62" s="10">
        <f>SUMIFS(BalanceSheet[GoodwillAndOtherIntangibleAssets],BalanceSheet[Ticker],$B$1,BalanceSheet[Year],G$2,BalanceSheet[periodType],"&lt;&gt;TTM")</f>
        <v>0</v>
      </c>
      <c r="H62" s="10">
        <f>SUMIFS(BalanceSheet[GoodwillAndOtherIntangibleAssets],BalanceSheet[Ticker],$B$1,BalanceSheet[Year],H$2,BalanceSheet[periodType],"&lt;&gt;TTM")</f>
        <v>0</v>
      </c>
      <c r="I62" s="10">
        <f>AVERAGE($E$62:$H$62)</f>
        <v>0</v>
      </c>
      <c r="J62" s="10">
        <f>AVERAGE($E$62:$H$62)</f>
        <v>0</v>
      </c>
      <c r="K62" s="10">
        <f>AVERAGE($E$62:$H$62)</f>
        <v>0</v>
      </c>
      <c r="L62" s="10">
        <f>AVERAGE($E$62:$H$62)</f>
        <v>0</v>
      </c>
      <c r="M62" s="10">
        <f>AVERAGE($E$62:$H$62)</f>
        <v>0</v>
      </c>
    </row>
    <row r="63" spans="1:14" hidden="1" outlineLevel="1" x14ac:dyDescent="0.35">
      <c r="A63" t="s">
        <v>547</v>
      </c>
      <c r="E63" s="10">
        <f>SUMIFS(BalanceSheet[InvestmentsAndAdvances],BalanceSheet[Ticker],$B$1,BalanceSheet[Year],E$2,BalanceSheet[periodType],"&lt;&gt;TTM")</f>
        <v>18320000</v>
      </c>
      <c r="F63" s="10">
        <f>SUMIFS(BalanceSheet[InvestmentsAndAdvances],BalanceSheet[Ticker],$B$1,BalanceSheet[Year],F$2,BalanceSheet[periodType],"&lt;&gt;TTM")</f>
        <v>19352000</v>
      </c>
      <c r="G63" s="10">
        <f>SUMIFS(BalanceSheet[InvestmentsAndAdvances],BalanceSheet[Ticker],$B$1,BalanceSheet[Year],G$2,BalanceSheet[periodType],"&lt;&gt;TTM")</f>
        <v>20624000</v>
      </c>
      <c r="H63" s="10">
        <f>SUMIFS(BalanceSheet[InvestmentsAndAdvances],BalanceSheet[Ticker],$B$1,BalanceSheet[Year],H$2,BalanceSheet[periodType],"&lt;&gt;TTM")</f>
        <v>24993000</v>
      </c>
      <c r="I63" s="10">
        <f>AVERAGE($E$63:$H$63)</f>
        <v>20822250</v>
      </c>
      <c r="J63" s="10">
        <f>AVERAGE($E$63:$H$63)</f>
        <v>20822250</v>
      </c>
      <c r="K63" s="10">
        <f>AVERAGE($E$63:$H$63)</f>
        <v>20822250</v>
      </c>
      <c r="L63" s="10">
        <f>AVERAGE($E$63:$H$63)</f>
        <v>20822250</v>
      </c>
      <c r="M63" s="10">
        <f>AVERAGE($E$63:$H$63)</f>
        <v>20822250</v>
      </c>
    </row>
    <row r="64" spans="1:14" hidden="1" outlineLevel="1" x14ac:dyDescent="0.35">
      <c r="A64" t="s">
        <v>546</v>
      </c>
      <c r="E64" s="10">
        <f>SUMIFS(BalanceSheet[NonCurrentDeferredAssets],BalanceSheet[Ticker],$B$1,BalanceSheet[Year],E$2,BalanceSheet[periodType],"&lt;&gt;TTM")</f>
        <v>0</v>
      </c>
      <c r="F64" s="10">
        <f>SUMIFS(BalanceSheet[NonCurrentDeferredAssets],BalanceSheet[Ticker],$B$1,BalanceSheet[Year],F$2,BalanceSheet[periodType],"&lt;&gt;TTM")</f>
        <v>0</v>
      </c>
      <c r="G64" s="10">
        <f>SUMIFS(BalanceSheet[NonCurrentDeferredAssets],BalanceSheet[Ticker],$B$1,BalanceSheet[Year],G$2,BalanceSheet[periodType],"&lt;&gt;TTM")</f>
        <v>0</v>
      </c>
      <c r="H64" s="10">
        <f>SUMIFS(BalanceSheet[NonCurrentDeferredAssets],BalanceSheet[Ticker],$B$1,BalanceSheet[Year],H$2,BalanceSheet[periodType],"&lt;&gt;TTM")</f>
        <v>0</v>
      </c>
      <c r="I64" s="10">
        <f>AVERAGE($E$64:$H$64)</f>
        <v>0</v>
      </c>
      <c r="J64" s="10">
        <f>AVERAGE($E$64:$H$64)</f>
        <v>0</v>
      </c>
      <c r="K64" s="10">
        <f>AVERAGE($E$64:$H$64)</f>
        <v>0</v>
      </c>
      <c r="L64" s="10">
        <f>AVERAGE($E$64:$H$64)</f>
        <v>0</v>
      </c>
      <c r="M64" s="10">
        <f>AVERAGE($E$64:$H$64)</f>
        <v>0</v>
      </c>
    </row>
    <row r="65" spans="1:14" hidden="1" outlineLevel="1" x14ac:dyDescent="0.35">
      <c r="A65" t="s">
        <v>528</v>
      </c>
      <c r="E65" s="48">
        <f>SUMIFS(BalanceSheet[OtherNonCurrentAssets],BalanceSheet[Ticker],$B$1,BalanceSheet[Year],E$2,BalanceSheet[periodType],"&lt;&gt;TTM")</f>
        <v>10497000</v>
      </c>
      <c r="F65" s="48">
        <f>SUMIFS(BalanceSheet[OtherNonCurrentAssets],BalanceSheet[Ticker],$B$1,BalanceSheet[Year],F$2,BalanceSheet[periodType],"&lt;&gt;TTM")</f>
        <v>10908000</v>
      </c>
      <c r="G65" s="48">
        <f>SUMIFS(BalanceSheet[OtherNonCurrentAssets],BalanceSheet[Ticker],$B$1,BalanceSheet[Year],G$2,BalanceSheet[periodType],"&lt;&gt;TTM")</f>
        <v>9796000</v>
      </c>
      <c r="H65" s="48">
        <f>SUMIFS(BalanceSheet[OtherNonCurrentAssets],BalanceSheet[Ticker],$B$1,BalanceSheet[Year],H$2,BalanceSheet[periodType],"&lt;&gt;TTM")</f>
        <v>10911000</v>
      </c>
      <c r="I65" s="48">
        <f>AVERAGE($E$65:$H$65)</f>
        <v>10528000</v>
      </c>
      <c r="J65" s="48">
        <f>AVERAGE($E$65:$H$65)</f>
        <v>10528000</v>
      </c>
      <c r="K65" s="48">
        <f>AVERAGE($E$65:$H$65)</f>
        <v>10528000</v>
      </c>
      <c r="L65" s="48">
        <f>AVERAGE($E$65:$H$65)</f>
        <v>10528000</v>
      </c>
      <c r="M65" s="48">
        <f>AVERAGE($E$65:$H$65)</f>
        <v>10528000</v>
      </c>
    </row>
    <row r="66" spans="1:14" ht="15" hidden="1" outlineLevel="1" thickBot="1" x14ac:dyDescent="0.4">
      <c r="A66" s="6" t="s">
        <v>41</v>
      </c>
      <c r="B66" s="6"/>
      <c r="C66" s="6"/>
      <c r="D66" s="6"/>
      <c r="E66" s="15">
        <f t="shared" ref="E66:M66" si="17">E59+SUM(E60:E65)</f>
        <v>845814000</v>
      </c>
      <c r="F66" s="15">
        <f t="shared" si="17"/>
        <v>780884000</v>
      </c>
      <c r="G66" s="15">
        <f t="shared" si="17"/>
        <v>837579000</v>
      </c>
      <c r="H66" s="15">
        <f t="shared" si="17"/>
        <v>889810000</v>
      </c>
      <c r="I66" s="15">
        <f t="shared" si="17"/>
        <v>1385047708.8170772</v>
      </c>
      <c r="J66" s="15">
        <f t="shared" si="17"/>
        <v>1947537999.3984017</v>
      </c>
      <c r="K66" s="15">
        <f t="shared" si="17"/>
        <v>2516616604.701086</v>
      </c>
      <c r="L66" s="15">
        <f t="shared" si="17"/>
        <v>3116176090.234664</v>
      </c>
      <c r="M66" s="15">
        <f t="shared" si="17"/>
        <v>3702659937.0699339</v>
      </c>
    </row>
    <row r="67" spans="1:14" ht="15" hidden="1" outlineLevel="1" thickTop="1" x14ac:dyDescent="0.35">
      <c r="A67" s="3" t="s">
        <v>479</v>
      </c>
      <c r="B67" s="3"/>
      <c r="C67" s="3"/>
      <c r="D67" s="3"/>
      <c r="E67" s="54">
        <f>SUMIFS(BalanceSheet[TotalAssets],BalanceSheet[Ticker],$B$1,BalanceSheet[Year],E2,BalanceSheet[periodType],"&lt;&gt;TTM")</f>
        <v>845814000</v>
      </c>
      <c r="F67" s="54">
        <f>SUMIFS(BalanceSheet[TotalAssets],BalanceSheet[Ticker],$B$1,BalanceSheet[Year],F2,BalanceSheet[periodType],"&lt;&gt;TTM")</f>
        <v>780884000</v>
      </c>
      <c r="G67" s="54">
        <f>SUMIFS(BalanceSheet[TotalAssets],BalanceSheet[Ticker],$B$1,BalanceSheet[Year],G2,BalanceSheet[periodType],"&lt;&gt;TTM")</f>
        <v>837579000</v>
      </c>
      <c r="H67" s="54">
        <f>SUMIFS(BalanceSheet[TotalAssets],BalanceSheet[Ticker],$B$1,BalanceSheet[Year],H2,BalanceSheet[periodType],"&lt;&gt;TTM")</f>
        <v>889810000</v>
      </c>
      <c r="I67" s="54"/>
      <c r="J67" s="54"/>
      <c r="K67" s="54"/>
      <c r="L67" s="54"/>
      <c r="M67" s="54"/>
    </row>
    <row r="68" spans="1:14" hidden="1" outlineLevel="1" x14ac:dyDescent="0.35">
      <c r="E68" s="59"/>
      <c r="F68" s="59"/>
      <c r="G68" s="59"/>
      <c r="H68" s="59"/>
      <c r="I68" s="59"/>
      <c r="J68" s="59"/>
      <c r="K68" s="59"/>
      <c r="L68" s="59"/>
      <c r="M68" s="59"/>
    </row>
    <row r="69" spans="1:14" hidden="1" outlineLevel="1" x14ac:dyDescent="0.35">
      <c r="A69" s="3" t="s">
        <v>42</v>
      </c>
      <c r="E69" s="65"/>
      <c r="F69" s="65"/>
      <c r="G69" s="65"/>
      <c r="H69" s="65"/>
      <c r="L69" s="10"/>
      <c r="M69" s="10"/>
    </row>
    <row r="70" spans="1:14" hidden="1" outlineLevel="1" x14ac:dyDescent="0.35">
      <c r="A70" s="3" t="s">
        <v>527</v>
      </c>
      <c r="E70" s="10">
        <f>SUMIFS(BalanceSheet[CurrentLiabilities],BalanceSheet[Ticker],$B$1,BalanceSheet[Year],E$2,BalanceSheet[periodType],"&lt;&gt;TTM")</f>
        <v>206359000</v>
      </c>
      <c r="F70" s="10">
        <f>SUMIFS(BalanceSheet[CurrentLiabilities],BalanceSheet[Ticker],$B$1,BalanceSheet[Year],F$2,BalanceSheet[periodType],"&lt;&gt;TTM")</f>
        <v>248541000</v>
      </c>
      <c r="G70" s="10">
        <f>SUMIFS(BalanceSheet[CurrentLiabilities],BalanceSheet[Ticker],$B$1,BalanceSheet[Year],G$2,BalanceSheet[periodType],"&lt;&gt;TTM")</f>
        <v>226043000</v>
      </c>
      <c r="H70" s="10">
        <f>SUMIFS(BalanceSheet[CurrentLiabilities],BalanceSheet[Ticker],$B$1,BalanceSheet[Year],H$2,BalanceSheet[periodType],"&lt;&gt;TTM")</f>
        <v>221456000</v>
      </c>
      <c r="L70" s="10"/>
      <c r="M70" s="10"/>
    </row>
    <row r="71" spans="1:14" hidden="1" outlineLevel="1" x14ac:dyDescent="0.35">
      <c r="A71" s="55" t="s">
        <v>43</v>
      </c>
      <c r="E71" s="10">
        <f>SUMIFS(BalanceSheet[Payables],BalanceSheet[Ticker],$B$1,BalanceSheet[Year],E2,BalanceSheet[periodType],"&lt;&gt;TTM")</f>
        <v>54150000</v>
      </c>
      <c r="F71" s="10">
        <f>SUMIFS(BalanceSheet[Payables],BalanceSheet[Ticker],$B$1,BalanceSheet[Year],F2,BalanceSheet[periodType],"&lt;&gt;TTM")</f>
        <v>61479000</v>
      </c>
      <c r="G71" s="10">
        <f>SUMIFS(BalanceSheet[Payables],BalanceSheet[Ticker],$B$1,BalanceSheet[Year],G2,BalanceSheet[periodType],"&lt;&gt;TTM")</f>
        <v>44835000</v>
      </c>
      <c r="H71" s="10">
        <f>SUMIFS(BalanceSheet[Payables],BalanceSheet[Ticker],$B$1,BalanceSheet[Year],H2,BalanceSheet[periodType],"&lt;&gt;TTM")</f>
        <v>50630000</v>
      </c>
      <c r="I71" s="10">
        <f>I147</f>
        <v>64548199.090007037</v>
      </c>
      <c r="J71" s="10">
        <f>J147</f>
        <v>71374241.10971728</v>
      </c>
      <c r="K71" s="10">
        <f>K147</f>
        <v>76644806.596913889</v>
      </c>
      <c r="L71" s="10">
        <f>L147</f>
        <v>79859066.361569867</v>
      </c>
      <c r="M71" s="10">
        <f>M147</f>
        <v>78111996.430800304</v>
      </c>
      <c r="N71" t="s">
        <v>133</v>
      </c>
    </row>
    <row r="72" spans="1:14" hidden="1" outlineLevel="1" x14ac:dyDescent="0.35">
      <c r="A72" s="55" t="s">
        <v>491</v>
      </c>
      <c r="E72" s="10">
        <f>SUMIFS(BalanceSheet[CurrentAccruedExpenses],BalanceSheet[Ticker],$B$1,BalanceSheet[Year],E$2,BalanceSheet[periodType],"&lt;&gt;TTM")</f>
        <v>20303000</v>
      </c>
      <c r="F72" s="10">
        <f>SUMIFS(BalanceSheet[CurrentAccruedExpenses],BalanceSheet[Ticker],$B$1,BalanceSheet[Year],F$2,BalanceSheet[periodType],"&lt;&gt;TTM")</f>
        <v>20264000</v>
      </c>
      <c r="G72" s="10">
        <f>SUMIFS(BalanceSheet[CurrentAccruedExpenses],BalanceSheet[Ticker],$B$1,BalanceSheet[Year],G$2,BalanceSheet[periodType],"&lt;&gt;TTM")</f>
        <v>19754000</v>
      </c>
      <c r="H72" s="10">
        <f>SUMIFS(BalanceSheet[CurrentAccruedExpenses],BalanceSheet[Ticker],$B$1,BalanceSheet[Year],H$2,BalanceSheet[periodType],"&lt;&gt;TTM")</f>
        <v>19067000</v>
      </c>
      <c r="I72" s="10">
        <f>I32*I22</f>
        <v>24235926.65368285</v>
      </c>
      <c r="J72" s="10">
        <f>J32*J22</f>
        <v>26798902.167437598</v>
      </c>
      <c r="K72" s="10">
        <f>K32*K22</f>
        <v>28777842.561932743</v>
      </c>
      <c r="L72" s="10">
        <f>L32*L22</f>
        <v>29984701.389914297</v>
      </c>
      <c r="M72" s="10">
        <f>M32*M22</f>
        <v>29328728.654843196</v>
      </c>
    </row>
    <row r="73" spans="1:14" hidden="1" outlineLevel="1" x14ac:dyDescent="0.35">
      <c r="A73" s="55" t="s">
        <v>531</v>
      </c>
      <c r="E73" s="10">
        <f>SUMIFS(BalanceSheet[CurrentDebtAndCapitalLeaseObligation],BalanceSheet[Ticker],$B$1,BalanceSheet[Year],E$2,BalanceSheet[periodType],"&lt;&gt;TTM")</f>
        <v>81762000</v>
      </c>
      <c r="F73" s="10">
        <f>SUMIFS(BalanceSheet[CurrentDebtAndCapitalLeaseObligation],BalanceSheet[Ticker],$B$1,BalanceSheet[Year],F$2,BalanceSheet[periodType],"&lt;&gt;TTM")</f>
        <v>88273000</v>
      </c>
      <c r="G73" s="10">
        <f>SUMIFS(BalanceSheet[CurrentDebtAndCapitalLeaseObligation],BalanceSheet[Ticker],$B$1,BalanceSheet[Year],G$2,BalanceSheet[periodType],"&lt;&gt;TTM")</f>
        <v>89187000</v>
      </c>
      <c r="H73" s="10">
        <f>SUMIFS(BalanceSheet[CurrentDebtAndCapitalLeaseObligation],BalanceSheet[Ticker],$B$1,BalanceSheet[Year],H$2,BalanceSheet[periodType],"&lt;&gt;TTM")</f>
        <v>85265000</v>
      </c>
      <c r="I73" s="48">
        <f>I31*I21</f>
        <v>105025753.00512613</v>
      </c>
      <c r="J73" s="48">
        <f>J31*J21</f>
        <v>116132340.22632851</v>
      </c>
      <c r="K73" s="48">
        <f>K31*K21</f>
        <v>124708026.56397183</v>
      </c>
      <c r="L73" s="48">
        <f>L31*L21</f>
        <v>129937917.6669962</v>
      </c>
      <c r="M73" s="48">
        <f>M31*M21</f>
        <v>127095277.01058021</v>
      </c>
    </row>
    <row r="74" spans="1:14" hidden="1" outlineLevel="1" x14ac:dyDescent="0.35">
      <c r="A74" s="55" t="s">
        <v>532</v>
      </c>
      <c r="E74" s="10">
        <f>SUMIFS(BalanceSheet[CurrentDeferredLiabilities],BalanceSheet[Ticker],$B$1,BalanceSheet[Year],E$2,BalanceSheet[periodType],"&lt;&gt;TTM")</f>
        <v>0</v>
      </c>
      <c r="F74" s="10">
        <f>SUMIFS(BalanceSheet[CurrentDeferredLiabilities],BalanceSheet[Ticker],$B$1,BalanceSheet[Year],F$2,BalanceSheet[periodType],"&lt;&gt;TTM")</f>
        <v>0</v>
      </c>
      <c r="G74" s="10">
        <f>SUMIFS(BalanceSheet[CurrentDeferredLiabilities],BalanceSheet[Ticker],$B$1,BalanceSheet[Year],G$2,BalanceSheet[periodType],"&lt;&gt;TTM")</f>
        <v>0</v>
      </c>
      <c r="H74" s="10">
        <f>SUMIFS(BalanceSheet[CurrentDeferredLiabilities],BalanceSheet[Ticker],$B$1,BalanceSheet[Year],H$2,BalanceSheet[periodType],"&lt;&gt;TTM")</f>
        <v>0</v>
      </c>
      <c r="I74" s="10">
        <f t="shared" ref="I74:M75" si="18">AVERAGE($E74:$H74)</f>
        <v>0</v>
      </c>
      <c r="J74" s="10">
        <f t="shared" si="18"/>
        <v>0</v>
      </c>
      <c r="K74" s="10">
        <f t="shared" si="18"/>
        <v>0</v>
      </c>
      <c r="L74" s="10">
        <f t="shared" si="18"/>
        <v>0</v>
      </c>
      <c r="M74" s="10">
        <f t="shared" si="18"/>
        <v>0</v>
      </c>
    </row>
    <row r="75" spans="1:14" hidden="1" outlineLevel="1" x14ac:dyDescent="0.35">
      <c r="A75" s="55" t="s">
        <v>542</v>
      </c>
      <c r="E75" s="10">
        <f>SUMIFS(BalanceSheet[PensionandOtherPostRetirementBenefitPlansCurrent],BalanceSheet[Ticker],$B$1,BalanceSheet[Year],E$2,BalanceSheet[periodType],"&lt;&gt;TTM")</f>
        <v>35865000</v>
      </c>
      <c r="F75" s="10">
        <f>SUMIFS(BalanceSheet[PensionandOtherPostRetirementBenefitPlansCurrent],BalanceSheet[Ticker],$B$1,BalanceSheet[Year],F$2,BalanceSheet[periodType],"&lt;&gt;TTM")</f>
        <v>62055000</v>
      </c>
      <c r="G75" s="10">
        <f>SUMIFS(BalanceSheet[PensionandOtherPostRetirementBenefitPlansCurrent],BalanceSheet[Ticker],$B$1,BalanceSheet[Year],G$2,BalanceSheet[periodType],"&lt;&gt;TTM")</f>
        <v>55490000</v>
      </c>
      <c r="H75" s="10">
        <f>SUMIFS(BalanceSheet[PensionandOtherPostRetirementBenefitPlansCurrent],BalanceSheet[Ticker],$B$1,BalanceSheet[Year],H$2,BalanceSheet[periodType],"&lt;&gt;TTM")</f>
        <v>49827000</v>
      </c>
      <c r="I75" s="10">
        <f t="shared" si="18"/>
        <v>50809250</v>
      </c>
      <c r="J75" s="10">
        <f t="shared" si="18"/>
        <v>50809250</v>
      </c>
      <c r="K75" s="10">
        <f t="shared" si="18"/>
        <v>50809250</v>
      </c>
      <c r="L75" s="10">
        <f t="shared" si="18"/>
        <v>50809250</v>
      </c>
      <c r="M75" s="10">
        <f t="shared" si="18"/>
        <v>50809250</v>
      </c>
    </row>
    <row r="76" spans="1:14" hidden="1" outlineLevel="1" x14ac:dyDescent="0.35">
      <c r="A76" s="55" t="s">
        <v>493</v>
      </c>
      <c r="E76" s="48">
        <f>SUMIFS(BalanceSheet[OtherCurrentLiabilities],BalanceSheet[Ticker],$B$1,BalanceSheet[Year],E$2,BalanceSheet[periodType],"&lt;&gt;TTM")</f>
        <v>14279000</v>
      </c>
      <c r="F76" s="48">
        <f>SUMIFS(BalanceSheet[OtherCurrentLiabilities],BalanceSheet[Ticker],$B$1,BalanceSheet[Year],F$2,BalanceSheet[periodType],"&lt;&gt;TTM")</f>
        <v>16470000</v>
      </c>
      <c r="G76" s="48">
        <f>SUMIFS(BalanceSheet[OtherCurrentLiabilities],BalanceSheet[Ticker],$B$1,BalanceSheet[Year],G$2,BalanceSheet[periodType],"&lt;&gt;TTM")</f>
        <v>16777000</v>
      </c>
      <c r="H76" s="48">
        <f>SUMIFS(BalanceSheet[OtherCurrentLiabilities],BalanceSheet[Ticker],$B$1,BalanceSheet[Year],H$2,BalanceSheet[periodType],"&lt;&gt;TTM")</f>
        <v>16667000</v>
      </c>
      <c r="I76" s="48">
        <f>I31*I23</f>
        <v>19459290.10467989</v>
      </c>
      <c r="J76" s="48">
        <f>J31*J23</f>
        <v>21517131.125822186</v>
      </c>
      <c r="K76" s="48">
        <f>K31*K23</f>
        <v>23106043.973538656</v>
      </c>
      <c r="L76" s="48">
        <f>L31*L23</f>
        <v>24075044.102341998</v>
      </c>
      <c r="M76" s="48">
        <f>M31*M23</f>
        <v>23548356.431806028</v>
      </c>
    </row>
    <row r="77" spans="1:14" hidden="1" outlineLevel="1" x14ac:dyDescent="0.35">
      <c r="A77" s="102" t="s">
        <v>509</v>
      </c>
      <c r="B77" s="102"/>
      <c r="C77" s="102"/>
      <c r="D77" s="102"/>
      <c r="E77" s="103">
        <f t="shared" ref="E77:M77" si="19">SUM(E71:E76)</f>
        <v>206359000</v>
      </c>
      <c r="F77" s="103">
        <f t="shared" si="19"/>
        <v>248541000</v>
      </c>
      <c r="G77" s="103">
        <f t="shared" si="19"/>
        <v>226043000</v>
      </c>
      <c r="H77" s="103">
        <f t="shared" si="19"/>
        <v>221456000</v>
      </c>
      <c r="I77" s="103">
        <f t="shared" si="19"/>
        <v>264078418.8534959</v>
      </c>
      <c r="J77" s="103">
        <f t="shared" si="19"/>
        <v>286631864.6293056</v>
      </c>
      <c r="K77" s="103">
        <f t="shared" si="19"/>
        <v>304045969.69635713</v>
      </c>
      <c r="L77" s="103">
        <f t="shared" si="19"/>
        <v>314665979.52082235</v>
      </c>
      <c r="M77" s="103">
        <f t="shared" si="19"/>
        <v>308893608.52802974</v>
      </c>
    </row>
    <row r="78" spans="1:14" hidden="1" outlineLevel="1" x14ac:dyDescent="0.35">
      <c r="A78" t="s">
        <v>44</v>
      </c>
      <c r="E78" s="59">
        <f>SUMIFS(BalanceSheet[LongTermDebt],BalanceSheet[Ticker],$B$1,BalanceSheet[Year],E2,BalanceSheet[periodType],"&lt;&gt;TTM")</f>
        <v>0</v>
      </c>
      <c r="F78" s="59">
        <f>SUMIFS(BalanceSheet[LongTermDebt],BalanceSheet[Ticker],$B$1,BalanceSheet[Year],F2,BalanceSheet[periodType],"&lt;&gt;TTM")</f>
        <v>0</v>
      </c>
      <c r="G78" s="59">
        <f>SUMIFS(BalanceSheet[LongTermDebt],BalanceSheet[Ticker],$B$1,BalanceSheet[Year],G2,BalanceSheet[periodType],"&lt;&gt;TTM")</f>
        <v>0</v>
      </c>
      <c r="H78" s="59">
        <f>SUMIFS(BalanceSheet[LongTermDebt],BalanceSheet[Ticker],$B$1,BalanceSheet[Year],H2,BalanceSheet[periodType],"&lt;&gt;TTM")</f>
        <v>0</v>
      </c>
      <c r="I78" s="59">
        <f>I162</f>
        <v>306268000</v>
      </c>
      <c r="J78" s="59">
        <f>J162</f>
        <v>306268000</v>
      </c>
      <c r="K78" s="59">
        <f>K162</f>
        <v>306268000</v>
      </c>
      <c r="L78" s="59">
        <f>L162</f>
        <v>306268000</v>
      </c>
      <c r="M78" s="59">
        <f>M162</f>
        <v>306268000</v>
      </c>
      <c r="N78" t="s">
        <v>133</v>
      </c>
    </row>
    <row r="79" spans="1:14" hidden="1" outlineLevel="1" x14ac:dyDescent="0.35">
      <c r="A79" t="s">
        <v>533</v>
      </c>
      <c r="E79" s="48">
        <f>SUMIFS(BalanceSheet[LongTermCapitalLeaseObligation],BalanceSheet[Ticker],$B$1,BalanceSheet[Year],E$2,BalanceSheet[periodType],"&lt;&gt;TTM")</f>
        <v>224506000</v>
      </c>
      <c r="F79" s="48">
        <f>SUMIFS(BalanceSheet[LongTermCapitalLeaseObligation],BalanceSheet[Ticker],$B$1,BalanceSheet[Year],F$2,BalanceSheet[periodType],"&lt;&gt;TTM")</f>
        <v>200067000</v>
      </c>
      <c r="G79" s="48">
        <f>SUMIFS(BalanceSheet[LongTermCapitalLeaseObligation],BalanceSheet[Ticker],$B$1,BalanceSheet[Year],G$2,BalanceSheet[periodType],"&lt;&gt;TTM")</f>
        <v>214598000</v>
      </c>
      <c r="H79" s="48">
        <f>SUMIFS(BalanceSheet[LongTermCapitalLeaseObligation],BalanceSheet[Ticker],$B$1,BalanceSheet[Year],H$2,BalanceSheet[periodType],"&lt;&gt;TTM")</f>
        <v>230141000</v>
      </c>
      <c r="I79" s="10">
        <f>AVERAGE($E79:$H79)</f>
        <v>217328000</v>
      </c>
      <c r="J79" s="10">
        <f>AVERAGE($E79:$H79)</f>
        <v>217328000</v>
      </c>
      <c r="K79" s="10">
        <f>AVERAGE($E79:$H79)</f>
        <v>217328000</v>
      </c>
      <c r="L79" s="10">
        <f>AVERAGE($E79:$H79)</f>
        <v>217328000</v>
      </c>
      <c r="M79" s="10">
        <f>AVERAGE($E79:$H79)</f>
        <v>217328000</v>
      </c>
    </row>
    <row r="80" spans="1:14" hidden="1" outlineLevel="1" x14ac:dyDescent="0.35">
      <c r="A80" t="s">
        <v>535</v>
      </c>
      <c r="E80" s="48">
        <f>SUMIFS(BalanceSheet[LongTermProvisions],BalanceSheet[Ticker],$B$1,BalanceSheet[Year],E$2,BalanceSheet[periodType],"&lt;&gt;TTM")</f>
        <v>0</v>
      </c>
      <c r="F80" s="48">
        <f>SUMIFS(BalanceSheet[LongTermProvisions],BalanceSheet[Ticker],$B$1,BalanceSheet[Year],F$2,BalanceSheet[periodType],"&lt;&gt;TTM")</f>
        <v>0</v>
      </c>
      <c r="G80" s="48">
        <f>SUMIFS(BalanceSheet[LongTermProvisions],BalanceSheet[Ticker],$B$1,BalanceSheet[Year],G$2,BalanceSheet[periodType],"&lt;&gt;TTM")</f>
        <v>0</v>
      </c>
      <c r="H80" s="48">
        <f>SUMIFS(BalanceSheet[LongTermProvisions],BalanceSheet[Ticker],$B$1,BalanceSheet[Year],H$2,BalanceSheet[periodType],"&lt;&gt;TTM")</f>
        <v>0</v>
      </c>
      <c r="I80" s="59">
        <f t="shared" ref="I80:M82" si="20">AVERAGE($E80:$H80)</f>
        <v>0</v>
      </c>
      <c r="J80" s="59">
        <f t="shared" si="20"/>
        <v>0</v>
      </c>
      <c r="K80" s="59">
        <f t="shared" si="20"/>
        <v>0</v>
      </c>
      <c r="L80" s="59">
        <f t="shared" si="20"/>
        <v>0</v>
      </c>
      <c r="M80" s="59">
        <f t="shared" si="20"/>
        <v>0</v>
      </c>
    </row>
    <row r="81" spans="1:14" hidden="1" outlineLevel="1" x14ac:dyDescent="0.35">
      <c r="A81" t="s">
        <v>534</v>
      </c>
      <c r="E81" s="59">
        <f>SUMIFS(BalanceSheet[NonCurrentDeferredLiabilities],BalanceSheet[Ticker],$B$1,BalanceSheet[Year],E$2,BalanceSheet[periodType],"&lt;&gt;TTM")</f>
        <v>18320000</v>
      </c>
      <c r="F81" s="59">
        <f>SUMIFS(BalanceSheet[NonCurrentDeferredLiabilities],BalanceSheet[Ticker],$B$1,BalanceSheet[Year],F$2,BalanceSheet[periodType],"&lt;&gt;TTM")</f>
        <v>19352000</v>
      </c>
      <c r="G81" s="59">
        <f>SUMIFS(BalanceSheet[NonCurrentDeferredLiabilities],BalanceSheet[Ticker],$B$1,BalanceSheet[Year],G$2,BalanceSheet[periodType],"&lt;&gt;TTM")</f>
        <v>20624000</v>
      </c>
      <c r="H81" s="59">
        <f>SUMIFS(BalanceSheet[NonCurrentDeferredLiabilities],BalanceSheet[Ticker],$B$1,BalanceSheet[Year],H$2,BalanceSheet[periodType],"&lt;&gt;TTM")</f>
        <v>24993000</v>
      </c>
      <c r="I81" s="59">
        <f t="shared" si="20"/>
        <v>20822250</v>
      </c>
      <c r="J81" s="59">
        <f t="shared" si="20"/>
        <v>20822250</v>
      </c>
      <c r="K81" s="59">
        <f t="shared" si="20"/>
        <v>20822250</v>
      </c>
      <c r="L81" s="59">
        <f t="shared" si="20"/>
        <v>20822250</v>
      </c>
      <c r="M81" s="59">
        <f t="shared" si="20"/>
        <v>20822250</v>
      </c>
    </row>
    <row r="82" spans="1:14" hidden="1" outlineLevel="1" x14ac:dyDescent="0.35">
      <c r="A82" t="s">
        <v>543</v>
      </c>
      <c r="E82" s="48">
        <f>SUMIFS(BalanceSheet[TradeandOtherPayablesNonCurrent],BalanceSheet[Ticker],$B$1,BalanceSheet[Year],E$2,BalanceSheet[periodType],"&lt;&gt;TTM")</f>
        <v>0</v>
      </c>
      <c r="F82" s="48">
        <f>SUMIFS(BalanceSheet[TradeandOtherPayablesNonCurrent],BalanceSheet[Ticker],$B$1,BalanceSheet[Year],F$2,BalanceSheet[periodType],"&lt;&gt;TTM")</f>
        <v>0</v>
      </c>
      <c r="G82" s="48">
        <f>SUMIFS(BalanceSheet[TradeandOtherPayablesNonCurrent],BalanceSheet[Ticker],$B$1,BalanceSheet[Year],G$2,BalanceSheet[periodType],"&lt;&gt;TTM")</f>
        <v>0</v>
      </c>
      <c r="H82" s="48">
        <f>SUMIFS(BalanceSheet[TradeandOtherPayablesNonCurrent],BalanceSheet[Ticker],$B$1,BalanceSheet[Year],H$2,BalanceSheet[periodType],"&lt;&gt;TTM")</f>
        <v>0</v>
      </c>
      <c r="I82" s="59">
        <f t="shared" si="20"/>
        <v>0</v>
      </c>
      <c r="J82" s="59">
        <f t="shared" si="20"/>
        <v>0</v>
      </c>
      <c r="K82" s="59">
        <f t="shared" si="20"/>
        <v>0</v>
      </c>
      <c r="L82" s="59">
        <f t="shared" si="20"/>
        <v>0</v>
      </c>
      <c r="M82" s="59">
        <f t="shared" si="20"/>
        <v>0</v>
      </c>
    </row>
    <row r="83" spans="1:14" hidden="1" outlineLevel="1" x14ac:dyDescent="0.35">
      <c r="A83" t="s">
        <v>545</v>
      </c>
      <c r="E83" s="48">
        <f>SUMIFS(BalanceSheet[NonCurrentAccruedExpenses],BalanceSheet[Ticker],$B$1,BalanceSheet[Year],E$2,BalanceSheet[periodType],"&lt;&gt;TTM")</f>
        <v>0</v>
      </c>
      <c r="F83" s="48">
        <f>SUMIFS(BalanceSheet[NonCurrentAccruedExpenses],BalanceSheet[Ticker],$B$1,BalanceSheet[Year],F$2,BalanceSheet[periodType],"&lt;&gt;TTM")</f>
        <v>0</v>
      </c>
      <c r="G83" s="48">
        <f>SUMIFS(BalanceSheet[NonCurrentAccruedExpenses],BalanceSheet[Ticker],$B$1,BalanceSheet[Year],G$2,BalanceSheet[periodType],"&lt;&gt;TTM")</f>
        <v>0</v>
      </c>
      <c r="H83" s="48">
        <f>SUMIFS(BalanceSheet[NonCurrentAccruedExpenses],BalanceSheet[Ticker],$B$1,BalanceSheet[Year],H$2,BalanceSheet[periodType],"&lt;&gt;TTM")</f>
        <v>0</v>
      </c>
      <c r="I83" s="10">
        <f t="shared" ref="I83:M84" si="21">AVERAGE($E83:$H83)</f>
        <v>0</v>
      </c>
      <c r="J83" s="10">
        <f t="shared" si="21"/>
        <v>0</v>
      </c>
      <c r="K83" s="10">
        <f t="shared" si="21"/>
        <v>0</v>
      </c>
      <c r="L83" s="10">
        <f t="shared" si="21"/>
        <v>0</v>
      </c>
      <c r="M83" s="10">
        <f t="shared" si="21"/>
        <v>0</v>
      </c>
    </row>
    <row r="84" spans="1:14" hidden="1" outlineLevel="1" x14ac:dyDescent="0.35">
      <c r="A84" t="s">
        <v>544</v>
      </c>
      <c r="E84" s="48">
        <f>SUMIFS(BalanceSheet[DerivativeProductLiabilities],BalanceSheet[Ticker],$B$1,BalanceSheet[Year],E$2,BalanceSheet[periodType],"&lt;&gt;TTM")</f>
        <v>0</v>
      </c>
      <c r="F84" s="48">
        <f>SUMIFS(BalanceSheet[DerivativeProductLiabilities],BalanceSheet[Ticker],$B$1,BalanceSheet[Year],F$2,BalanceSheet[periodType],"&lt;&gt;TTM")</f>
        <v>0</v>
      </c>
      <c r="G84" s="48">
        <f>SUMIFS(BalanceSheet[DerivativeProductLiabilities],BalanceSheet[Ticker],$B$1,BalanceSheet[Year],G$2,BalanceSheet[periodType],"&lt;&gt;TTM")</f>
        <v>0</v>
      </c>
      <c r="H84" s="48">
        <f>SUMIFS(BalanceSheet[DerivativeProductLiabilities],BalanceSheet[Ticker],$B$1,BalanceSheet[Year],H$2,BalanceSheet[periodType],"&lt;&gt;TTM")</f>
        <v>0</v>
      </c>
      <c r="I84" s="10">
        <f t="shared" si="21"/>
        <v>0</v>
      </c>
      <c r="J84" s="10">
        <f t="shared" si="21"/>
        <v>0</v>
      </c>
      <c r="K84" s="10">
        <f t="shared" si="21"/>
        <v>0</v>
      </c>
      <c r="L84" s="10">
        <f t="shared" si="21"/>
        <v>0</v>
      </c>
      <c r="M84" s="10">
        <f t="shared" si="21"/>
        <v>0</v>
      </c>
    </row>
    <row r="85" spans="1:14" hidden="1" outlineLevel="1" x14ac:dyDescent="0.35">
      <c r="A85" t="s">
        <v>541</v>
      </c>
      <c r="E85" s="48">
        <f>SUMIFS(BalanceSheet[EmployeeBenefits],BalanceSheet[Ticker],$B$1,BalanceSheet[Year],E$2,BalanceSheet[periodType],"&lt;&gt;TTM")</f>
        <v>0</v>
      </c>
      <c r="F85" s="48">
        <f>SUMIFS(BalanceSheet[EmployeeBenefits],BalanceSheet[Ticker],$B$1,BalanceSheet[Year],F$2,BalanceSheet[periodType],"&lt;&gt;TTM")</f>
        <v>0</v>
      </c>
      <c r="G85" s="48">
        <f>SUMIFS(BalanceSheet[EmployeeBenefits],BalanceSheet[Ticker],$B$1,BalanceSheet[Year],G$2,BalanceSheet[periodType],"&lt;&gt;TTM")</f>
        <v>0</v>
      </c>
      <c r="H85" s="48">
        <f>SUMIFS(BalanceSheet[EmployeeBenefits],BalanceSheet[Ticker],$B$1,BalanceSheet[Year],H$2,BalanceSheet[periodType],"&lt;&gt;TTM")</f>
        <v>0</v>
      </c>
      <c r="I85" s="129">
        <f>I31*I25</f>
        <v>0</v>
      </c>
      <c r="J85" s="129">
        <f>J31*J25</f>
        <v>0</v>
      </c>
      <c r="K85" s="129">
        <f>K31*K25</f>
        <v>0</v>
      </c>
      <c r="L85" s="129">
        <f>L31*L25</f>
        <v>0</v>
      </c>
      <c r="M85" s="129">
        <f>M31*M25</f>
        <v>0</v>
      </c>
    </row>
    <row r="86" spans="1:14" hidden="1" outlineLevel="1" x14ac:dyDescent="0.35">
      <c r="A86" s="58" t="s">
        <v>482</v>
      </c>
      <c r="B86" s="58"/>
      <c r="C86" s="58"/>
      <c r="D86" s="58"/>
      <c r="E86" s="60">
        <f>SUMIFS(BalanceSheet[OtherNonCurrentLiabilities],BalanceSheet[Ticker],$B$1,BalanceSheet[Year],E$2,BalanceSheet[periodType],"&lt;&gt;TTM")</f>
        <v>0</v>
      </c>
      <c r="F86" s="60">
        <f>SUMIFS(BalanceSheet[OtherNonCurrentLiabilities],BalanceSheet[Ticker],$B$1,BalanceSheet[Year],F$2,BalanceSheet[periodType],"&lt;&gt;TTM")</f>
        <v>0</v>
      </c>
      <c r="G86" s="60">
        <f>SUMIFS(BalanceSheet[OtherNonCurrentLiabilities],BalanceSheet[Ticker],$B$1,BalanceSheet[Year],G$2,BalanceSheet[periodType],"&lt;&gt;TTM")</f>
        <v>0</v>
      </c>
      <c r="H86" s="60">
        <f>SUMIFS(BalanceSheet[OtherNonCurrentLiabilities],BalanceSheet[Ticker],$B$1,BalanceSheet[Year],H$2,BalanceSheet[periodType],"&lt;&gt;TTM")</f>
        <v>0</v>
      </c>
      <c r="I86" s="60">
        <f>AVERAGE($E86:$H86)</f>
        <v>0</v>
      </c>
      <c r="J86" s="60">
        <f>AVERAGE($E86:$H86)</f>
        <v>0</v>
      </c>
      <c r="K86" s="60">
        <f>AVERAGE($E86:$H86)</f>
        <v>0</v>
      </c>
      <c r="L86" s="60">
        <f>AVERAGE($E86:$H86)</f>
        <v>0</v>
      </c>
      <c r="M86" s="60">
        <f>AVERAGE($E86:$H86)</f>
        <v>0</v>
      </c>
    </row>
    <row r="87" spans="1:14" ht="15" hidden="1" outlineLevel="1" thickBot="1" x14ac:dyDescent="0.4">
      <c r="A87" s="6" t="s">
        <v>45</v>
      </c>
      <c r="B87" s="6"/>
      <c r="C87" s="6"/>
      <c r="D87" s="6"/>
      <c r="E87" s="15">
        <f t="shared" ref="E87:M87" si="22">SUM(E77:E86)</f>
        <v>449185000</v>
      </c>
      <c r="F87" s="15">
        <f t="shared" si="22"/>
        <v>467960000</v>
      </c>
      <c r="G87" s="15">
        <f t="shared" si="22"/>
        <v>461265000</v>
      </c>
      <c r="H87" s="15">
        <f t="shared" si="22"/>
        <v>476590000</v>
      </c>
      <c r="I87" s="15">
        <f t="shared" si="22"/>
        <v>808496668.85349584</v>
      </c>
      <c r="J87" s="15">
        <f t="shared" si="22"/>
        <v>831050114.6293056</v>
      </c>
      <c r="K87" s="15">
        <f t="shared" si="22"/>
        <v>848464219.69635713</v>
      </c>
      <c r="L87" s="15">
        <f t="shared" si="22"/>
        <v>859084229.52082229</v>
      </c>
      <c r="M87" s="15">
        <f t="shared" si="22"/>
        <v>853311858.52802968</v>
      </c>
    </row>
    <row r="88" spans="1:14" ht="15" hidden="1" outlineLevel="1" thickTop="1" x14ac:dyDescent="0.35">
      <c r="A88" s="3" t="s">
        <v>480</v>
      </c>
      <c r="B88" s="3"/>
      <c r="C88" s="3"/>
      <c r="D88" s="3"/>
      <c r="E88" s="12">
        <f>SUMIFS(BalanceSheet[TotalLiabilitiesNetMinorityInterest],BalanceSheet[Ticker],$B$1,BalanceSheet[Year],E2,BalanceSheet[periodType],"&lt;&gt;TTM")</f>
        <v>449185000</v>
      </c>
      <c r="F88" s="12">
        <f>SUMIFS(BalanceSheet[TotalLiabilitiesNetMinorityInterest],BalanceSheet[Ticker],$B$1,BalanceSheet[Year],F2,BalanceSheet[periodType],"&lt;&gt;TTM")</f>
        <v>467960000</v>
      </c>
      <c r="G88" s="12">
        <f>SUMIFS(BalanceSheet[TotalLiabilitiesNetMinorityInterest],BalanceSheet[Ticker],$B$1,BalanceSheet[Year],G2,BalanceSheet[periodType],"&lt;&gt;TTM")</f>
        <v>461265000</v>
      </c>
      <c r="H88" s="12">
        <f>SUMIFS(BalanceSheet[TotalLiabilitiesNetMinorityInterest],BalanceSheet[Ticker],$B$1,BalanceSheet[Year],H2,BalanceSheet[periodType],"&lt;&gt;TTM")</f>
        <v>476590000</v>
      </c>
      <c r="I88" s="12"/>
      <c r="J88" s="12"/>
      <c r="K88" s="12"/>
      <c r="L88" s="12"/>
      <c r="M88" s="12"/>
    </row>
    <row r="89" spans="1:14" hidden="1" outlineLevel="1" x14ac:dyDescent="0.35">
      <c r="A89" s="3"/>
      <c r="B89" s="3"/>
      <c r="C89" s="3"/>
      <c r="D89" s="105"/>
      <c r="E89" s="106"/>
      <c r="F89" s="106"/>
      <c r="G89" s="106"/>
      <c r="H89" s="106"/>
      <c r="I89" s="12"/>
      <c r="J89" s="12"/>
      <c r="K89" s="12"/>
      <c r="L89" s="12"/>
      <c r="M89" s="12"/>
    </row>
    <row r="90" spans="1:14" hidden="1" outlineLevel="1" x14ac:dyDescent="0.35">
      <c r="A90" s="3" t="s">
        <v>46</v>
      </c>
      <c r="L90" s="10"/>
      <c r="M90" s="10"/>
    </row>
    <row r="91" spans="1:14" hidden="1" outlineLevel="1" x14ac:dyDescent="0.35">
      <c r="A91" t="s">
        <v>48</v>
      </c>
      <c r="E91" s="10">
        <f>SUMIFS(BalanceSheet[RetainedEarnings],BalanceSheet[Ticker],$B$1,BalanceSheet[Year],E2,BalanceSheet[periodType],"&lt;&gt;TTM")</f>
        <v>238077000</v>
      </c>
      <c r="F91" s="10">
        <f>SUMIFS(BalanceSheet[RetainedEarnings],BalanceSheet[Ticker],$B$1,BalanceSheet[Year],F2,BalanceSheet[periodType],"&lt;&gt;TTM")</f>
        <v>145099000</v>
      </c>
      <c r="G91" s="10">
        <f>SUMIFS(BalanceSheet[RetainedEarnings],BalanceSheet[Ticker],$B$1,BalanceSheet[Year],G2,BalanceSheet[periodType],"&lt;&gt;TTM")</f>
        <v>196849000</v>
      </c>
      <c r="H91" s="10">
        <f>SUMIFS(BalanceSheet[RetainedEarnings],BalanceSheet[Ticker],$B$1,BalanceSheet[Year],H2,BalanceSheet[periodType],"&lt;&gt;TTM")</f>
        <v>220030000</v>
      </c>
      <c r="I91" s="17">
        <f>H91+I46+I130</f>
        <v>723701083.07338738</v>
      </c>
      <c r="J91" s="17">
        <f>I91+J46+J130</f>
        <v>1295298418.6212468</v>
      </c>
      <c r="K91" s="17">
        <f>J91+K46+K130</f>
        <v>1875072533.6672397</v>
      </c>
      <c r="L91" s="17">
        <f>K91+L46+L130</f>
        <v>2487126107.6394291</v>
      </c>
      <c r="M91" s="17">
        <f>L91+M46+M130</f>
        <v>3093276693.4296026</v>
      </c>
    </row>
    <row r="92" spans="1:14" hidden="1" outlineLevel="1" x14ac:dyDescent="0.35">
      <c r="A92" s="55" t="s">
        <v>536</v>
      </c>
      <c r="E92" s="10">
        <f>SUMIFS(BalanceSheet[CommonStock],BalanceSheet[Ticker],$B$1,BalanceSheet[Year],E2,BalanceSheet[periodType],"&lt;&gt;TTM")</f>
        <v>494000</v>
      </c>
      <c r="F92" s="10">
        <f>SUMIFS(BalanceSheet[CommonStock],BalanceSheet[Ticker],$B$1,BalanceSheet[Year],F2,BalanceSheet[periodType],"&lt;&gt;TTM")</f>
        <v>497000</v>
      </c>
      <c r="G92" s="10">
        <f>SUMIFS(BalanceSheet[CommonStock],BalanceSheet[Ticker],$B$1,BalanceSheet[Year],G2,BalanceSheet[periodType],"&lt;&gt;TTM")</f>
        <v>501000</v>
      </c>
      <c r="H92" s="10">
        <f>SUMIFS(BalanceSheet[CommonStock],BalanceSheet[Ticker],$B$1,BalanceSheet[Year],H2,BalanceSheet[periodType],"&lt;&gt;TTM")</f>
        <v>504000</v>
      </c>
      <c r="I92" s="17">
        <f>AVERAGE($E$92:$H$92)</f>
        <v>499000</v>
      </c>
      <c r="J92" s="17">
        <f>AVERAGE($E$92:$H$92)</f>
        <v>499000</v>
      </c>
      <c r="K92" s="17">
        <f>AVERAGE($E$92:$H$92)</f>
        <v>499000</v>
      </c>
      <c r="L92" s="17">
        <f>AVERAGE($E$92:$H$92)</f>
        <v>499000</v>
      </c>
      <c r="M92" s="17">
        <f>AVERAGE($E$92:$H$92)</f>
        <v>499000</v>
      </c>
      <c r="N92" t="s">
        <v>565</v>
      </c>
    </row>
    <row r="93" spans="1:14" hidden="1" outlineLevel="1" x14ac:dyDescent="0.35">
      <c r="A93" t="s">
        <v>537</v>
      </c>
      <c r="E93" s="10">
        <f>SUMIFS(BalanceSheet[AdditionalPaidInCapital],BalanceSheet[Ticker],$B$1,BalanceSheet[Year],E2,BalanceSheet[periodType],"&lt;&gt;TTM")</f>
        <v>158058000</v>
      </c>
      <c r="F93" s="10">
        <f>SUMIFS(BalanceSheet[AdditionalPaidInCapital],BalanceSheet[Ticker],$B$1,BalanceSheet[Year],F2,BalanceSheet[periodType],"&lt;&gt;TTM")</f>
        <v>167328000</v>
      </c>
      <c r="G93" s="10">
        <f>SUMIFS(BalanceSheet[AdditionalPaidInCapital],BalanceSheet[Ticker],$B$1,BalanceSheet[Year],G2,BalanceSheet[periodType],"&lt;&gt;TTM")</f>
        <v>178964000</v>
      </c>
      <c r="H93" s="10">
        <f>SUMIFS(BalanceSheet[AdditionalPaidInCapital],BalanceSheet[Ticker],$B$1,BalanceSheet[Year],H2,BalanceSheet[periodType],"&lt;&gt;TTM")</f>
        <v>192686000</v>
      </c>
      <c r="I93" s="17">
        <f>AVERAGE($E93:$H93)</f>
        <v>174259000</v>
      </c>
      <c r="J93" s="17">
        <f>AVERAGE($E93:$H93)</f>
        <v>174259000</v>
      </c>
      <c r="K93" s="17">
        <f>AVERAGE($E93:$H93)</f>
        <v>174259000</v>
      </c>
      <c r="L93" s="17">
        <f>AVERAGE($E93:$H93)</f>
        <v>174259000</v>
      </c>
      <c r="M93" s="17">
        <f>AVERAGE($E93:$H93)</f>
        <v>174259000</v>
      </c>
    </row>
    <row r="94" spans="1:14" hidden="1" outlineLevel="1" x14ac:dyDescent="0.35">
      <c r="A94" t="s">
        <v>539</v>
      </c>
      <c r="E94" s="10">
        <f>SUMIFS(BalanceSheet[MinorityInterest],BalanceSheet[Ticker],$B$1,BalanceSheet[Year],E$2,BalanceSheet[periodType],"&lt;&gt;TTM")</f>
        <v>0</v>
      </c>
      <c r="F94" s="10">
        <f>SUMIFS(BalanceSheet[MinorityInterest],BalanceSheet[Ticker],$B$1,BalanceSheet[Year],F$2,BalanceSheet[periodType],"&lt;&gt;TTM")</f>
        <v>0</v>
      </c>
      <c r="G94" s="10">
        <f>SUMIFS(BalanceSheet[MinorityInterest],BalanceSheet[Ticker],$B$1,BalanceSheet[Year],G$2,BalanceSheet[periodType],"&lt;&gt;TTM")</f>
        <v>0</v>
      </c>
      <c r="H94" s="10">
        <f>SUMIFS(BalanceSheet[MinorityInterest],BalanceSheet[Ticker],$B$1,BalanceSheet[Year],H$2,BalanceSheet[periodType],"&lt;&gt;TTM")</f>
        <v>0</v>
      </c>
      <c r="I94" s="17">
        <f t="shared" ref="I94:M96" si="23">AVERAGE($E94:$H94)</f>
        <v>0</v>
      </c>
      <c r="J94" s="17">
        <f t="shared" si="23"/>
        <v>0</v>
      </c>
      <c r="K94" s="17">
        <f t="shared" si="23"/>
        <v>0</v>
      </c>
      <c r="L94" s="17">
        <f t="shared" si="23"/>
        <v>0</v>
      </c>
      <c r="M94" s="17">
        <f t="shared" si="23"/>
        <v>0</v>
      </c>
    </row>
    <row r="95" spans="1:14" hidden="1" outlineLevel="1" x14ac:dyDescent="0.35">
      <c r="A95" t="s">
        <v>540</v>
      </c>
      <c r="E95" s="10">
        <f>SUMIFS(BalanceSheet[GainsLossesNotAffectingRetainedEarnings],BalanceSheet[Ticker],$B$1,BalanceSheet[Year],E$2,BalanceSheet[periodType],"&lt;&gt;TTM")</f>
        <v>0</v>
      </c>
      <c r="F95" s="10">
        <f>SUMIFS(BalanceSheet[GainsLossesNotAffectingRetainedEarnings],BalanceSheet[Ticker],$B$1,BalanceSheet[Year],F$2,BalanceSheet[periodType],"&lt;&gt;TTM")</f>
        <v>0</v>
      </c>
      <c r="G95" s="10">
        <f>SUMIFS(BalanceSheet[GainsLossesNotAffectingRetainedEarnings],BalanceSheet[Ticker],$B$1,BalanceSheet[Year],G$2,BalanceSheet[periodType],"&lt;&gt;TTM")</f>
        <v>0</v>
      </c>
      <c r="H95" s="10">
        <f>SUMIFS(BalanceSheet[GainsLossesNotAffectingRetainedEarnings],BalanceSheet[Ticker],$B$1,BalanceSheet[Year],H$2,BalanceSheet[periodType],"&lt;&gt;TTM")</f>
        <v>0</v>
      </c>
      <c r="I95" s="17">
        <f t="shared" si="23"/>
        <v>0</v>
      </c>
      <c r="J95" s="17">
        <f t="shared" si="23"/>
        <v>0</v>
      </c>
      <c r="K95" s="17">
        <f t="shared" si="23"/>
        <v>0</v>
      </c>
      <c r="L95" s="17">
        <f t="shared" si="23"/>
        <v>0</v>
      </c>
      <c r="M95" s="17">
        <f t="shared" si="23"/>
        <v>0</v>
      </c>
    </row>
    <row r="96" spans="1:14" hidden="1" outlineLevel="1" x14ac:dyDescent="0.35">
      <c r="A96" t="s">
        <v>538</v>
      </c>
      <c r="E96" s="10">
        <f>SUMIFS(BalanceSheet[TreasuryStock],BalanceSheet[Ticker],$B$1,BalanceSheet[Year],E$2,BalanceSheet[periodType],"&lt;&gt;TTM")</f>
        <v>0</v>
      </c>
      <c r="F96" s="10">
        <f>SUMIFS(BalanceSheet[TreasuryStock],BalanceSheet[Ticker],$B$1,BalanceSheet[Year],F$2,BalanceSheet[periodType],"&lt;&gt;TTM")</f>
        <v>0</v>
      </c>
      <c r="G96" s="10">
        <f>SUMIFS(BalanceSheet[TreasuryStock],BalanceSheet[Ticker],$B$1,BalanceSheet[Year],G$2,BalanceSheet[periodType],"&lt;&gt;TTM")</f>
        <v>0</v>
      </c>
      <c r="H96" s="10">
        <f>SUMIFS(BalanceSheet[TreasuryStock],BalanceSheet[Ticker],$B$1,BalanceSheet[Year],H$2,BalanceSheet[periodType],"&lt;&gt;TTM")</f>
        <v>0</v>
      </c>
      <c r="I96" s="17">
        <f t="shared" si="23"/>
        <v>0</v>
      </c>
      <c r="J96" s="17">
        <f t="shared" si="23"/>
        <v>0</v>
      </c>
      <c r="K96" s="17">
        <f t="shared" si="23"/>
        <v>0</v>
      </c>
      <c r="L96" s="17">
        <f t="shared" si="23"/>
        <v>0</v>
      </c>
      <c r="M96" s="17">
        <f t="shared" si="23"/>
        <v>0</v>
      </c>
    </row>
    <row r="97" spans="1:13" hidden="1" outlineLevel="1" x14ac:dyDescent="0.35">
      <c r="A97" s="61" t="s">
        <v>483</v>
      </c>
      <c r="B97" s="58"/>
      <c r="C97" s="58"/>
      <c r="D97" s="58"/>
      <c r="E97" s="60">
        <f>E99-E98</f>
        <v>0</v>
      </c>
      <c r="F97" s="60">
        <f>F99-F98</f>
        <v>0</v>
      </c>
      <c r="G97" s="60">
        <f>G99-G98</f>
        <v>0</v>
      </c>
      <c r="H97" s="60">
        <f>H99-H98</f>
        <v>0</v>
      </c>
      <c r="I97" s="60">
        <f>AVERAGE($E97:$H97)</f>
        <v>0</v>
      </c>
      <c r="J97" s="60">
        <f>AVERAGE($E97:$H97)</f>
        <v>0</v>
      </c>
      <c r="K97" s="60">
        <f>AVERAGE($E97:$H97)</f>
        <v>0</v>
      </c>
      <c r="L97" s="60">
        <f>AVERAGE($E97:$H97)</f>
        <v>0</v>
      </c>
      <c r="M97" s="60">
        <f>AVERAGE($E97:$H97)</f>
        <v>0</v>
      </c>
    </row>
    <row r="98" spans="1:13" ht="15" hidden="1" outlineLevel="1" thickBot="1" x14ac:dyDescent="0.4">
      <c r="A98" s="6" t="s">
        <v>46</v>
      </c>
      <c r="B98" s="6"/>
      <c r="C98" s="6"/>
      <c r="D98" s="6"/>
      <c r="E98" s="15">
        <f t="shared" ref="E98:M98" si="24">SUM(E91:E95)-E96</f>
        <v>396629000</v>
      </c>
      <c r="F98" s="15">
        <f t="shared" si="24"/>
        <v>312924000</v>
      </c>
      <c r="G98" s="15">
        <f t="shared" si="24"/>
        <v>376314000</v>
      </c>
      <c r="H98" s="15">
        <f t="shared" si="24"/>
        <v>413220000</v>
      </c>
      <c r="I98" s="15">
        <f t="shared" si="24"/>
        <v>898459083.07338738</v>
      </c>
      <c r="J98" s="15">
        <f t="shared" si="24"/>
        <v>1470056418.6212468</v>
      </c>
      <c r="K98" s="15">
        <f t="shared" si="24"/>
        <v>2049830533.6672397</v>
      </c>
      <c r="L98" s="15">
        <f t="shared" si="24"/>
        <v>2661884107.6394291</v>
      </c>
      <c r="M98" s="15">
        <f t="shared" si="24"/>
        <v>3268034693.4296026</v>
      </c>
    </row>
    <row r="99" spans="1:13" ht="15" hidden="1" outlineLevel="1" thickTop="1" x14ac:dyDescent="0.35">
      <c r="A99" s="3" t="s">
        <v>481</v>
      </c>
      <c r="B99" s="3"/>
      <c r="C99" s="3"/>
      <c r="D99" s="3"/>
      <c r="E99" s="54">
        <f>SUMIFS(BalanceSheet[TotalEquityGrossMinorityInterest],BalanceSheet[Ticker],$B$1,BalanceSheet[Year],E2,BalanceSheet[periodType],"&lt;&gt;TTM")</f>
        <v>396629000</v>
      </c>
      <c r="F99" s="54">
        <f>SUMIFS(BalanceSheet[TotalEquityGrossMinorityInterest],BalanceSheet[Ticker],$B$1,BalanceSheet[Year],F2,BalanceSheet[periodType],"&lt;&gt;TTM")</f>
        <v>312924000</v>
      </c>
      <c r="G99" s="54">
        <f>SUMIFS(BalanceSheet[TotalEquityGrossMinorityInterest],BalanceSheet[Ticker],$B$1,BalanceSheet[Year],G2,BalanceSheet[periodType],"&lt;&gt;TTM")</f>
        <v>376314000</v>
      </c>
      <c r="H99" s="54">
        <f>SUMIFS(BalanceSheet[TotalEquityGrossMinorityInterest],BalanceSheet[Ticker],$B$1,BalanceSheet[Year],H2,BalanceSheet[periodType],"&lt;&gt;TTM")</f>
        <v>413220000</v>
      </c>
      <c r="I99" s="54"/>
      <c r="J99" s="54"/>
      <c r="K99" s="54"/>
      <c r="L99" s="54"/>
      <c r="M99" s="54"/>
    </row>
    <row r="100" spans="1:13" hidden="1" outlineLevel="1" x14ac:dyDescent="0.35">
      <c r="A100" s="3"/>
      <c r="B100" s="3"/>
      <c r="C100" s="3"/>
      <c r="D100" s="3"/>
      <c r="E100" s="54"/>
      <c r="F100" s="54"/>
      <c r="G100" s="54"/>
      <c r="H100" s="54"/>
      <c r="I100" s="54"/>
      <c r="J100" s="54"/>
      <c r="K100" s="54"/>
      <c r="L100" s="54"/>
      <c r="M100" s="54"/>
    </row>
    <row r="101" spans="1:13" ht="15" hidden="1" outlineLevel="1" thickBot="1" x14ac:dyDescent="0.4">
      <c r="A101" s="56" t="s">
        <v>49</v>
      </c>
      <c r="B101" s="56"/>
      <c r="C101" s="56"/>
      <c r="D101" s="56"/>
      <c r="E101" s="57">
        <f t="shared" ref="E101:M101" si="25">(E87)+(E98)</f>
        <v>845814000</v>
      </c>
      <c r="F101" s="57">
        <f t="shared" si="25"/>
        <v>780884000</v>
      </c>
      <c r="G101" s="57">
        <f t="shared" si="25"/>
        <v>837579000</v>
      </c>
      <c r="H101" s="57">
        <f t="shared" si="25"/>
        <v>889810000</v>
      </c>
      <c r="I101" s="57">
        <f t="shared" si="25"/>
        <v>1706955751.9268832</v>
      </c>
      <c r="J101" s="57">
        <f t="shared" si="25"/>
        <v>2301106533.2505522</v>
      </c>
      <c r="K101" s="57">
        <f t="shared" si="25"/>
        <v>2898294753.3635969</v>
      </c>
      <c r="L101" s="57">
        <f t="shared" si="25"/>
        <v>3520968337.1602516</v>
      </c>
      <c r="M101" s="57">
        <f t="shared" si="25"/>
        <v>4121346551.9576321</v>
      </c>
    </row>
    <row r="102" spans="1:13" ht="15" hidden="1" outlineLevel="1" thickTop="1" x14ac:dyDescent="0.35">
      <c r="L102" s="10"/>
      <c r="M102" s="10"/>
    </row>
    <row r="103" spans="1:13" hidden="1" outlineLevel="1" x14ac:dyDescent="0.35">
      <c r="A103" s="7" t="s">
        <v>50</v>
      </c>
      <c r="B103" s="7"/>
      <c r="C103" s="7"/>
      <c r="D103" s="7"/>
      <c r="E103" s="16">
        <f t="shared" ref="E103:M103" si="26">E101-E66</f>
        <v>0</v>
      </c>
      <c r="F103" s="16">
        <f t="shared" si="26"/>
        <v>0</v>
      </c>
      <c r="G103" s="16">
        <f t="shared" si="26"/>
        <v>0</v>
      </c>
      <c r="H103" s="16">
        <f t="shared" si="26"/>
        <v>0</v>
      </c>
      <c r="I103" s="16">
        <f t="shared" si="26"/>
        <v>321908043.10980606</v>
      </c>
      <c r="J103" s="16">
        <f t="shared" si="26"/>
        <v>353568533.85215044</v>
      </c>
      <c r="K103" s="16">
        <f t="shared" si="26"/>
        <v>381678148.66251087</v>
      </c>
      <c r="L103" s="16">
        <f t="shared" si="26"/>
        <v>404792246.92558765</v>
      </c>
      <c r="M103" s="16">
        <f t="shared" si="26"/>
        <v>418686614.88769817</v>
      </c>
    </row>
    <row r="104" spans="1:13" collapsed="1" x14ac:dyDescent="0.35">
      <c r="L104" s="10"/>
      <c r="M104" s="10"/>
    </row>
    <row r="105" spans="1:13" x14ac:dyDescent="0.35">
      <c r="A105" s="2" t="s">
        <v>7</v>
      </c>
      <c r="B105" s="2"/>
      <c r="C105" s="2"/>
      <c r="D105" s="2"/>
      <c r="E105" s="11"/>
      <c r="F105" s="11"/>
      <c r="G105" s="11"/>
      <c r="H105" s="11"/>
      <c r="I105" s="11"/>
      <c r="J105" s="11"/>
      <c r="K105" s="11"/>
      <c r="L105" s="11"/>
      <c r="M105" s="11"/>
    </row>
    <row r="106" spans="1:13" hidden="1" outlineLevel="1" x14ac:dyDescent="0.35">
      <c r="A106" s="3" t="s">
        <v>51</v>
      </c>
      <c r="B106" s="3"/>
      <c r="L106" s="10"/>
      <c r="M106" s="10"/>
    </row>
    <row r="107" spans="1:13" hidden="1" outlineLevel="1" x14ac:dyDescent="0.35">
      <c r="A107" t="s">
        <v>35</v>
      </c>
      <c r="E107" s="17">
        <f t="shared" ref="E107:M107" si="27">E46</f>
        <v>130139000</v>
      </c>
      <c r="F107" s="17">
        <f t="shared" si="27"/>
        <v>254820000</v>
      </c>
      <c r="G107" s="17">
        <f t="shared" si="27"/>
        <v>254626000</v>
      </c>
      <c r="H107" s="17">
        <f t="shared" si="27"/>
        <v>219919000</v>
      </c>
      <c r="I107" s="113">
        <f t="shared" si="27"/>
        <v>246140700.76099569</v>
      </c>
      <c r="J107" s="113">
        <f t="shared" si="27"/>
        <v>272170346.66657126</v>
      </c>
      <c r="K107" s="113">
        <f t="shared" si="27"/>
        <v>292268516.72730857</v>
      </c>
      <c r="L107" s="113">
        <f t="shared" si="27"/>
        <v>304525406.33931917</v>
      </c>
      <c r="M107" s="113">
        <f t="shared" si="27"/>
        <v>297863330.19931006</v>
      </c>
    </row>
    <row r="108" spans="1:13" hidden="1" outlineLevel="1" x14ac:dyDescent="0.35">
      <c r="A108" t="s">
        <v>513</v>
      </c>
      <c r="E108" s="48">
        <f>SUMIFS(CashFlow[OperatingGainsLosses],CashFlow[Ticker],$B$1,CashFlow[Year],E$2,CashFlow[periodType],"&lt;&gt;TTM")</f>
        <v>0</v>
      </c>
      <c r="F108" s="48">
        <f>SUMIFS(CashFlow[OperatingGainsLosses],CashFlow[Ticker],$B$1,CashFlow[Year],F$2,CashFlow[periodType],"&lt;&gt;TTM")</f>
        <v>0</v>
      </c>
      <c r="G108" s="48">
        <f>SUMIFS(CashFlow[OperatingGainsLosses],CashFlow[Ticker],$B$1,CashFlow[Year],G$2,CashFlow[periodType],"&lt;&gt;TTM")</f>
        <v>0</v>
      </c>
      <c r="H108" s="48">
        <f>SUMIFS(CashFlow[OperatingGainsLosses],CashFlow[Ticker],$B$1,CashFlow[Year],H$2,CashFlow[periodType],"&lt;&gt;TTM")</f>
        <v>0</v>
      </c>
      <c r="I108" s="63"/>
      <c r="J108" s="63"/>
      <c r="K108" s="63"/>
      <c r="L108" s="63"/>
      <c r="M108" s="63"/>
    </row>
    <row r="109" spans="1:13" hidden="1" outlineLevel="1" x14ac:dyDescent="0.35">
      <c r="A109" t="s">
        <v>549</v>
      </c>
      <c r="E109" s="48">
        <f>SUMIFS(CashFlow[DeferredIncomeTax],CashFlow[Ticker],$B$1,CashFlow[Year],E$2,CashFlow[periodType],"&lt;&gt;TTM")</f>
        <v>-1298000</v>
      </c>
      <c r="F109" s="48">
        <f>SUMIFS(CashFlow[DeferredIncomeTax],CashFlow[Ticker],$B$1,CashFlow[Year],F$2,CashFlow[periodType],"&lt;&gt;TTM")</f>
        <v>-381000</v>
      </c>
      <c r="G109" s="48">
        <f>SUMIFS(CashFlow[DeferredIncomeTax],CashFlow[Ticker],$B$1,CashFlow[Year],G$2,CashFlow[periodType],"&lt;&gt;TTM")</f>
        <v>1142000</v>
      </c>
      <c r="H109" s="48">
        <f>SUMIFS(CashFlow[DeferredIncomeTax],CashFlow[Ticker],$B$1,CashFlow[Year],H$2,CashFlow[periodType],"&lt;&gt;TTM")</f>
        <v>-1089000</v>
      </c>
      <c r="I109" s="63"/>
      <c r="J109" s="63"/>
      <c r="K109" s="63"/>
      <c r="L109" s="63"/>
      <c r="M109" s="63"/>
    </row>
    <row r="110" spans="1:13" hidden="1" outlineLevel="1" x14ac:dyDescent="0.35">
      <c r="A110" t="s">
        <v>550</v>
      </c>
      <c r="E110" s="48">
        <f>SUMIFS(CashFlow[IncomeTaxPaidSupplementalData],CashFlow[Ticker],$B$1,CashFlow[Year],E$2,CashFlow[periodType],"&lt;&gt;TTM")</f>
        <v>0</v>
      </c>
      <c r="F110" s="48">
        <f>SUMIFS(CashFlow[IncomeTaxPaidSupplementalData],CashFlow[Ticker],$B$1,CashFlow[Year],F$2,CashFlow[periodType],"&lt;&gt;TTM")</f>
        <v>0</v>
      </c>
      <c r="G110" s="48">
        <f>SUMIFS(CashFlow[IncomeTaxPaidSupplementalData],CashFlow[Ticker],$B$1,CashFlow[Year],G$2,CashFlow[periodType],"&lt;&gt;TTM")</f>
        <v>0</v>
      </c>
      <c r="H110" s="48">
        <f>SUMIFS(CashFlow[IncomeTaxPaidSupplementalData],CashFlow[Ticker],$B$1,CashFlow[Year],H$2,CashFlow[periodType],"&lt;&gt;TTM")</f>
        <v>0</v>
      </c>
      <c r="I110" s="63"/>
      <c r="J110" s="63"/>
      <c r="K110" s="63"/>
      <c r="L110" s="63"/>
      <c r="M110" s="63"/>
    </row>
    <row r="111" spans="1:13" hidden="1" outlineLevel="1" x14ac:dyDescent="0.35">
      <c r="A111" t="s">
        <v>551</v>
      </c>
      <c r="E111" s="48">
        <f>SUMIFS(CashFlow[OtherNonCashItems],CashFlow[Ticker],$B$1,CashFlow[Year],E$2,CashFlow[periodType],"&lt;&gt;TTM")</f>
        <v>6450000</v>
      </c>
      <c r="F111" s="48">
        <f>SUMIFS(CashFlow[OtherNonCashItems],CashFlow[Ticker],$B$1,CashFlow[Year],F$2,CashFlow[periodType],"&lt;&gt;TTM")</f>
        <v>9278000</v>
      </c>
      <c r="G111" s="48">
        <f>SUMIFS(CashFlow[OtherNonCashItems],CashFlow[Ticker],$B$1,CashFlow[Year],G$2,CashFlow[periodType],"&lt;&gt;TTM")</f>
        <v>12345000</v>
      </c>
      <c r="H111" s="48">
        <f>SUMIFS(CashFlow[OtherNonCashItems],CashFlow[Ticker],$B$1,CashFlow[Year],H$2,CashFlow[periodType],"&lt;&gt;TTM")</f>
        <v>14761000</v>
      </c>
      <c r="I111" s="63"/>
      <c r="J111" s="63"/>
      <c r="K111" s="63"/>
      <c r="L111" s="63"/>
      <c r="M111" s="63"/>
    </row>
    <row r="112" spans="1:13" hidden="1" outlineLevel="1" x14ac:dyDescent="0.35">
      <c r="A112" t="s">
        <v>552</v>
      </c>
      <c r="E112" s="48">
        <f>SUMIFS(CashFlow[ProvisionandWriteOffofAssets],CashFlow[Ticker],$B$1,CashFlow[Year],E$2,CashFlow[periodType],"&lt;&gt;TTM")</f>
        <v>0</v>
      </c>
      <c r="F112" s="48">
        <f>SUMIFS(CashFlow[ProvisionandWriteOffofAssets],CashFlow[Ticker],$B$1,CashFlow[Year],F$2,CashFlow[periodType],"&lt;&gt;TTM")</f>
        <v>0</v>
      </c>
      <c r="G112" s="48">
        <f>SUMIFS(CashFlow[ProvisionandWriteOffofAssets],CashFlow[Ticker],$B$1,CashFlow[Year],G$2,CashFlow[periodType],"&lt;&gt;TTM")</f>
        <v>0</v>
      </c>
      <c r="H112" s="48">
        <f>SUMIFS(CashFlow[ProvisionandWriteOffofAssets],CashFlow[Ticker],$B$1,CashFlow[Year],H$2,CashFlow[periodType],"&lt;&gt;TTM")</f>
        <v>0</v>
      </c>
      <c r="I112" s="63"/>
      <c r="J112" s="63"/>
      <c r="K112" s="63"/>
      <c r="L112" s="63"/>
      <c r="M112" s="63"/>
    </row>
    <row r="113" spans="1:14" hidden="1" outlineLevel="1" x14ac:dyDescent="0.35">
      <c r="A113" t="s">
        <v>553</v>
      </c>
      <c r="E113" s="48">
        <f>SUMIFS(CashFlow[StockBasedCompensation],CashFlow[Ticker],$B$1,CashFlow[Year],E$2,CashFlow[periodType],"&lt;&gt;TTM")</f>
        <v>0</v>
      </c>
      <c r="F113" s="48">
        <f>SUMIFS(CashFlow[StockBasedCompensation],CashFlow[Ticker],$B$1,CashFlow[Year],F$2,CashFlow[periodType],"&lt;&gt;TTM")</f>
        <v>0</v>
      </c>
      <c r="G113" s="48">
        <f>SUMIFS(CashFlow[StockBasedCompensation],CashFlow[Ticker],$B$1,CashFlow[Year],G$2,CashFlow[periodType],"&lt;&gt;TTM")</f>
        <v>0</v>
      </c>
      <c r="H113" s="48">
        <f>SUMIFS(CashFlow[StockBasedCompensation],CashFlow[Ticker],$B$1,CashFlow[Year],H$2,CashFlow[periodType],"&lt;&gt;TTM")</f>
        <v>0</v>
      </c>
      <c r="I113" s="113">
        <f>AVERAGE($E$113:$H$113)</f>
        <v>0</v>
      </c>
      <c r="J113" s="113">
        <f>AVERAGE($E$113:$H$113)</f>
        <v>0</v>
      </c>
      <c r="K113" s="113">
        <f>AVERAGE($E$113:$H$113)</f>
        <v>0</v>
      </c>
      <c r="L113" s="113">
        <f>AVERAGE($E$113:$H$113)</f>
        <v>0</v>
      </c>
      <c r="M113" s="113">
        <f>AVERAGE($E$113:$H$113)</f>
        <v>0</v>
      </c>
      <c r="N113" t="s">
        <v>565</v>
      </c>
    </row>
    <row r="114" spans="1:14" hidden="1" outlineLevel="1" x14ac:dyDescent="0.35">
      <c r="A114" t="s">
        <v>548</v>
      </c>
      <c r="E114" s="48">
        <f>SUMIFS(CashFlow[PensionAndEmployeeBenefitExpense],CashFlow[Ticker],$B$1,CashFlow[Year],E$2,CashFlow[periodType],"&lt;&gt;TTM")</f>
        <v>0</v>
      </c>
      <c r="F114" s="48">
        <f>SUMIFS(CashFlow[PensionAndEmployeeBenefitExpense],CashFlow[Ticker],$B$1,CashFlow[Year],F$2,CashFlow[periodType],"&lt;&gt;TTM")</f>
        <v>0</v>
      </c>
      <c r="G114" s="48">
        <f>SUMIFS(CashFlow[PensionAndEmployeeBenefitExpense],CashFlow[Ticker],$B$1,CashFlow[Year],G$2,CashFlow[periodType],"&lt;&gt;TTM")</f>
        <v>0</v>
      </c>
      <c r="H114" s="48">
        <f>SUMIFS(CashFlow[PensionAndEmployeeBenefitExpense],CashFlow[Ticker],$B$1,CashFlow[Year],H$2,CashFlow[periodType],"&lt;&gt;TTM")</f>
        <v>0</v>
      </c>
      <c r="I114" s="63"/>
      <c r="J114" s="63"/>
      <c r="K114" s="63"/>
      <c r="L114" s="63"/>
      <c r="M114" s="63"/>
    </row>
    <row r="115" spans="1:14" hidden="1" outlineLevel="1" x14ac:dyDescent="0.35">
      <c r="A115" t="s">
        <v>52</v>
      </c>
      <c r="E115" s="48">
        <f>SUMIFS(CashFlow[DepreciationAndAmortization],CashFlow[Ticker],$B$1,CashFlow[Year],E2,CashFlow[periodType],"&lt;&gt;TTM")</f>
        <v>20863000</v>
      </c>
      <c r="F115" s="48">
        <f>SUMIFS(CashFlow[DepreciationAndAmortization],CashFlow[Ticker],$B$1,CashFlow[Year],F2,CashFlow[periodType],"&lt;&gt;TTM")</f>
        <v>18689000</v>
      </c>
      <c r="G115" s="48">
        <f>SUMIFS(CashFlow[DepreciationAndAmortization],CashFlow[Ticker],$B$1,CashFlow[Year],G2,CashFlow[periodType],"&lt;&gt;TTM")</f>
        <v>18855000</v>
      </c>
      <c r="H115" s="48">
        <f>SUMIFS(CashFlow[DepreciationAndAmortization],CashFlow[Ticker],$B$1,CashFlow[Year],H2,CashFlow[periodType],"&lt;&gt;TTM")</f>
        <v>20830000</v>
      </c>
      <c r="I115" s="87">
        <f>I155</f>
        <v>20672355.371475209</v>
      </c>
      <c r="J115" s="87">
        <f>J155</f>
        <v>20843215.42292675</v>
      </c>
      <c r="K115" s="87">
        <f>K155</f>
        <v>21086258.875576328</v>
      </c>
      <c r="L115" s="87">
        <f>L155</f>
        <v>21382053.230814673</v>
      </c>
      <c r="M115" s="87">
        <f>M155</f>
        <v>21706055.053717099</v>
      </c>
      <c r="N115" t="s">
        <v>133</v>
      </c>
    </row>
    <row r="116" spans="1:14" hidden="1" outlineLevel="1" x14ac:dyDescent="0.35">
      <c r="A116" s="51" t="s">
        <v>512</v>
      </c>
      <c r="B116" s="51"/>
      <c r="C116" s="51"/>
      <c r="D116" s="51"/>
      <c r="E116" s="108">
        <f>SUMIFS(CashFlow[ChangeInWorkingCapital],CashFlow[Ticker],$B$1,CashFlow[Year],E2,CashFlow[periodType],"&lt;&gt;TTM")</f>
        <v>71266000</v>
      </c>
      <c r="F116" s="108">
        <f>SUMIFS(CashFlow[ChangeInWorkingCapital],CashFlow[Ticker],$B$1,CashFlow[Year],F2,CashFlow[periodType],"&lt;&gt;TTM")</f>
        <v>29348000</v>
      </c>
      <c r="G116" s="108">
        <f>SUMIFS(CashFlow[ChangeInWorkingCapital],CashFlow[Ticker],$B$1,CashFlow[Year],G2,CashFlow[periodType],"&lt;&gt;TTM")</f>
        <v>-44586000</v>
      </c>
      <c r="H116" s="108">
        <f>SUMIFS(CashFlow[ChangeInWorkingCapital],CashFlow[Ticker],$B$1,CashFlow[Year],H2,CashFlow[periodType],"&lt;&gt;TTM")</f>
        <v>223000</v>
      </c>
      <c r="I116" s="87">
        <f>I150</f>
        <v>-6355492.7892585397</v>
      </c>
      <c r="J116" s="87">
        <f>J150</f>
        <v>6232388.0186103731</v>
      </c>
      <c r="K116" s="87">
        <f>K150</f>
        <v>4812189.7138717175</v>
      </c>
      <c r="L116" s="87">
        <f>L150</f>
        <v>2934718.8294620961</v>
      </c>
      <c r="M116" s="87">
        <f>M150</f>
        <v>-1595129.0180696547</v>
      </c>
      <c r="N116" t="s">
        <v>133</v>
      </c>
    </row>
    <row r="117" spans="1:14" hidden="1" outlineLevel="1" x14ac:dyDescent="0.35">
      <c r="A117" s="51" t="s">
        <v>554</v>
      </c>
      <c r="B117" s="51"/>
      <c r="C117" s="51"/>
      <c r="D117" s="51"/>
      <c r="E117" s="48">
        <f>SUMIFS(CashFlow[ChangeInOtherWorkingCapital],CashFlow[Ticker],$B$1,CashFlow[Year],E$2,CashFlow[periodType],"&lt;&gt;TTM")</f>
        <v>14166000</v>
      </c>
      <c r="F117" s="48">
        <f>SUMIFS(CashFlow[ChangeInOtherWorkingCapital],CashFlow[Ticker],$B$1,CashFlow[Year],F$2,CashFlow[periodType],"&lt;&gt;TTM")</f>
        <v>31058000</v>
      </c>
      <c r="G117" s="48">
        <f>SUMIFS(CashFlow[ChangeInOtherWorkingCapital],CashFlow[Ticker],$B$1,CashFlow[Year],G$2,CashFlow[periodType],"&lt;&gt;TTM")</f>
        <v>-433000</v>
      </c>
      <c r="H117" s="48">
        <f>SUMIFS(CashFlow[ChangeInOtherWorkingCapital],CashFlow[Ticker],$B$1,CashFlow[Year],H$2,CashFlow[periodType],"&lt;&gt;TTM")</f>
        <v>-690000</v>
      </c>
      <c r="I117" s="63">
        <f>AVERAGE($E$117:$H$117)</f>
        <v>11025250</v>
      </c>
      <c r="J117" s="63">
        <f>AVERAGE($E$117:$H$117)</f>
        <v>11025250</v>
      </c>
      <c r="K117" s="63">
        <f>AVERAGE($E$117:$H$117)</f>
        <v>11025250</v>
      </c>
      <c r="L117" s="63">
        <f>AVERAGE($E$117:$H$117)</f>
        <v>11025250</v>
      </c>
      <c r="M117" s="63">
        <f>AVERAGE($E$117:$H$117)</f>
        <v>11025250</v>
      </c>
    </row>
    <row r="118" spans="1:14" ht="15" hidden="1" outlineLevel="1" thickBot="1" x14ac:dyDescent="0.4">
      <c r="A118" s="109" t="s">
        <v>54</v>
      </c>
      <c r="B118" s="109"/>
      <c r="C118" s="109"/>
      <c r="D118" s="109"/>
      <c r="E118" s="110">
        <f t="shared" ref="E118:M118" si="28">SUM(E107:E115)-SUM(E116:E117)</f>
        <v>70722000</v>
      </c>
      <c r="F118" s="110">
        <f t="shared" si="28"/>
        <v>222000000</v>
      </c>
      <c r="G118" s="110">
        <f t="shared" si="28"/>
        <v>331987000</v>
      </c>
      <c r="H118" s="110">
        <f>SUM(H107:H115)-SUM(H116:H117)</f>
        <v>254888000</v>
      </c>
      <c r="I118" s="88">
        <f>SUM(I107:I115)-SUM(I116:I117)</f>
        <v>262143298.92172945</v>
      </c>
      <c r="J118" s="88">
        <f t="shared" si="28"/>
        <v>275755924.07088763</v>
      </c>
      <c r="K118" s="88">
        <f t="shared" si="28"/>
        <v>297517335.88901317</v>
      </c>
      <c r="L118" s="88">
        <f t="shared" si="28"/>
        <v>311947490.74067175</v>
      </c>
      <c r="M118" s="88">
        <f t="shared" si="28"/>
        <v>310139264.27109683</v>
      </c>
    </row>
    <row r="119" spans="1:14" ht="15" hidden="1" outlineLevel="1" thickTop="1" x14ac:dyDescent="0.35">
      <c r="A119" s="3" t="s">
        <v>486</v>
      </c>
      <c r="B119" s="3"/>
      <c r="C119" s="3"/>
      <c r="D119" s="3"/>
      <c r="E119" s="54">
        <f>SUMIFS(CashFlow[CashFlowFromContinuingOperatingActivities],CashFlow[Ticker],$B$1,CashFlow[Year],E2,CashFlow[periodType],"&lt;&gt;TTM")</f>
        <v>227420000</v>
      </c>
      <c r="F119" s="54">
        <f>SUMIFS(CashFlow[CashFlowFromContinuingOperatingActivities],CashFlow[Ticker],$B$1,CashFlow[Year],F2,CashFlow[periodType],"&lt;&gt;TTM")</f>
        <v>311754000</v>
      </c>
      <c r="G119" s="54">
        <f>SUMIFS(CashFlow[CashFlowFromContinuingOperatingActivities],CashFlow[Ticker],$B$1,CashFlow[Year],G2,CashFlow[periodType],"&lt;&gt;TTM")</f>
        <v>242382000</v>
      </c>
      <c r="H119" s="54">
        <f>SUMIFS(CashFlow[CashFlowFromContinuingOperatingActivities],CashFlow[Ticker],$B$1,CashFlow[Year],H2,CashFlow[periodType],"&lt;&gt;TTM")</f>
        <v>254644000</v>
      </c>
      <c r="I119" s="54"/>
      <c r="J119" s="54"/>
      <c r="K119" s="54"/>
      <c r="L119" s="54"/>
      <c r="M119" s="54"/>
    </row>
    <row r="120" spans="1:14" hidden="1" outlineLevel="1" x14ac:dyDescent="0.35">
      <c r="A120" s="3"/>
      <c r="B120" s="3"/>
      <c r="C120" s="3"/>
      <c r="D120" s="3"/>
      <c r="E120" s="112">
        <f>E118-E119</f>
        <v>-156698000</v>
      </c>
      <c r="F120" s="112">
        <f>F118-F119</f>
        <v>-89754000</v>
      </c>
      <c r="G120" s="112">
        <f>G118-G119</f>
        <v>89605000</v>
      </c>
      <c r="H120" s="112">
        <f>H118-H119</f>
        <v>244000</v>
      </c>
      <c r="I120" s="54"/>
      <c r="J120" s="54"/>
      <c r="K120" s="54"/>
      <c r="L120" s="54"/>
      <c r="M120" s="54"/>
    </row>
    <row r="121" spans="1:14" hidden="1" outlineLevel="1" x14ac:dyDescent="0.35">
      <c r="A121" s="3"/>
      <c r="B121" s="3"/>
      <c r="C121" s="3"/>
      <c r="D121" s="3"/>
      <c r="E121" s="112"/>
      <c r="F121" s="112"/>
      <c r="G121" s="112"/>
      <c r="H121" s="112"/>
      <c r="I121" s="54"/>
      <c r="J121" s="54"/>
      <c r="K121" s="54"/>
      <c r="L121" s="54"/>
      <c r="M121" s="54"/>
    </row>
    <row r="122" spans="1:14" hidden="1" outlineLevel="1" x14ac:dyDescent="0.35">
      <c r="A122" s="3" t="s">
        <v>55</v>
      </c>
      <c r="L122" s="10"/>
      <c r="M122" s="10"/>
    </row>
    <row r="123" spans="1:14" hidden="1" outlineLevel="1" x14ac:dyDescent="0.35">
      <c r="A123" t="s">
        <v>515</v>
      </c>
      <c r="E123" s="59">
        <f>-SUMIFS(CashFlow[CapitalExpenditure],CashFlow[Ticker],$B$1,CashFlow[Year],E$2,CashFlow[periodType],"&lt;&gt;TTM")</f>
        <v>7657000</v>
      </c>
      <c r="F123" s="59">
        <f>-SUMIFS(CashFlow[CapitalExpenditure],CashFlow[Ticker],$B$1,CashFlow[Year],F$2,CashFlow[periodType],"&lt;&gt;TTM")</f>
        <v>19100000</v>
      </c>
      <c r="G123" s="59">
        <f>-SUMIFS(CashFlow[CapitalExpenditure],CashFlow[Ticker],$B$1,CashFlow[Year],G$2,CashFlow[periodType],"&lt;&gt;TTM")</f>
        <v>30360000</v>
      </c>
      <c r="H123" s="59">
        <f>-SUMIFS(CashFlow[CapitalExpenditure],CashFlow[Ticker],$B$1,CashFlow[Year],H$2,CashFlow[periodType],"&lt;&gt;TTM")</f>
        <v>37274000</v>
      </c>
      <c r="I123" s="73">
        <f>I154</f>
        <v>27035278.620727643</v>
      </c>
      <c r="J123" s="73">
        <f>J154</f>
        <v>29894288.639308169</v>
      </c>
      <c r="K123" s="73">
        <f>K154</f>
        <v>32101805.01380004</v>
      </c>
      <c r="L123" s="73">
        <f>L154</f>
        <v>33448061.137471225</v>
      </c>
      <c r="M123" s="73">
        <f>M154</f>
        <v>32716320.778884478</v>
      </c>
    </row>
    <row r="124" spans="1:14" hidden="1" outlineLevel="1" x14ac:dyDescent="0.35">
      <c r="A124" t="s">
        <v>517</v>
      </c>
      <c r="E124" s="59">
        <f>SUMIFS(CashFlow[SaleOfBusiness],CashFlow[Ticker],$B$1,CashFlow[Year],E$2,CashFlow[periodType],"&lt;&gt;TTM")</f>
        <v>0</v>
      </c>
      <c r="F124" s="59">
        <f>SUMIFS(CashFlow[SaleOfBusiness],CashFlow[Ticker],$B$1,CashFlow[Year],F$2,CashFlow[periodType],"&lt;&gt;TTM")</f>
        <v>0</v>
      </c>
      <c r="G124" s="59">
        <f>SUMIFS(CashFlow[SaleOfBusiness],CashFlow[Ticker],$B$1,CashFlow[Year],G$2,CashFlow[periodType],"&lt;&gt;TTM")</f>
        <v>0</v>
      </c>
      <c r="H124" s="59">
        <f>SUMIFS(CashFlow[SaleOfBusiness],CashFlow[Ticker],$B$1,CashFlow[Year],H$2,CashFlow[periodType],"&lt;&gt;TTM")</f>
        <v>0</v>
      </c>
      <c r="I124" s="73">
        <v>0</v>
      </c>
      <c r="J124" s="73">
        <v>0</v>
      </c>
      <c r="K124" s="73">
        <v>0</v>
      </c>
      <c r="L124" s="73">
        <v>0</v>
      </c>
      <c r="M124" s="73">
        <v>0</v>
      </c>
      <c r="N124" t="s">
        <v>620</v>
      </c>
    </row>
    <row r="125" spans="1:14" hidden="1" outlineLevel="1" x14ac:dyDescent="0.35">
      <c r="A125" s="58" t="s">
        <v>516</v>
      </c>
      <c r="B125" s="58"/>
      <c r="C125" s="58"/>
      <c r="D125" s="58"/>
      <c r="E125" s="60">
        <f>E127-E123</f>
        <v>-6889000</v>
      </c>
      <c r="F125" s="60">
        <f>F127-F123</f>
        <v>9675000</v>
      </c>
      <c r="G125" s="60">
        <f>G127-G123</f>
        <v>11039000</v>
      </c>
      <c r="H125" s="60">
        <f>H127-H123</f>
        <v>4496000</v>
      </c>
      <c r="I125" s="73">
        <f>AVERAGE(E125:H125)</f>
        <v>4580250</v>
      </c>
      <c r="J125" s="73">
        <f>AVERAGE(F125:I125)</f>
        <v>7447562.5</v>
      </c>
      <c r="K125" s="73">
        <f>AVERAGE(G125:J125)</f>
        <v>6890703.125</v>
      </c>
      <c r="L125" s="73">
        <f>AVERAGE(H125:K125)</f>
        <v>5853628.90625</v>
      </c>
      <c r="M125" s="73">
        <f>AVERAGE(I125:L125)</f>
        <v>6193036.1328125</v>
      </c>
      <c r="N125" t="s">
        <v>565</v>
      </c>
    </row>
    <row r="126" spans="1:14" ht="15" hidden="1" outlineLevel="1" thickBot="1" x14ac:dyDescent="0.4">
      <c r="A126" s="56" t="s">
        <v>57</v>
      </c>
      <c r="B126" s="56"/>
      <c r="C126" s="56"/>
      <c r="D126" s="56"/>
      <c r="E126" s="57">
        <f t="shared" ref="E126:M126" si="29">SUM(E123)-E124+E125</f>
        <v>768000</v>
      </c>
      <c r="F126" s="57">
        <f t="shared" si="29"/>
        <v>28775000</v>
      </c>
      <c r="G126" s="57">
        <f t="shared" si="29"/>
        <v>41399000</v>
      </c>
      <c r="H126" s="57">
        <f t="shared" si="29"/>
        <v>41770000</v>
      </c>
      <c r="I126" s="57">
        <f t="shared" si="29"/>
        <v>31615528.620727643</v>
      </c>
      <c r="J126" s="57">
        <f t="shared" si="29"/>
        <v>37341851.139308169</v>
      </c>
      <c r="K126" s="57">
        <f t="shared" si="29"/>
        <v>38992508.13880004</v>
      </c>
      <c r="L126" s="57">
        <f t="shared" si="29"/>
        <v>39301690.043721229</v>
      </c>
      <c r="M126" s="57">
        <f t="shared" si="29"/>
        <v>38909356.911696978</v>
      </c>
    </row>
    <row r="127" spans="1:14" ht="15" hidden="1" outlineLevel="1" thickTop="1" x14ac:dyDescent="0.35">
      <c r="A127" s="3" t="s">
        <v>487</v>
      </c>
      <c r="B127" s="3"/>
      <c r="C127" s="3"/>
      <c r="D127" s="3"/>
      <c r="E127" s="54">
        <f>-SUMIFS(CashFlow[CashFlowFromContinuingInvestingActivities],CashFlow[Ticker],$B$1,CashFlow[Year],E2,CashFlow[periodType],"&lt;&gt;TTM")</f>
        <v>768000</v>
      </c>
      <c r="F127" s="54">
        <f>-SUMIFS(CashFlow[CashFlowFromContinuingInvestingActivities],CashFlow[Ticker],$B$1,CashFlow[Year],F2,CashFlow[periodType],"&lt;&gt;TTM")</f>
        <v>28775000</v>
      </c>
      <c r="G127" s="54">
        <f>-SUMIFS(CashFlow[CashFlowFromContinuingInvestingActivities],CashFlow[Ticker],$B$1,CashFlow[Year],G2,CashFlow[periodType],"&lt;&gt;TTM")</f>
        <v>41399000</v>
      </c>
      <c r="H127" s="54">
        <f>-SUMIFS(CashFlow[CashFlowFromContinuingInvestingActivities],CashFlow[Ticker],$B$1,CashFlow[Year],H2,CashFlow[periodType],"&lt;&gt;TTM")</f>
        <v>41770000</v>
      </c>
      <c r="I127" s="54"/>
      <c r="J127" s="54"/>
      <c r="K127" s="54"/>
      <c r="L127" s="54"/>
      <c r="M127" s="54"/>
    </row>
    <row r="128" spans="1:14" hidden="1" outlineLevel="1" x14ac:dyDescent="0.35">
      <c r="L128" s="10"/>
      <c r="M128" s="10"/>
    </row>
    <row r="129" spans="1:14" hidden="1" outlineLevel="1" x14ac:dyDescent="0.35">
      <c r="A129" s="3" t="s">
        <v>58</v>
      </c>
      <c r="E129" s="79"/>
      <c r="F129" s="79"/>
      <c r="G129" s="79"/>
      <c r="H129" s="79"/>
      <c r="L129" s="10"/>
      <c r="M129" s="10"/>
    </row>
    <row r="130" spans="1:14" hidden="1" outlineLevel="1" x14ac:dyDescent="0.35">
      <c r="A130" t="s">
        <v>514</v>
      </c>
      <c r="E130" s="10">
        <f>-SUMIFS(CashFlow[CashDividendsPaid],CashFlow[Ticker],$B$1,CashFlow[Year],E$2,CashFlow[periodType],"&lt;&gt;TTM")</f>
        <v>128460000</v>
      </c>
      <c r="F130" s="10">
        <f>-SUMIFS(CashFlow[CashDividendsPaid],CashFlow[Ticker],$B$1,CashFlow[Year],F$2,CashFlow[periodType],"&lt;&gt;TTM")</f>
        <v>347798000</v>
      </c>
      <c r="G130" s="10">
        <f>-SUMIFS(CashFlow[CashDividendsPaid],CashFlow[Ticker],$B$1,CashFlow[Year],G$2,CashFlow[periodType],"&lt;&gt;TTM")</f>
        <v>202876000</v>
      </c>
      <c r="H130" s="10">
        <f>-SUMIFS(CashFlow[CashDividendsPaid],CashFlow[Ticker],$B$1,CashFlow[Year],H$2,CashFlow[periodType],"&lt;&gt;TTM")</f>
        <v>196738000</v>
      </c>
      <c r="I130" s="10">
        <f>I24*I31</f>
        <v>257530382.31239176</v>
      </c>
      <c r="J130" s="10">
        <f>J24*J31</f>
        <v>299426988.88128817</v>
      </c>
      <c r="K130" s="10">
        <f>K24*K31</f>
        <v>287505598.3186844</v>
      </c>
      <c r="L130" s="10">
        <f>L24*L31</f>
        <v>307528167.63287032</v>
      </c>
      <c r="M130" s="10">
        <f>M24*M31</f>
        <v>308287255.59086335</v>
      </c>
    </row>
    <row r="131" spans="1:14" hidden="1" outlineLevel="1" x14ac:dyDescent="0.35">
      <c r="A131" t="s">
        <v>59</v>
      </c>
      <c r="E131" s="10">
        <f>SUMIFS(CashFlow[NetIssuancePaymentsOfDebt],CashFlow[Ticker],$B$1,CashFlow[Year],E$2,CashFlow[periodType],"&lt;&gt;TTM")</f>
        <v>0</v>
      </c>
      <c r="F131" s="10">
        <f>SUMIFS(CashFlow[NetIssuancePaymentsOfDebt],CashFlow[Ticker],$B$1,CashFlow[Year],F$2,CashFlow[periodType],"&lt;&gt;TTM")</f>
        <v>0</v>
      </c>
      <c r="G131" s="10">
        <f>SUMIFS(CashFlow[NetIssuancePaymentsOfDebt],CashFlow[Ticker],$B$1,CashFlow[Year],G$2,CashFlow[periodType],"&lt;&gt;TTM")</f>
        <v>0</v>
      </c>
      <c r="H131" s="10">
        <f>SUMIFS(CashFlow[NetIssuancePaymentsOfDebt],CashFlow[Ticker],$B$1,CashFlow[Year],H$2,CashFlow[periodType],"&lt;&gt;TTM")</f>
        <v>0</v>
      </c>
      <c r="I131" s="10">
        <f t="shared" ref="I131:M132" si="30">AVERAGE(E131:H131)</f>
        <v>0</v>
      </c>
      <c r="J131" s="10">
        <f t="shared" si="30"/>
        <v>0</v>
      </c>
      <c r="K131" s="10">
        <f t="shared" si="30"/>
        <v>0</v>
      </c>
      <c r="L131" s="10">
        <f t="shared" si="30"/>
        <v>0</v>
      </c>
      <c r="M131" s="10">
        <f t="shared" si="30"/>
        <v>0</v>
      </c>
      <c r="N131" t="s">
        <v>565</v>
      </c>
    </row>
    <row r="132" spans="1:14" hidden="1" outlineLevel="1" x14ac:dyDescent="0.35">
      <c r="A132" s="4" t="s">
        <v>60</v>
      </c>
      <c r="B132" s="4"/>
      <c r="C132" s="4"/>
      <c r="D132" s="4"/>
      <c r="E132" s="13">
        <f>SUMIFS(CashFlow[NetCommonStockIssuance],CashFlow[Ticker],$B$1,CashFlow[Year],E2,CashFlow[periodType],"&lt;&gt;TTM")</f>
        <v>-372000</v>
      </c>
      <c r="F132" s="13">
        <f>SUMIFS(CashFlow[NetCommonStockIssuance],CashFlow[Ticker],$B$1,CashFlow[Year],F2,CashFlow[periodType],"&lt;&gt;TTM")</f>
        <v>0</v>
      </c>
      <c r="G132" s="13">
        <f>SUMIFS(CashFlow[NetCommonStockIssuance],CashFlow[Ticker],$B$1,CashFlow[Year],G2,CashFlow[periodType],"&lt;&gt;TTM")</f>
        <v>0</v>
      </c>
      <c r="H132" s="13">
        <f>SUMIFS(CashFlow[NetCommonStockIssuance],CashFlow[Ticker],$B$1,CashFlow[Year],H2,CashFlow[periodType],"&lt;&gt;TTM")</f>
        <v>0</v>
      </c>
      <c r="I132" s="13">
        <f t="shared" si="30"/>
        <v>-93000</v>
      </c>
      <c r="J132" s="13">
        <f t="shared" si="30"/>
        <v>-23250</v>
      </c>
      <c r="K132" s="13">
        <f t="shared" si="30"/>
        <v>-29062.5</v>
      </c>
      <c r="L132" s="13">
        <f t="shared" si="30"/>
        <v>-36328.125</v>
      </c>
      <c r="M132" s="13">
        <f t="shared" si="30"/>
        <v>-45410.15625</v>
      </c>
      <c r="N132" t="s">
        <v>565</v>
      </c>
    </row>
    <row r="133" spans="1:14" ht="15" hidden="1" outlineLevel="1" thickBot="1" x14ac:dyDescent="0.4">
      <c r="A133" s="6" t="s">
        <v>61</v>
      </c>
      <c r="B133" s="6"/>
      <c r="C133" s="6"/>
      <c r="D133" s="6"/>
      <c r="E133" s="15">
        <f>SUM(E130:E132)</f>
        <v>128088000</v>
      </c>
      <c r="F133" s="15">
        <f t="shared" ref="F133:M133" si="31">SUM(F130:F132)</f>
        <v>347798000</v>
      </c>
      <c r="G133" s="15">
        <f t="shared" si="31"/>
        <v>202876000</v>
      </c>
      <c r="H133" s="15">
        <f t="shared" si="31"/>
        <v>196738000</v>
      </c>
      <c r="I133" s="15">
        <f t="shared" si="31"/>
        <v>257437382.31239176</v>
      </c>
      <c r="J133" s="15">
        <f t="shared" si="31"/>
        <v>299403738.88128817</v>
      </c>
      <c r="K133" s="15">
        <f t="shared" si="31"/>
        <v>287476535.8186844</v>
      </c>
      <c r="L133" s="15">
        <f t="shared" si="31"/>
        <v>307491839.50787032</v>
      </c>
      <c r="M133" s="15">
        <f t="shared" si="31"/>
        <v>308241845.43461335</v>
      </c>
    </row>
    <row r="134" spans="1:14" ht="15" hidden="1" outlineLevel="1" thickTop="1" x14ac:dyDescent="0.35">
      <c r="A134" s="3" t="s">
        <v>488</v>
      </c>
      <c r="B134" s="3"/>
      <c r="C134" s="3"/>
      <c r="D134" s="3"/>
      <c r="E134" s="54">
        <f>SUMIFS(CashFlow[CashFlowFromContinuingFinancingActivities],CashFlow[Ticker],$B$1,CashFlow[Year],E2,CashFlow[periodType],"&lt;&gt;TTM")</f>
        <v>-128832000</v>
      </c>
      <c r="F134" s="54">
        <f>SUMIFS(CashFlow[CashFlowFromContinuingFinancingActivities],CashFlow[Ticker],$B$1,CashFlow[Year],F2,CashFlow[periodType],"&lt;&gt;TTM")</f>
        <v>-347798000</v>
      </c>
      <c r="G134" s="54">
        <f>SUMIFS(CashFlow[CashFlowFromContinuingFinancingActivities],CashFlow[Ticker],$B$1,CashFlow[Year],G2,CashFlow[periodType],"&lt;&gt;TTM")</f>
        <v>-202876000</v>
      </c>
      <c r="H134" s="54">
        <f>SUMIFS(CashFlow[CashFlowFromContinuingFinancingActivities],CashFlow[Ticker],$B$1,CashFlow[Year],H2,CashFlow[periodType],"&lt;&gt;TTM")</f>
        <v>-196738000</v>
      </c>
      <c r="I134" s="54"/>
      <c r="J134" s="54"/>
      <c r="K134" s="54"/>
      <c r="L134" s="54"/>
      <c r="M134" s="54"/>
    </row>
    <row r="135" spans="1:14" hidden="1" outlineLevel="1" x14ac:dyDescent="0.35">
      <c r="L135" s="10"/>
      <c r="M135" s="10"/>
    </row>
    <row r="136" spans="1:14" hidden="1" outlineLevel="1" x14ac:dyDescent="0.35">
      <c r="A136" t="s">
        <v>511</v>
      </c>
      <c r="E136" s="48">
        <f>SUMIFS(CashFlow[ChangesInCash],CashFlow[Ticker],$B$1,CashFlow[Year],E2,CashFlow[periodType],"&lt;&gt;TTM")</f>
        <v>97820000</v>
      </c>
      <c r="F136" s="48">
        <f>SUMIFS(CashFlow[ChangesInCash],CashFlow[Ticker],$B$1,CashFlow[Year],F2,CashFlow[periodType],"&lt;&gt;TTM")</f>
        <v>-64819000</v>
      </c>
      <c r="G136" s="48">
        <f>SUMIFS(CashFlow[ChangesInCash],CashFlow[Ticker],$B$1,CashFlow[Year],G2,CashFlow[periodType],"&lt;&gt;TTM")</f>
        <v>-1893000</v>
      </c>
      <c r="H136" s="48">
        <f>SUMIFS(CashFlow[ChangesInCash],CashFlow[Ticker],$B$1,CashFlow[Year],H2,CashFlow[periodType],"&lt;&gt;TTM")</f>
        <v>16136000</v>
      </c>
      <c r="I136" s="17">
        <f>I118-I126+I133</f>
        <v>487965152.61339355</v>
      </c>
      <c r="J136" s="17">
        <f>J118-J126+J133</f>
        <v>537817811.81286764</v>
      </c>
      <c r="K136" s="17">
        <f>K118-K126+K133</f>
        <v>546001363.56889749</v>
      </c>
      <c r="L136" s="17">
        <f>L118-L126+L133</f>
        <v>580137640.20482087</v>
      </c>
      <c r="M136" s="17">
        <f>M118-M126+M133</f>
        <v>579471752.79401326</v>
      </c>
    </row>
    <row r="137" spans="1:14" hidden="1" outlineLevel="1" x14ac:dyDescent="0.35">
      <c r="A137" t="s">
        <v>510</v>
      </c>
      <c r="E137" s="111">
        <f>SUMIFS(CashFlow[BeginningCashPosition],CashFlow[Ticker],$B$1,CashFlow[Year],E2,CashFlow[periodType],"&lt;&gt;TTM")</f>
        <v>220969000</v>
      </c>
      <c r="F137" s="111">
        <f>SUMIFS(CashFlow[BeginningCashPosition],CashFlow[Ticker],$B$1,CashFlow[Year],F2,CashFlow[periodType],"&lt;&gt;TTM")</f>
        <v>318789000</v>
      </c>
      <c r="G137" s="111">
        <f>SUMIFS(CashFlow[BeginningCashPosition],CashFlow[Ticker],$B$1,CashFlow[Year],G2,CashFlow[periodType],"&lt;&gt;TTM")</f>
        <v>253970000</v>
      </c>
      <c r="H137" s="111">
        <f>SUMIFS(CashFlow[BeginningCashPosition],CashFlow[Ticker],$B$1,CashFlow[Year],H2,CashFlow[periodType],"&lt;&gt;TTM")</f>
        <v>252077000</v>
      </c>
      <c r="I137" s="73">
        <f>H138</f>
        <v>268213000</v>
      </c>
      <c r="J137" s="73">
        <f>I138</f>
        <v>756178152.61339355</v>
      </c>
      <c r="K137" s="73">
        <f>J138</f>
        <v>1293995964.4262612</v>
      </c>
      <c r="L137" s="73">
        <f>K138</f>
        <v>1839997327.9951587</v>
      </c>
      <c r="M137" s="73">
        <f>L138</f>
        <v>2420134968.1999798</v>
      </c>
    </row>
    <row r="138" spans="1:14" ht="15" hidden="1" outlineLevel="1" thickBot="1" x14ac:dyDescent="0.4">
      <c r="A138" s="56" t="s">
        <v>64</v>
      </c>
      <c r="B138" s="56"/>
      <c r="C138" s="56"/>
      <c r="D138" s="56"/>
      <c r="E138" s="57">
        <f>SUM(E136)+E137</f>
        <v>318789000</v>
      </c>
      <c r="F138" s="57">
        <f>SUM(F136)+F137</f>
        <v>253970000</v>
      </c>
      <c r="G138" s="57">
        <f>SUM(G136)+G137</f>
        <v>252077000</v>
      </c>
      <c r="H138" s="57">
        <f>SUM(H136)+H137</f>
        <v>268213000</v>
      </c>
      <c r="I138" s="57">
        <f>SUM(I136:I137)</f>
        <v>756178152.61339355</v>
      </c>
      <c r="J138" s="57">
        <f>SUM(J136:J137)</f>
        <v>1293995964.4262612</v>
      </c>
      <c r="K138" s="57">
        <f>SUM(K136:K137)</f>
        <v>1839997327.9951587</v>
      </c>
      <c r="L138" s="57">
        <f>SUM(L136:L137)</f>
        <v>2420134968.1999798</v>
      </c>
      <c r="M138" s="57">
        <f>SUM(M136:M137)</f>
        <v>2999606720.9939928</v>
      </c>
    </row>
    <row r="139" spans="1:14" ht="15" hidden="1" outlineLevel="1" thickTop="1" x14ac:dyDescent="0.35">
      <c r="A139" s="61" t="s">
        <v>489</v>
      </c>
      <c r="B139" s="61"/>
      <c r="C139" s="61"/>
      <c r="D139" s="61"/>
      <c r="E139" s="89">
        <f>SUMIFS(CashFlow[EndCashPosition],CashFlow[Ticker],$B$1,CashFlow[Year],E2,CashFlow[periodType],"&lt;&gt;TTM")</f>
        <v>318789000</v>
      </c>
      <c r="F139" s="89">
        <f>SUMIFS(CashFlow[EndCashPosition],CashFlow[Ticker],$B$1,CashFlow[Year],F2,CashFlow[periodType],"&lt;&gt;TTM")</f>
        <v>253970000</v>
      </c>
      <c r="G139" s="89">
        <f>SUMIFS(CashFlow[EndCashPosition],CashFlow[Ticker],$B$1,CashFlow[Year],G2,CashFlow[periodType],"&lt;&gt;TTM")</f>
        <v>252077000</v>
      </c>
      <c r="H139" s="89">
        <f>SUMIFS(CashFlow[EndCashPosition],CashFlow[Ticker],$B$1,CashFlow[Year],H2,CashFlow[periodType],"&lt;&gt;TTM")</f>
        <v>268213000</v>
      </c>
      <c r="I139" s="54"/>
      <c r="J139" s="54"/>
      <c r="K139" s="54"/>
      <c r="L139" s="54"/>
      <c r="M139" s="54"/>
    </row>
    <row r="140" spans="1:14" hidden="1" outlineLevel="1" x14ac:dyDescent="0.35">
      <c r="L140" s="10"/>
      <c r="M140" s="10"/>
    </row>
    <row r="141" spans="1:14" hidden="1" outlineLevel="1" x14ac:dyDescent="0.35">
      <c r="A141" t="s">
        <v>50</v>
      </c>
      <c r="E141" s="10">
        <f t="shared" ref="E141:M141" si="32">E138-E53</f>
        <v>0</v>
      </c>
      <c r="F141" s="10">
        <f t="shared" si="32"/>
        <v>0</v>
      </c>
      <c r="G141" s="10">
        <f t="shared" si="32"/>
        <v>0</v>
      </c>
      <c r="H141" s="10">
        <f t="shared" si="32"/>
        <v>0</v>
      </c>
      <c r="I141" s="10">
        <f t="shared" si="32"/>
        <v>0</v>
      </c>
      <c r="J141" s="10">
        <f t="shared" si="32"/>
        <v>0</v>
      </c>
      <c r="K141" s="10">
        <f t="shared" si="32"/>
        <v>0</v>
      </c>
      <c r="L141" s="10">
        <f t="shared" si="32"/>
        <v>0</v>
      </c>
      <c r="M141" s="10">
        <f t="shared" si="32"/>
        <v>0</v>
      </c>
    </row>
    <row r="142" spans="1:14" collapsed="1" x14ac:dyDescent="0.35">
      <c r="E142" s="78"/>
      <c r="L142" s="10"/>
      <c r="M142" s="10"/>
    </row>
    <row r="143" spans="1:14" x14ac:dyDescent="0.35">
      <c r="A143" s="2" t="s">
        <v>8</v>
      </c>
      <c r="B143" s="2"/>
      <c r="C143" s="2"/>
      <c r="D143" s="2"/>
      <c r="E143" s="11"/>
      <c r="F143" s="11"/>
      <c r="G143" s="11"/>
      <c r="H143" s="11"/>
      <c r="I143" s="11"/>
      <c r="J143" s="11"/>
      <c r="K143" s="11"/>
      <c r="L143" s="11"/>
      <c r="M143" s="11"/>
    </row>
    <row r="144" spans="1:14" hidden="1" outlineLevel="1" x14ac:dyDescent="0.35">
      <c r="A144" s="3" t="s">
        <v>614</v>
      </c>
      <c r="L144" s="10"/>
      <c r="M144" s="10"/>
    </row>
    <row r="145" spans="1:13" hidden="1" outlineLevel="1" x14ac:dyDescent="0.35">
      <c r="A145" t="s">
        <v>38</v>
      </c>
      <c r="E145" s="17">
        <f t="shared" ref="E145:H146" si="33">E54</f>
        <v>2823000</v>
      </c>
      <c r="F145" s="17">
        <f t="shared" si="33"/>
        <v>12087000</v>
      </c>
      <c r="G145" s="17">
        <f t="shared" si="33"/>
        <v>12648000</v>
      </c>
      <c r="H145" s="17">
        <f t="shared" si="33"/>
        <v>8697000</v>
      </c>
      <c r="I145" s="17">
        <f t="shared" ref="I145:M146" si="34">I16*(I31/365)</f>
        <v>10318168.880407248</v>
      </c>
      <c r="J145" s="17">
        <f t="shared" si="34"/>
        <v>11409326.423717083</v>
      </c>
      <c r="K145" s="17">
        <f t="shared" si="34"/>
        <v>12251837.687529553</v>
      </c>
      <c r="L145" s="17">
        <f t="shared" si="34"/>
        <v>12765644.045333156</v>
      </c>
      <c r="M145" s="17">
        <f t="shared" si="34"/>
        <v>12486371.147782207</v>
      </c>
    </row>
    <row r="146" spans="1:13" hidden="1" outlineLevel="1" x14ac:dyDescent="0.35">
      <c r="A146" s="4" t="s">
        <v>39</v>
      </c>
      <c r="B146" s="4"/>
      <c r="C146" s="4"/>
      <c r="D146" s="4"/>
      <c r="E146" s="18">
        <f t="shared" si="33"/>
        <v>101063000</v>
      </c>
      <c r="F146" s="18">
        <f t="shared" si="33"/>
        <v>102095000</v>
      </c>
      <c r="G146" s="18">
        <f t="shared" si="33"/>
        <v>125134000</v>
      </c>
      <c r="H146" s="18">
        <f t="shared" si="33"/>
        <v>126290000</v>
      </c>
      <c r="I146" s="18">
        <f t="shared" si="34"/>
        <v>137400464.07402411</v>
      </c>
      <c r="J146" s="18">
        <f t="shared" si="34"/>
        <v>151930712.08278963</v>
      </c>
      <c r="K146" s="18">
        <f t="shared" si="34"/>
        <v>163149896.41454062</v>
      </c>
      <c r="L146" s="18">
        <f t="shared" si="34"/>
        <v>169991927.47883666</v>
      </c>
      <c r="M146" s="18">
        <f t="shared" si="34"/>
        <v>166273028.69247729</v>
      </c>
    </row>
    <row r="147" spans="1:13" hidden="1" outlineLevel="1" x14ac:dyDescent="0.35">
      <c r="A147" t="s">
        <v>43</v>
      </c>
      <c r="E147" s="73">
        <f>E71</f>
        <v>54150000</v>
      </c>
      <c r="F147" s="73">
        <f>F71</f>
        <v>61479000</v>
      </c>
      <c r="G147" s="73">
        <f>G71</f>
        <v>44835000</v>
      </c>
      <c r="H147" s="73">
        <f>H71</f>
        <v>50630000</v>
      </c>
      <c r="I147" s="73">
        <f>I19*(I32/365)</f>
        <v>64548199.090007037</v>
      </c>
      <c r="J147" s="73">
        <f>J19*(J32/365)</f>
        <v>71374241.10971728</v>
      </c>
      <c r="K147" s="73">
        <f>K19*(K32/365)</f>
        <v>76644806.596913889</v>
      </c>
      <c r="L147" s="73">
        <f>L19*(L32/365)</f>
        <v>79859066.361569867</v>
      </c>
      <c r="M147" s="73">
        <f>M19*(M32/365)</f>
        <v>78111996.430800304</v>
      </c>
    </row>
    <row r="148" spans="1:13" hidden="1" outlineLevel="1" x14ac:dyDescent="0.35">
      <c r="A148" s="4" t="s">
        <v>491</v>
      </c>
      <c r="D148" s="114"/>
      <c r="E148" s="73">
        <f>SUMIFS(BalanceSheet[CurrentAccruedExpenses],BalanceSheet[Ticker],$B$1,BalanceSheet[Year],E2,BalanceSheet[periodType],"&lt;&gt;TTM")</f>
        <v>20303000</v>
      </c>
      <c r="F148" s="73">
        <f>SUMIFS(BalanceSheet[CurrentAccruedExpenses],BalanceSheet[Ticker],$B$1,BalanceSheet[Year],F2,BalanceSheet[periodType],"&lt;&gt;TTM")</f>
        <v>20264000</v>
      </c>
      <c r="G148" s="73">
        <f>SUMIFS(BalanceSheet[CurrentAccruedExpenses],BalanceSheet[Ticker],$B$1,BalanceSheet[Year],G2,BalanceSheet[periodType],"&lt;&gt;TTM")</f>
        <v>19754000</v>
      </c>
      <c r="H148" s="73">
        <f>SUMIFS(BalanceSheet[CurrentAccruedExpenses],BalanceSheet[Ticker],$B$1,BalanceSheet[Year],H2,BalanceSheet[periodType],"&lt;&gt;TTM")</f>
        <v>19067000</v>
      </c>
      <c r="I148" s="73">
        <f>I22*I32</f>
        <v>24235926.65368285</v>
      </c>
      <c r="J148" s="73">
        <f>J22*J32</f>
        <v>26798902.167437598</v>
      </c>
      <c r="K148" s="73">
        <f>K22*K32</f>
        <v>28777842.561932743</v>
      </c>
      <c r="L148" s="73">
        <f>L22*L32</f>
        <v>29984701.389914297</v>
      </c>
      <c r="M148" s="73">
        <f>M22*M32</f>
        <v>29328728.654843196</v>
      </c>
    </row>
    <row r="149" spans="1:13" hidden="1" outlineLevel="1" x14ac:dyDescent="0.35">
      <c r="A149" t="s">
        <v>69</v>
      </c>
      <c r="B149" s="74"/>
      <c r="C149" s="74"/>
      <c r="D149" s="74"/>
      <c r="E149" s="75">
        <f t="shared" ref="E149:M149" si="35">SUM(E145:E146)-SUM(E147:E148)</f>
        <v>29433000</v>
      </c>
      <c r="F149" s="75">
        <f t="shared" si="35"/>
        <v>32439000</v>
      </c>
      <c r="G149" s="75">
        <f t="shared" si="35"/>
        <v>73193000</v>
      </c>
      <c r="H149" s="75">
        <f t="shared" si="35"/>
        <v>65290000</v>
      </c>
      <c r="I149" s="75">
        <f t="shared" si="35"/>
        <v>58934507.21074146</v>
      </c>
      <c r="J149" s="75">
        <f t="shared" si="35"/>
        <v>65166895.229351833</v>
      </c>
      <c r="K149" s="75">
        <f t="shared" si="35"/>
        <v>69979084.943223551</v>
      </c>
      <c r="L149" s="75">
        <f t="shared" si="35"/>
        <v>72913803.772685647</v>
      </c>
      <c r="M149" s="75">
        <f t="shared" si="35"/>
        <v>71318674.754615992</v>
      </c>
    </row>
    <row r="150" spans="1:13" ht="15" hidden="1" outlineLevel="1" thickBot="1" x14ac:dyDescent="0.4">
      <c r="A150" s="125" t="s">
        <v>68</v>
      </c>
      <c r="B150" s="125"/>
      <c r="C150" s="125"/>
      <c r="D150" s="125"/>
      <c r="E150" s="126">
        <v>0</v>
      </c>
      <c r="F150" s="127">
        <f t="shared" ref="F150:M150" si="36">F149-E149</f>
        <v>3006000</v>
      </c>
      <c r="G150" s="127">
        <f t="shared" si="36"/>
        <v>40754000</v>
      </c>
      <c r="H150" s="128">
        <f t="shared" si="36"/>
        <v>-7903000</v>
      </c>
      <c r="I150" s="128">
        <f t="shared" si="36"/>
        <v>-6355492.7892585397</v>
      </c>
      <c r="J150" s="128">
        <f t="shared" si="36"/>
        <v>6232388.0186103731</v>
      </c>
      <c r="K150" s="128">
        <f t="shared" si="36"/>
        <v>4812189.7138717175</v>
      </c>
      <c r="L150" s="128">
        <f t="shared" si="36"/>
        <v>2934718.8294620961</v>
      </c>
      <c r="M150" s="128">
        <f t="shared" si="36"/>
        <v>-1595129.0180696547</v>
      </c>
    </row>
    <row r="151" spans="1:13" ht="15" hidden="1" outlineLevel="1" thickTop="1" x14ac:dyDescent="0.35">
      <c r="E151" s="65"/>
      <c r="F151" s="65"/>
      <c r="G151" s="65"/>
      <c r="H151" s="65"/>
      <c r="L151" s="10"/>
      <c r="M151" s="10"/>
    </row>
    <row r="152" spans="1:13" hidden="1" outlineLevel="1" x14ac:dyDescent="0.35">
      <c r="A152" s="3" t="s">
        <v>70</v>
      </c>
      <c r="L152" s="10"/>
      <c r="M152" s="10"/>
    </row>
    <row r="153" spans="1:13" hidden="1" outlineLevel="1" x14ac:dyDescent="0.35">
      <c r="A153" t="s">
        <v>71</v>
      </c>
      <c r="E153" s="17">
        <f>E157+E155-E154</f>
        <v>743921000</v>
      </c>
      <c r="F153" s="17">
        <f>F157+F155-F154</f>
        <v>711731000</v>
      </c>
      <c r="G153" s="17">
        <f>G157+G155-G154</f>
        <v>726237000</v>
      </c>
      <c r="H153" s="17">
        <f>H157+H155-H154</f>
        <v>753406000</v>
      </c>
      <c r="I153" s="17">
        <f>H156</f>
        <v>769850000</v>
      </c>
      <c r="J153" s="17">
        <f>I156</f>
        <v>776212923.24925244</v>
      </c>
      <c r="K153" s="17">
        <f>J156</f>
        <v>785263996.46563387</v>
      </c>
      <c r="L153" s="17">
        <f>K156</f>
        <v>796279542.60385752</v>
      </c>
      <c r="M153" s="17">
        <f>L156</f>
        <v>808345550.51051402</v>
      </c>
    </row>
    <row r="154" spans="1:13" hidden="1" outlineLevel="1" x14ac:dyDescent="0.35">
      <c r="A154" s="55" t="s">
        <v>72</v>
      </c>
      <c r="B154" s="77"/>
      <c r="C154" s="67"/>
      <c r="E154" s="85">
        <f>-SUMIFS(CashFlow[CapitalExpenditure],CashFlow[Ticker],$B$1,CashFlow[Year],E2,CashFlow[periodType],"&lt;&gt;TTM")</f>
        <v>7657000</v>
      </c>
      <c r="F154" s="85">
        <f>-SUMIFS(CashFlow[CapitalExpenditure],CashFlow[Ticker],$B$1,CashFlow[Year],F2,CashFlow[periodType],"&lt;&gt;TTM")</f>
        <v>19100000</v>
      </c>
      <c r="G154" s="85">
        <f>-SUMIFS(CashFlow[CapitalExpenditure],CashFlow[Ticker],$B$1,CashFlow[Year],G2,CashFlow[periodType],"&lt;&gt;TTM")</f>
        <v>30360000</v>
      </c>
      <c r="H154" s="85">
        <f>-SUMIFS(CashFlow[CapitalExpenditure],CashFlow[Ticker],$B$1,CashFlow[Year],H2,CashFlow[periodType],"&lt;&gt;TTM")</f>
        <v>37274000</v>
      </c>
      <c r="I154" s="17">
        <f>I31*I20</f>
        <v>27035278.620727643</v>
      </c>
      <c r="J154" s="17">
        <f>J31*J20</f>
        <v>29894288.639308169</v>
      </c>
      <c r="K154" s="17">
        <f>K31*K20</f>
        <v>32101805.01380004</v>
      </c>
      <c r="L154" s="17">
        <f>L31*L20</f>
        <v>33448061.137471225</v>
      </c>
      <c r="M154" s="17">
        <f>M31*M20</f>
        <v>32716320.778884478</v>
      </c>
    </row>
    <row r="155" spans="1:13" hidden="1" outlineLevel="1" x14ac:dyDescent="0.35">
      <c r="A155" s="4" t="s">
        <v>73</v>
      </c>
      <c r="B155" s="4"/>
      <c r="C155" s="4"/>
      <c r="D155" s="4"/>
      <c r="E155" s="115">
        <f>SUMIFS(CashFlow[DepreciationAndAmortization],CashFlow[Ticker],$B$1,CashFlow[Year],E2,CashFlow[periodType],"&lt;&gt;TTM")</f>
        <v>20863000</v>
      </c>
      <c r="F155" s="115">
        <f>SUMIFS(CashFlow[DepreciationAndAmortization],CashFlow[Ticker],$B$1,CashFlow[Year],F2,CashFlow[periodType],"&lt;&gt;TTM")</f>
        <v>18689000</v>
      </c>
      <c r="G155" s="115">
        <f>SUMIFS(CashFlow[DepreciationAndAmortization],CashFlow[Ticker],$B$1,CashFlow[Year],G2,CashFlow[periodType],"&lt;&gt;TTM")</f>
        <v>18855000</v>
      </c>
      <c r="H155" s="115">
        <f>SUMIFS(CashFlow[DepreciationAndAmortization],CashFlow[Ticker],$B$1,CashFlow[Year],H2,CashFlow[periodType],"&lt;&gt;TTM")</f>
        <v>20830000</v>
      </c>
      <c r="I155" s="18">
        <f>IF($D$11&lt;$D$10,I11*I31,I10*I153)</f>
        <v>20672355.371475209</v>
      </c>
      <c r="J155" s="18">
        <f>IF($D$11&lt;$D$10,J11*J31,J10*J153)</f>
        <v>20843215.42292675</v>
      </c>
      <c r="K155" s="18">
        <f>IF($D$11&lt;$D$10,K11*K31,K10*K153)</f>
        <v>21086258.875576328</v>
      </c>
      <c r="L155" s="18">
        <f>IF($D$11&lt;$D$10,L11*L31,L10*L153)</f>
        <v>21382053.230814673</v>
      </c>
      <c r="M155" s="18">
        <f>IF($D$11&lt;$D$10,M11*M31,M10*M153)</f>
        <v>21706055.053717099</v>
      </c>
    </row>
    <row r="156" spans="1:13" hidden="1" outlineLevel="1" x14ac:dyDescent="0.35">
      <c r="A156" t="s">
        <v>74</v>
      </c>
      <c r="E156" s="48">
        <f t="shared" ref="E156:M156" si="37">E153+SUM(E154:E154)-E155</f>
        <v>730715000</v>
      </c>
      <c r="F156" s="48">
        <f t="shared" si="37"/>
        <v>712142000</v>
      </c>
      <c r="G156" s="48">
        <f t="shared" si="37"/>
        <v>737742000</v>
      </c>
      <c r="H156" s="48">
        <f t="shared" si="37"/>
        <v>769850000</v>
      </c>
      <c r="I156" s="48">
        <f t="shared" si="37"/>
        <v>776212923.24925244</v>
      </c>
      <c r="J156" s="48">
        <f t="shared" si="37"/>
        <v>785263996.46563387</v>
      </c>
      <c r="K156" s="48">
        <f t="shared" si="37"/>
        <v>796279542.60385752</v>
      </c>
      <c r="L156" s="48">
        <f t="shared" si="37"/>
        <v>808345550.51051402</v>
      </c>
      <c r="M156" s="48">
        <f t="shared" si="37"/>
        <v>819355816.23568141</v>
      </c>
    </row>
    <row r="157" spans="1:13" hidden="1" outlineLevel="1" x14ac:dyDescent="0.35">
      <c r="A157" t="s">
        <v>506</v>
      </c>
      <c r="E157" s="10">
        <f>SUMIFS(BalanceSheet[GrossPPE],BalanceSheet[Ticker],$B$1,BalanceSheet[Year],E2,BalanceSheet[periodType],"&lt;&gt;TTM")</f>
        <v>730715000</v>
      </c>
      <c r="F157" s="10">
        <f>SUMIFS(BalanceSheet[GrossPPE],BalanceSheet[Ticker],$B$1,BalanceSheet[Year],F2,BalanceSheet[periodType],"&lt;&gt;TTM")</f>
        <v>712142000</v>
      </c>
      <c r="G157" s="10">
        <f>SUMIFS(BalanceSheet[GrossPPE],BalanceSheet[Ticker],$B$1,BalanceSheet[Year],G2,BalanceSheet[periodType],"&lt;&gt;TTM")</f>
        <v>737742000</v>
      </c>
      <c r="H157" s="10">
        <f>SUMIFS(BalanceSheet[GrossPPE],BalanceSheet[Ticker],$B$1,BalanceSheet[Year],H2,BalanceSheet[periodType],"&lt;&gt;TTM")</f>
        <v>769850000</v>
      </c>
      <c r="L157" s="10"/>
      <c r="M157" s="10"/>
    </row>
    <row r="158" spans="1:13" hidden="1" outlineLevel="1" x14ac:dyDescent="0.35">
      <c r="L158" s="10"/>
      <c r="M158" s="10"/>
    </row>
    <row r="159" spans="1:13" hidden="1" outlineLevel="1" x14ac:dyDescent="0.35">
      <c r="A159" s="3" t="s">
        <v>75</v>
      </c>
      <c r="L159" s="10"/>
      <c r="M159" s="10"/>
    </row>
    <row r="160" spans="1:13" hidden="1" outlineLevel="1" x14ac:dyDescent="0.35">
      <c r="A160" t="s">
        <v>76</v>
      </c>
      <c r="E160" s="17">
        <v>0</v>
      </c>
      <c r="F160" s="17">
        <f>E163</f>
        <v>306268000</v>
      </c>
      <c r="G160" s="17">
        <f t="shared" ref="G160:M160" si="38">F162</f>
        <v>306268000</v>
      </c>
      <c r="H160" s="17">
        <f t="shared" si="38"/>
        <v>306268000</v>
      </c>
      <c r="I160" s="17">
        <f t="shared" si="38"/>
        <v>306268000</v>
      </c>
      <c r="J160" s="17">
        <f t="shared" si="38"/>
        <v>306268000</v>
      </c>
      <c r="K160" s="17">
        <f t="shared" si="38"/>
        <v>306268000</v>
      </c>
      <c r="L160" s="17">
        <f t="shared" si="38"/>
        <v>306268000</v>
      </c>
      <c r="M160" s="17">
        <f t="shared" si="38"/>
        <v>306268000</v>
      </c>
    </row>
    <row r="161" spans="1:13" hidden="1" outlineLevel="1" x14ac:dyDescent="0.35">
      <c r="A161" s="4" t="s">
        <v>77</v>
      </c>
      <c r="B161" s="4"/>
      <c r="C161" s="4"/>
      <c r="D161" s="4"/>
      <c r="E161" s="18">
        <f>SUMIFS(CashFlow[NetIssuancePaymentsOfDebt],CashFlow[Ticker],$B$1,CashFlow[Year],E$2,CashFlow[periodType],"&lt;&gt;TTM")</f>
        <v>0</v>
      </c>
      <c r="F161" s="18">
        <f>SUMIFS(CashFlow[NetIssuancePaymentsOfDebt],CashFlow[Ticker],$B$1,CashFlow[Year],F$2,CashFlow[periodType],"&lt;&gt;TTM")</f>
        <v>0</v>
      </c>
      <c r="G161" s="18">
        <f>SUMIFS(CashFlow[NetIssuancePaymentsOfDebt],CashFlow[Ticker],$B$1,CashFlow[Year],G$2,CashFlow[periodType],"&lt;&gt;TTM")</f>
        <v>0</v>
      </c>
      <c r="H161" s="18">
        <f>SUMIFS(CashFlow[NetIssuancePaymentsOfDebt],CashFlow[Ticker],$B$1,CashFlow[Year],H$2,CashFlow[periodType],"&lt;&gt;TTM")</f>
        <v>0</v>
      </c>
      <c r="I161" s="39">
        <f>I26</f>
        <v>0</v>
      </c>
      <c r="J161" s="39">
        <f>J26</f>
        <v>0</v>
      </c>
      <c r="K161" s="39">
        <f>K26</f>
        <v>0</v>
      </c>
      <c r="L161" s="39">
        <f>L26</f>
        <v>0</v>
      </c>
      <c r="M161" s="39">
        <f>M26</f>
        <v>0</v>
      </c>
    </row>
    <row r="162" spans="1:13" hidden="1" outlineLevel="1" x14ac:dyDescent="0.35">
      <c r="A162" t="s">
        <v>78</v>
      </c>
      <c r="E162" s="10">
        <f t="shared" ref="E162:M162" si="39">SUM(E160:E161)</f>
        <v>0</v>
      </c>
      <c r="F162" s="10">
        <f t="shared" si="39"/>
        <v>306268000</v>
      </c>
      <c r="G162" s="10">
        <f t="shared" si="39"/>
        <v>306268000</v>
      </c>
      <c r="H162" s="10">
        <f t="shared" si="39"/>
        <v>306268000</v>
      </c>
      <c r="I162" s="10">
        <f t="shared" si="39"/>
        <v>306268000</v>
      </c>
      <c r="J162" s="10">
        <f t="shared" si="39"/>
        <v>306268000</v>
      </c>
      <c r="K162" s="10">
        <f t="shared" si="39"/>
        <v>306268000</v>
      </c>
      <c r="L162" s="10">
        <f t="shared" si="39"/>
        <v>306268000</v>
      </c>
      <c r="M162" s="10">
        <f t="shared" si="39"/>
        <v>306268000</v>
      </c>
    </row>
    <row r="163" spans="1:13" hidden="1" outlineLevel="1" x14ac:dyDescent="0.35">
      <c r="A163" t="s">
        <v>607</v>
      </c>
      <c r="E163" s="133">
        <f>SUMIFS(BalanceSheet[TotalDebt],BalanceSheet[Ticker],$B$1,BalanceSheet[Year],E$2,BalanceSheet[periodType],"&lt;&gt;TTM")</f>
        <v>306268000</v>
      </c>
      <c r="F163" s="133">
        <f>SUMIFS(BalanceSheet[TotalDebt],BalanceSheet[Ticker],$B$1,BalanceSheet[Year],F$2,BalanceSheet[periodType],"&lt;&gt;TTM")</f>
        <v>288340000</v>
      </c>
      <c r="G163" s="133">
        <f>SUMIFS(BalanceSheet[TotalDebt],BalanceSheet[Ticker],$B$1,BalanceSheet[Year],G$2,BalanceSheet[periodType],"&lt;&gt;TTM")</f>
        <v>303785000</v>
      </c>
      <c r="H163" s="133">
        <f>SUMIFS(BalanceSheet[TotalDebt],BalanceSheet[Ticker],$B$1,BalanceSheet[Year],H$2,BalanceSheet[periodType],"&lt;&gt;TTM")</f>
        <v>315406000</v>
      </c>
      <c r="I163" s="133"/>
      <c r="J163" s="133"/>
      <c r="K163" s="133"/>
      <c r="L163" s="133"/>
      <c r="M163" s="133"/>
    </row>
    <row r="164" spans="1:13" hidden="1" outlineLevel="1" x14ac:dyDescent="0.35">
      <c r="A164" t="s">
        <v>79</v>
      </c>
      <c r="E164" s="17">
        <f t="shared" ref="E164:M164" si="40">E162*E12</f>
        <v>0</v>
      </c>
      <c r="F164" s="17">
        <f t="shared" si="40"/>
        <v>0</v>
      </c>
      <c r="G164" s="17">
        <f t="shared" si="40"/>
        <v>0</v>
      </c>
      <c r="H164" s="17">
        <f t="shared" si="40"/>
        <v>0</v>
      </c>
      <c r="I164" s="17">
        <f t="shared" si="40"/>
        <v>0</v>
      </c>
      <c r="J164" s="17">
        <f t="shared" si="40"/>
        <v>0</v>
      </c>
      <c r="K164" s="17">
        <f t="shared" si="40"/>
        <v>0</v>
      </c>
      <c r="L164" s="17">
        <f t="shared" si="40"/>
        <v>0</v>
      </c>
      <c r="M164" s="17">
        <f t="shared" si="40"/>
        <v>0</v>
      </c>
    </row>
    <row r="165" spans="1:13" collapsed="1" x14ac:dyDescent="0.35">
      <c r="F165" s="10">
        <f t="shared" ref="F165:M165" si="41">F39</f>
        <v>0</v>
      </c>
      <c r="G165" s="10">
        <f t="shared" si="41"/>
        <v>0</v>
      </c>
      <c r="H165" s="10">
        <f t="shared" si="41"/>
        <v>0</v>
      </c>
      <c r="I165" s="10">
        <f t="shared" si="41"/>
        <v>0</v>
      </c>
      <c r="J165" s="10">
        <f t="shared" si="41"/>
        <v>0</v>
      </c>
      <c r="K165" s="10">
        <f t="shared" si="41"/>
        <v>0</v>
      </c>
      <c r="L165" s="10">
        <f t="shared" si="41"/>
        <v>0</v>
      </c>
      <c r="M165" s="10">
        <f t="shared" si="41"/>
        <v>0</v>
      </c>
    </row>
    <row r="166" spans="1:13" x14ac:dyDescent="0.35">
      <c r="A166" s="2" t="s">
        <v>9</v>
      </c>
      <c r="B166" s="2"/>
      <c r="C166" s="2"/>
      <c r="D166" s="2"/>
      <c r="E166" s="11"/>
      <c r="F166" s="11"/>
      <c r="G166" s="11"/>
      <c r="H166" s="11"/>
      <c r="I166" s="11"/>
      <c r="J166" s="11"/>
      <c r="K166" s="11"/>
      <c r="L166" s="11"/>
      <c r="M166" s="11"/>
    </row>
    <row r="167" spans="1:13" outlineLevel="1" x14ac:dyDescent="0.35">
      <c r="E167" s="48"/>
      <c r="L167" s="10"/>
      <c r="M167" s="10"/>
    </row>
    <row r="168" spans="1:13" outlineLevel="1" x14ac:dyDescent="0.35">
      <c r="A168" s="32" t="s">
        <v>4</v>
      </c>
      <c r="B168" s="32"/>
      <c r="C168" s="32"/>
      <c r="D168" s="32"/>
      <c r="E168" s="66"/>
      <c r="F168"/>
      <c r="G168"/>
      <c r="L168" s="10"/>
      <c r="M168" s="10"/>
    </row>
    <row r="169" spans="1:13" outlineLevel="1" x14ac:dyDescent="0.35">
      <c r="A169" t="s">
        <v>80</v>
      </c>
      <c r="D169" s="70">
        <f>AVERAGE(E13:H13)</f>
        <v>0.24124999999999999</v>
      </c>
      <c r="E169" s="66"/>
      <c r="F169"/>
      <c r="G169"/>
      <c r="H169" s="65"/>
      <c r="I169" s="65"/>
      <c r="J169" s="65"/>
      <c r="K169" s="65"/>
      <c r="L169" s="65"/>
      <c r="M169" s="65"/>
    </row>
    <row r="170" spans="1:13" outlineLevel="1" x14ac:dyDescent="0.35">
      <c r="A170" t="s">
        <v>597</v>
      </c>
      <c r="D170" s="146">
        <f>AVERAGEIFS(MetaData[beta],MetaData[Ticker],$B$1)</f>
        <v>1.075</v>
      </c>
      <c r="E170" s="66"/>
      <c r="F170"/>
      <c r="G170"/>
      <c r="H170" s="65"/>
      <c r="I170" s="65"/>
      <c r="J170" s="65"/>
      <c r="K170" s="65"/>
      <c r="L170" s="65"/>
      <c r="M170" s="65"/>
    </row>
    <row r="171" spans="1:13" outlineLevel="1" x14ac:dyDescent="0.35">
      <c r="A171" t="s">
        <v>598</v>
      </c>
      <c r="D171" s="70">
        <f>VLOOKUP($B$1,PriceData_Ticker_AvgRate!$A:$C,3,FALSE)</f>
        <v>0.13380461536958288</v>
      </c>
      <c r="E171" s="66"/>
      <c r="F171"/>
      <c r="G171"/>
      <c r="H171" s="65"/>
      <c r="I171" s="65"/>
      <c r="J171" s="65"/>
      <c r="K171" s="65"/>
      <c r="L171" s="65"/>
      <c r="M171" s="65"/>
    </row>
    <row r="172" spans="1:13" outlineLevel="1" x14ac:dyDescent="0.35">
      <c r="A172" t="s">
        <v>630</v>
      </c>
      <c r="D172" s="139">
        <f>PriceData_TNX_AvgRate[AvgReturn]+D170*(PriceData_GSPC_AvgRate[Yearly Average Return]-PriceData_TNX_AvgRate[AvgReturn])</f>
        <v>0.13370207141579285</v>
      </c>
      <c r="E172" s="66"/>
      <c r="F172">
        <v>7.4358564090540702E-2</v>
      </c>
      <c r="G172"/>
      <c r="H172" s="65"/>
      <c r="I172" s="65"/>
      <c r="J172" s="65"/>
      <c r="K172" s="65"/>
      <c r="L172" s="65"/>
      <c r="M172" s="65"/>
    </row>
    <row r="173" spans="1:13" outlineLevel="1" x14ac:dyDescent="0.35">
      <c r="A173" t="s">
        <v>601</v>
      </c>
      <c r="D173" s="119">
        <f>AverageInflation[avgInflation]/100</f>
        <v>2.9327393646170048E-2</v>
      </c>
      <c r="E173" s="48"/>
      <c r="F173"/>
      <c r="G173"/>
      <c r="L173" s="10"/>
      <c r="M173" s="10"/>
    </row>
    <row r="174" spans="1:13" outlineLevel="1" x14ac:dyDescent="0.35">
      <c r="A174" t="s">
        <v>152</v>
      </c>
      <c r="D174" s="85">
        <f>SUMIFS(MetaData[ebitda],MetaData[Ticker],$B$1)</f>
        <v>273232992</v>
      </c>
      <c r="E174" s="48"/>
      <c r="F174"/>
      <c r="G174"/>
      <c r="L174" s="10"/>
      <c r="M174" s="10"/>
    </row>
    <row r="175" spans="1:13" outlineLevel="1" x14ac:dyDescent="0.35">
      <c r="A175" t="s">
        <v>83</v>
      </c>
      <c r="D175" s="123">
        <f>H203/D174</f>
        <v>8.2417452135501996</v>
      </c>
      <c r="E175" s="48"/>
      <c r="F175"/>
      <c r="G175"/>
      <c r="L175" s="10"/>
      <c r="M175" s="10"/>
    </row>
    <row r="176" spans="1:13" outlineLevel="1" x14ac:dyDescent="0.35">
      <c r="A176" t="s">
        <v>84</v>
      </c>
      <c r="D176" s="69">
        <f ca="1">TODAY()</f>
        <v>45550</v>
      </c>
      <c r="E176" s="48"/>
      <c r="F176"/>
      <c r="G176"/>
      <c r="L176" s="10"/>
      <c r="M176" s="10"/>
    </row>
    <row r="177" spans="1:15" outlineLevel="1" x14ac:dyDescent="0.35">
      <c r="A177" t="s">
        <v>490</v>
      </c>
      <c r="D177" s="69">
        <f>_xlfn.MAXIFS(MetaData[nextFiscalYearEnd],MetaData[Ticker],$B$1)</f>
        <v>45690.791666666664</v>
      </c>
      <c r="E177" s="48"/>
      <c r="L177" s="10"/>
      <c r="M177" s="10"/>
    </row>
    <row r="178" spans="1:15" outlineLevel="1" x14ac:dyDescent="0.35">
      <c r="A178" t="s">
        <v>85</v>
      </c>
      <c r="D178" s="71">
        <f>SUMIFS(MetaData[previousClose],MetaData[Ticker],$B$1)</f>
        <v>41.95</v>
      </c>
      <c r="E178" s="48"/>
      <c r="L178" s="10"/>
      <c r="M178" s="10"/>
    </row>
    <row r="179" spans="1:15" outlineLevel="1" x14ac:dyDescent="0.35">
      <c r="A179" t="s">
        <v>86</v>
      </c>
      <c r="D179" s="72">
        <f>SUMIFS(MetaData[sharesOutstanding],MetaData[Ticker],$B$1)</f>
        <v>50773800</v>
      </c>
      <c r="E179" s="48"/>
      <c r="L179" s="10"/>
      <c r="M179" s="10"/>
    </row>
    <row r="180" spans="1:15" outlineLevel="1" x14ac:dyDescent="0.35">
      <c r="L180" s="10"/>
      <c r="M180" s="10"/>
    </row>
    <row r="181" spans="1:15" outlineLevel="1" x14ac:dyDescent="0.35">
      <c r="A181" s="117" t="s">
        <v>599</v>
      </c>
      <c r="B181" s="117"/>
      <c r="C181" s="117"/>
      <c r="D181" s="117"/>
      <c r="E181" s="118"/>
      <c r="F181" s="118"/>
      <c r="G181" s="118"/>
      <c r="H181" s="118"/>
      <c r="I181" s="118"/>
      <c r="J181" s="118"/>
      <c r="K181" s="118"/>
      <c r="L181" s="118"/>
      <c r="M181" s="118"/>
    </row>
    <row r="182" spans="1:15" outlineLevel="2" x14ac:dyDescent="0.35">
      <c r="D182" t="s">
        <v>626</v>
      </c>
      <c r="E182" s="120">
        <f>YEAR(E183)</f>
        <v>2025</v>
      </c>
      <c r="F182" s="120">
        <f>YEAR(F183)</f>
        <v>2026</v>
      </c>
      <c r="G182" s="120">
        <f>YEAR(G183)</f>
        <v>2027</v>
      </c>
      <c r="H182" s="120">
        <f>YEAR(H183)</f>
        <v>2028</v>
      </c>
      <c r="I182" s="120">
        <f>YEAR(I183)</f>
        <v>2029</v>
      </c>
      <c r="J182" s="10" t="s">
        <v>92</v>
      </c>
      <c r="L182" s="34" t="s">
        <v>102</v>
      </c>
      <c r="M182" s="32"/>
      <c r="N182" s="32"/>
    </row>
    <row r="183" spans="1:15" outlineLevel="2" x14ac:dyDescent="0.35">
      <c r="A183" t="s">
        <v>89</v>
      </c>
      <c r="D183" s="22">
        <f ca="1">D176</f>
        <v>45550</v>
      </c>
      <c r="E183" s="22">
        <f>D177</f>
        <v>45690.791666666664</v>
      </c>
      <c r="F183" s="27">
        <f>DATE(YEAR($D$177) + F184, MONTH($D$177), DAY($D$177))</f>
        <v>46055</v>
      </c>
      <c r="G183" s="27">
        <f>DATE(YEAR($D$177) + G184, MONTH($D$177), DAY($D$177))</f>
        <v>46420</v>
      </c>
      <c r="H183" s="27">
        <f>DATE(YEAR($D$177) + H184, MONTH($D$177), DAY($D$177))</f>
        <v>46785</v>
      </c>
      <c r="I183" s="27">
        <f>DATE(YEAR($D$177) + I184, MONTH($D$177), DAY($D$177))</f>
        <v>47151</v>
      </c>
      <c r="J183" s="22">
        <f>I183</f>
        <v>47151</v>
      </c>
      <c r="L183" s="137" t="s">
        <v>103</v>
      </c>
      <c r="N183" s="35">
        <f>I194/(D172-D173)</f>
        <v>2838893247.4214463</v>
      </c>
    </row>
    <row r="184" spans="1:15" outlineLevel="2" x14ac:dyDescent="0.35">
      <c r="A184" t="s">
        <v>90</v>
      </c>
      <c r="E184" s="8">
        <v>0</v>
      </c>
      <c r="F184" s="10">
        <v>1</v>
      </c>
      <c r="G184" s="10">
        <v>2</v>
      </c>
      <c r="H184" s="10">
        <v>3</v>
      </c>
      <c r="I184" s="10">
        <v>4</v>
      </c>
      <c r="L184" s="137" t="s">
        <v>104</v>
      </c>
      <c r="N184" s="40">
        <f>(I189+I191)*D175</f>
        <v>3479150050.7856603</v>
      </c>
      <c r="O184" s="41"/>
    </row>
    <row r="185" spans="1:15" outlineLevel="2" x14ac:dyDescent="0.35">
      <c r="A185" t="s">
        <v>91</v>
      </c>
      <c r="E185" s="26">
        <f ca="1">(E183-D183)/365</f>
        <v>0.38573059360729928</v>
      </c>
      <c r="F185" s="138">
        <f>(F183-E183)/365</f>
        <v>0.9978310502283172</v>
      </c>
      <c r="G185" s="138">
        <f>(G183-F183)/365</f>
        <v>1</v>
      </c>
      <c r="H185" s="138">
        <f>(H183-G183)/365</f>
        <v>1</v>
      </c>
      <c r="I185" s="138">
        <f>(I183-H183)/365</f>
        <v>1.0027397260273974</v>
      </c>
      <c r="L185" s="137" t="s">
        <v>105</v>
      </c>
      <c r="N185" s="35">
        <f>AVERAGE(N183:N184)</f>
        <v>3159021649.1035533</v>
      </c>
      <c r="O185" s="76">
        <f>(N183+N184)/2</f>
        <v>3159021649.1035533</v>
      </c>
    </row>
    <row r="186" spans="1:15" outlineLevel="2" x14ac:dyDescent="0.35">
      <c r="A186" s="51" t="s">
        <v>627</v>
      </c>
      <c r="E186" s="10">
        <f>I31</f>
        <v>1434702884.3280892</v>
      </c>
      <c r="F186" s="10">
        <f>J31</f>
        <v>1586424269.4680064</v>
      </c>
      <c r="G186" s="10">
        <f>K31</f>
        <v>1703572317.1769273</v>
      </c>
      <c r="H186" s="10">
        <f>L31</f>
        <v>1775015174.1480613</v>
      </c>
      <c r="I186" s="10">
        <f>M31</f>
        <v>1736183319.7487955</v>
      </c>
      <c r="L186" s="10"/>
      <c r="N186" s="76"/>
      <c r="O186" t="b">
        <f>O185=N185</f>
        <v>1</v>
      </c>
    </row>
    <row r="187" spans="1:15" outlineLevel="2" x14ac:dyDescent="0.35">
      <c r="A187" s="51" t="s">
        <v>555</v>
      </c>
      <c r="E187" s="10">
        <f>I41</f>
        <v>324402900.50872576</v>
      </c>
      <c r="F187" s="10">
        <f>J41</f>
        <v>358708858.86862767</v>
      </c>
      <c r="G187" s="10">
        <f>K41</f>
        <v>385197386.1315434</v>
      </c>
      <c r="H187" s="10">
        <f>L41</f>
        <v>401351441.63336957</v>
      </c>
      <c r="I187" s="10">
        <f>M41</f>
        <v>392571110.64159483</v>
      </c>
      <c r="J187" t="s">
        <v>136</v>
      </c>
      <c r="L187" s="10"/>
    </row>
    <row r="188" spans="1:15" outlineLevel="2" x14ac:dyDescent="0.35">
      <c r="A188" s="51" t="s">
        <v>31</v>
      </c>
      <c r="E188" s="13">
        <f>I164</f>
        <v>0</v>
      </c>
      <c r="F188" s="13">
        <f>J164</f>
        <v>0</v>
      </c>
      <c r="G188" s="13">
        <f>K164</f>
        <v>0</v>
      </c>
      <c r="H188" s="13">
        <f>L164</f>
        <v>0</v>
      </c>
      <c r="I188" s="13">
        <f>M164</f>
        <v>0</v>
      </c>
      <c r="J188" t="s">
        <v>133</v>
      </c>
      <c r="L188" s="10"/>
    </row>
    <row r="189" spans="1:15" outlineLevel="2" x14ac:dyDescent="0.35">
      <c r="A189" s="51" t="s">
        <v>556</v>
      </c>
      <c r="E189" s="17">
        <f>E187+E188</f>
        <v>324402900.50872576</v>
      </c>
      <c r="F189" s="17">
        <f>F187+F188</f>
        <v>358708858.86862767</v>
      </c>
      <c r="G189" s="17">
        <f>G187+G188</f>
        <v>385197386.1315434</v>
      </c>
      <c r="H189" s="17">
        <f>H187+H188</f>
        <v>401351441.63336957</v>
      </c>
      <c r="I189" s="17">
        <f>I187+I188</f>
        <v>392571110.64159483</v>
      </c>
      <c r="L189" s="10"/>
    </row>
    <row r="190" spans="1:15" outlineLevel="2" x14ac:dyDescent="0.35">
      <c r="A190" s="51" t="s">
        <v>95</v>
      </c>
      <c r="E190" s="17">
        <f>E189*$D$169</f>
        <v>78262199.747730091</v>
      </c>
      <c r="F190" s="17">
        <f>F189*$D$169</f>
        <v>86538512.202056423</v>
      </c>
      <c r="G190" s="17">
        <f>G189*$D$169</f>
        <v>92928869.404234841</v>
      </c>
      <c r="H190" s="17">
        <f>H189*$D$169</f>
        <v>96826035.29405041</v>
      </c>
      <c r="I190" s="17">
        <f>I189*$D$169</f>
        <v>94707780.442284748</v>
      </c>
      <c r="L190" s="10"/>
    </row>
    <row r="191" spans="1:15" outlineLevel="2" x14ac:dyDescent="0.35">
      <c r="A191" s="51" t="s">
        <v>96</v>
      </c>
      <c r="E191" s="10">
        <f>I38</f>
        <v>24432351.801055182</v>
      </c>
      <c r="F191" s="10">
        <f>J38</f>
        <v>27016099.487056307</v>
      </c>
      <c r="G191" s="10">
        <f>K38</f>
        <v>29011078.618761059</v>
      </c>
      <c r="H191" s="10">
        <f>L38</f>
        <v>30227718.687069479</v>
      </c>
      <c r="I191" s="10">
        <f>M38</f>
        <v>29566429.483476263</v>
      </c>
      <c r="J191" t="s">
        <v>133</v>
      </c>
      <c r="L191" s="10"/>
    </row>
    <row r="192" spans="1:15" outlineLevel="2" x14ac:dyDescent="0.35">
      <c r="A192" s="51" t="s">
        <v>97</v>
      </c>
      <c r="E192" s="10">
        <f>E186*I20</f>
        <v>27035278.620727643</v>
      </c>
      <c r="F192" s="10">
        <f>F186*J20</f>
        <v>29894288.639308169</v>
      </c>
      <c r="G192" s="10">
        <f>G186*K20</f>
        <v>32101805.01380004</v>
      </c>
      <c r="H192" s="10">
        <f>H186*L20</f>
        <v>33448061.137471225</v>
      </c>
      <c r="I192" s="10">
        <f>I186*M20</f>
        <v>32716320.778884478</v>
      </c>
      <c r="J192" t="s">
        <v>133</v>
      </c>
      <c r="L192" s="10"/>
    </row>
    <row r="193" spans="1:14" outlineLevel="2" x14ac:dyDescent="0.35">
      <c r="A193" t="s">
        <v>98</v>
      </c>
      <c r="E193" s="13">
        <f>AVERAGE(F193:I193)</f>
        <v>3096041.885968633</v>
      </c>
      <c r="F193" s="13">
        <f>J150</f>
        <v>6232388.0186103731</v>
      </c>
      <c r="G193" s="13">
        <f>K150</f>
        <v>4812189.7138717175</v>
      </c>
      <c r="H193" s="13">
        <f>L150</f>
        <v>2934718.8294620961</v>
      </c>
      <c r="I193" s="13">
        <f>M150</f>
        <v>-1595129.0180696547</v>
      </c>
      <c r="J193" t="s">
        <v>133</v>
      </c>
      <c r="L193" s="10"/>
    </row>
    <row r="194" spans="1:14" outlineLevel="2" x14ac:dyDescent="0.35">
      <c r="A194" t="s">
        <v>99</v>
      </c>
      <c r="E194" s="10">
        <f>E189-E190+E191-E192-E193</f>
        <v>240441732.0553546</v>
      </c>
      <c r="F194" s="10">
        <f>F189-F190+F191-F192-F193</f>
        <v>263059769.49570906</v>
      </c>
      <c r="G194" s="10">
        <f>G189-G190+G191-G192-G193</f>
        <v>284365600.61839789</v>
      </c>
      <c r="H194" s="10">
        <f>H189-H190+H191-H192-H193</f>
        <v>298370345.05945534</v>
      </c>
      <c r="I194" s="10">
        <f>I189-I190+I191-I192-I193</f>
        <v>296308567.92197156</v>
      </c>
      <c r="L194" s="10"/>
    </row>
    <row r="195" spans="1:14" outlineLevel="2" x14ac:dyDescent="0.35">
      <c r="A195" t="s">
        <v>100</v>
      </c>
      <c r="D195" s="40">
        <f>-H203</f>
        <v>-2251916704</v>
      </c>
      <c r="E195" s="13"/>
      <c r="F195" s="13"/>
      <c r="G195" s="13"/>
      <c r="H195" s="13"/>
      <c r="I195" s="13"/>
      <c r="J195" s="13">
        <f>N185</f>
        <v>3159021649.1035533</v>
      </c>
      <c r="L195" s="10"/>
    </row>
    <row r="196" spans="1:14" outlineLevel="2" x14ac:dyDescent="0.35">
      <c r="A196" t="s">
        <v>101</v>
      </c>
      <c r="D196" s="35">
        <f>D195</f>
        <v>-2251916704</v>
      </c>
      <c r="E196" s="10">
        <f ca="1">(E195+E194)*E185</f>
        <v>92745732.033679128</v>
      </c>
      <c r="F196" s="10">
        <f>(F195+F194)*F185</f>
        <v>262489206.06872243</v>
      </c>
      <c r="G196" s="10">
        <f>(G195+G194)*G185</f>
        <v>284365600.61839789</v>
      </c>
      <c r="H196" s="10">
        <f>(H195+H194)*H185</f>
        <v>298370345.05945534</v>
      </c>
      <c r="I196" s="10">
        <f>(I195+I194)*I185</f>
        <v>297120372.21764821</v>
      </c>
      <c r="J196" s="10">
        <f>J195+J194</f>
        <v>3159021649.1035533</v>
      </c>
      <c r="L196" s="10"/>
      <c r="N196" s="42"/>
    </row>
    <row r="197" spans="1:14" outlineLevel="2" x14ac:dyDescent="0.35">
      <c r="D197" s="147" t="s">
        <v>637</v>
      </c>
      <c r="E197" s="148">
        <f>E189/E186</f>
        <v>0.22611155525811363</v>
      </c>
      <c r="F197" s="148">
        <f t="shared" ref="F197:I197" si="42">F189/F186</f>
        <v>0.22611155525811363</v>
      </c>
      <c r="G197" s="148">
        <f t="shared" si="42"/>
        <v>0.22611155525811358</v>
      </c>
      <c r="H197" s="148">
        <f t="shared" si="42"/>
        <v>0.22611155525811363</v>
      </c>
      <c r="I197" s="148">
        <f t="shared" si="42"/>
        <v>0.22611155525811358</v>
      </c>
      <c r="L197" s="10"/>
    </row>
    <row r="198" spans="1:14" outlineLevel="1" x14ac:dyDescent="0.35">
      <c r="L198" s="10"/>
      <c r="M198" s="10"/>
    </row>
    <row r="199" spans="1:14" outlineLevel="1" x14ac:dyDescent="0.35">
      <c r="A199" s="32" t="s">
        <v>106</v>
      </c>
      <c r="B199" s="32"/>
      <c r="C199" s="32"/>
      <c r="D199" s="32"/>
      <c r="F199" s="32" t="s">
        <v>112</v>
      </c>
      <c r="G199" s="32"/>
      <c r="H199" s="32"/>
      <c r="I199"/>
      <c r="J199" s="32" t="s">
        <v>116</v>
      </c>
      <c r="K199" s="32"/>
      <c r="L199" s="32"/>
    </row>
    <row r="200" spans="1:14" outlineLevel="1" x14ac:dyDescent="0.35">
      <c r="A200" t="s">
        <v>107</v>
      </c>
      <c r="D200" s="48">
        <f ca="1">IFERROR(XNPV(D172,E196:J196,E183:J183),"")</f>
        <v>2841738188.1423588</v>
      </c>
      <c r="E200" s="141">
        <f ca="1">D200/H42</f>
        <v>9.7356809888086175</v>
      </c>
      <c r="F200" s="48" t="s">
        <v>113</v>
      </c>
      <c r="G200" s="48"/>
      <c r="H200" s="48">
        <f>SUMIFS(MetaData[marketCap],MetaData[Ticker],$B$1)</f>
        <v>2233031680</v>
      </c>
      <c r="I200" s="48"/>
      <c r="J200" s="48" t="s">
        <v>117</v>
      </c>
      <c r="K200" s="48"/>
      <c r="L200" s="142">
        <f ca="1">IFERROR(D205/H205-1,"-")</f>
        <v>0.26413484834319889</v>
      </c>
    </row>
    <row r="201" spans="1:14" outlineLevel="1" x14ac:dyDescent="0.35">
      <c r="A201" t="s">
        <v>108</v>
      </c>
      <c r="D201" s="35">
        <f>SUMIFS(MetaData[totalCash],MetaData[Ticker],$B$1)</f>
        <v>309121984</v>
      </c>
      <c r="E201" s="143" t="s">
        <v>138</v>
      </c>
      <c r="F201" s="48" t="s">
        <v>114</v>
      </c>
      <c r="G201" s="48"/>
      <c r="H201" s="48">
        <f>SUMIFS(MetaData[totalDebt],MetaData[Ticker],$B$1)</f>
        <v>328007008</v>
      </c>
      <c r="I201" s="143" t="s">
        <v>137</v>
      </c>
      <c r="J201" s="48" t="s">
        <v>118</v>
      </c>
      <c r="K201" s="48"/>
      <c r="L201" s="142">
        <f ca="1">IFERROR(XIRR(D196:J196,D183:J183),"-")</f>
        <v>0.19086957573890687</v>
      </c>
    </row>
    <row r="202" spans="1:14" outlineLevel="1" x14ac:dyDescent="0.35">
      <c r="A202" t="s">
        <v>109</v>
      </c>
      <c r="D202" s="40">
        <f>SUMIFS(MetaData[totalDebt],MetaData[Ticker],$B$1)</f>
        <v>328007008</v>
      </c>
      <c r="E202" s="143" t="s">
        <v>137</v>
      </c>
      <c r="F202" s="48" t="s">
        <v>115</v>
      </c>
      <c r="G202" s="48"/>
      <c r="H202" s="115">
        <f>SUMIFS(MetaData[totalCash],MetaData[Ticker],$B$1)</f>
        <v>309121984</v>
      </c>
      <c r="I202" s="143" t="s">
        <v>138</v>
      </c>
      <c r="J202" s="48"/>
      <c r="K202" s="48"/>
      <c r="L202" s="48"/>
    </row>
    <row r="203" spans="1:14" outlineLevel="1" x14ac:dyDescent="0.35">
      <c r="A203" t="s">
        <v>110</v>
      </c>
      <c r="D203" s="35">
        <f ca="1">D200+D201-D202</f>
        <v>2822853164.1423588</v>
      </c>
      <c r="E203" s="48"/>
      <c r="F203" s="48" t="s">
        <v>107</v>
      </c>
      <c r="G203" s="48"/>
      <c r="H203" s="48">
        <f>H200+H201-H202</f>
        <v>2251916704</v>
      </c>
      <c r="I203" s="48">
        <f>H203/H42</f>
        <v>7.7149762546721528</v>
      </c>
      <c r="J203" s="48"/>
      <c r="K203" s="48"/>
      <c r="L203" s="48"/>
      <c r="M203" s="10"/>
    </row>
    <row r="204" spans="1:14" outlineLevel="1" x14ac:dyDescent="0.35">
      <c r="E204" s="48"/>
      <c r="F204" s="48"/>
      <c r="G204" s="48"/>
      <c r="H204" s="48"/>
      <c r="I204" s="48"/>
      <c r="J204" s="48"/>
      <c r="K204" s="48"/>
      <c r="L204" s="48"/>
      <c r="M204" s="10"/>
    </row>
    <row r="205" spans="1:14" outlineLevel="1" x14ac:dyDescent="0.35">
      <c r="A205" t="s">
        <v>111</v>
      </c>
      <c r="D205" s="145">
        <f ca="1">D203/D179</f>
        <v>55.596649534648947</v>
      </c>
      <c r="E205" s="48"/>
      <c r="F205" t="s">
        <v>495</v>
      </c>
      <c r="G205" s="48"/>
      <c r="H205" s="144">
        <f>H200/D179</f>
        <v>43.979999133411326</v>
      </c>
      <c r="I205" s="48"/>
      <c r="J205" s="48"/>
      <c r="K205" s="48"/>
      <c r="L205" s="48"/>
      <c r="M205" s="10"/>
    </row>
    <row r="206" spans="1:14" outlineLevel="1" x14ac:dyDescent="0.35">
      <c r="L206" s="10"/>
    </row>
    <row r="207" spans="1:14" x14ac:dyDescent="0.35">
      <c r="G207" s="10" t="s">
        <v>631</v>
      </c>
      <c r="L207" s="10"/>
    </row>
    <row r="208" spans="1:14" x14ac:dyDescent="0.35">
      <c r="A208" s="2" t="s">
        <v>10</v>
      </c>
      <c r="B208" s="2"/>
      <c r="C208" s="2"/>
      <c r="D208" s="2"/>
      <c r="E208" s="11"/>
      <c r="F208" s="11"/>
      <c r="G208" s="11"/>
      <c r="H208" s="11"/>
      <c r="I208" s="11"/>
      <c r="J208" s="11"/>
      <c r="K208" s="11"/>
      <c r="L208" s="11"/>
      <c r="M208" s="11"/>
    </row>
  </sheetData>
  <mergeCells count="4">
    <mergeCell ref="E1:H1"/>
    <mergeCell ref="I1:M1"/>
    <mergeCell ref="A2:D2"/>
    <mergeCell ref="B1:D1"/>
  </mergeCells>
  <conditionalFormatting sqref="E3:H3">
    <cfRule type="containsText" dxfId="9" priority="3" operator="containsText" text="TRUE">
      <formula>NOT(ISERROR(SEARCH("TRUE",E3)))</formula>
    </cfRule>
    <cfRule type="containsText" dxfId="8" priority="4" operator="containsText" text="FALSE">
      <formula>NOT(ISERROR(SEARCH("FALSE",E3)))</formula>
    </cfRule>
  </conditionalFormatting>
  <conditionalFormatting sqref="H205">
    <cfRule type="expression" dxfId="7" priority="1">
      <formula>H205&gt;=D205</formula>
    </cfRule>
    <cfRule type="expression" dxfId="6" priority="2">
      <formula>H205&lt;D205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3D628A5-4719-4B5D-934F-58DC830A243A}">
          <x14:formula1>
            <xm:f>Tickers!$A$2:$A$11</xm:f>
          </x14:formula1>
          <xm:sqref>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B7D5-A0D5-448E-8570-3947420F31FC}">
  <sheetPr>
    <tabColor theme="7" tint="0.79998168889431442"/>
  </sheetPr>
  <dimension ref="A1:BY85"/>
  <sheetViews>
    <sheetView showGridLines="0" tabSelected="1" workbookViewId="0">
      <pane xSplit="4" ySplit="1" topLeftCell="K2" activePane="bottomRight" state="frozen"/>
      <selection pane="topRight" activeCell="E1" sqref="E1"/>
      <selection pane="bottomLeft" activeCell="A2" sqref="A2"/>
      <selection pane="bottomRight" activeCell="M6" sqref="M6"/>
    </sheetView>
  </sheetViews>
  <sheetFormatPr defaultRowHeight="14.5" x14ac:dyDescent="0.35"/>
  <cols>
    <col min="1" max="1" width="14.6328125" bestFit="1" customWidth="1"/>
    <col min="2" max="2" width="10.90625" bestFit="1" customWidth="1"/>
    <col min="3" max="3" width="6.81640625" bestFit="1" customWidth="1"/>
    <col min="4" max="4" width="12.54296875" bestFit="1" customWidth="1"/>
    <col min="5" max="5" width="14.54296875" bestFit="1" customWidth="1"/>
    <col min="6" max="6" width="25.08984375" bestFit="1" customWidth="1"/>
    <col min="7" max="7" width="21" bestFit="1" customWidth="1"/>
    <col min="8" max="8" width="11.54296875" style="76" bestFit="1" customWidth="1"/>
    <col min="9" max="9" width="17.36328125" bestFit="1" customWidth="1"/>
    <col min="10" max="10" width="50.08984375" bestFit="1" customWidth="1"/>
    <col min="11" max="11" width="46.81640625" bestFit="1" customWidth="1"/>
    <col min="12" max="12" width="22.90625" bestFit="1" customWidth="1"/>
    <col min="13" max="13" width="13.453125" bestFit="1" customWidth="1"/>
    <col min="14" max="14" width="33.1796875" bestFit="1" customWidth="1"/>
    <col min="15" max="16" width="12.6328125" bestFit="1" customWidth="1"/>
    <col min="17" max="17" width="36.1796875" bestFit="1" customWidth="1"/>
    <col min="18" max="18" width="23.453125" bestFit="1" customWidth="1"/>
    <col min="19" max="19" width="22.81640625" bestFit="1" customWidth="1"/>
    <col min="20" max="20" width="33.90625" bestFit="1" customWidth="1"/>
    <col min="21" max="21" width="13.81640625" bestFit="1" customWidth="1"/>
    <col min="22" max="22" width="18" bestFit="1" customWidth="1"/>
    <col min="23" max="23" width="30.08984375" bestFit="1" customWidth="1"/>
    <col min="24" max="24" width="17.26953125" bestFit="1" customWidth="1"/>
    <col min="25" max="25" width="29.36328125" bestFit="1" customWidth="1"/>
    <col min="26" max="26" width="19.08984375" bestFit="1" customWidth="1"/>
    <col min="27" max="27" width="13.54296875" bestFit="1" customWidth="1"/>
    <col min="28" max="28" width="32.453125" bestFit="1" customWidth="1"/>
    <col min="29" max="29" width="33" bestFit="1" customWidth="1"/>
    <col min="30" max="30" width="50.7265625" bestFit="1" customWidth="1"/>
    <col min="31" max="31" width="53.26953125" bestFit="1" customWidth="1"/>
    <col min="32" max="32" width="41.54296875" bestFit="1" customWidth="1"/>
    <col min="33" max="33" width="20.36328125" bestFit="1" customWidth="1"/>
    <col min="34" max="34" width="39.453125" bestFit="1" customWidth="1"/>
    <col min="35" max="35" width="20.1796875" bestFit="1" customWidth="1"/>
    <col min="36" max="36" width="20.26953125" bestFit="1" customWidth="1"/>
    <col min="37" max="37" width="19.81640625" bestFit="1" customWidth="1"/>
    <col min="38" max="38" width="19" bestFit="1" customWidth="1"/>
    <col min="39" max="39" width="20.08984375" bestFit="1" customWidth="1"/>
    <col min="40" max="40" width="14.90625" bestFit="1" customWidth="1"/>
    <col min="41" max="41" width="22.54296875" bestFit="1" customWidth="1"/>
    <col min="42" max="42" width="35.453125" bestFit="1" customWidth="1"/>
    <col min="43" max="43" width="25.6328125" bestFit="1" customWidth="1"/>
    <col min="44" max="44" width="34.6328125" bestFit="1" customWidth="1"/>
    <col min="45" max="45" width="16.08984375" bestFit="1" customWidth="1"/>
    <col min="46" max="46" width="26.453125" bestFit="1" customWidth="1"/>
    <col min="47" max="47" width="24.26953125" bestFit="1" customWidth="1"/>
    <col min="48" max="48" width="26.81640625" bestFit="1" customWidth="1"/>
    <col min="49" max="49" width="28.90625" bestFit="1" customWidth="1"/>
    <col min="50" max="50" width="32.54296875" bestFit="1" customWidth="1"/>
    <col min="51" max="51" width="23.08984375" bestFit="1" customWidth="1"/>
    <col min="52" max="52" width="25.90625" bestFit="1" customWidth="1"/>
    <col min="53" max="53" width="15" bestFit="1" customWidth="1"/>
    <col min="54" max="54" width="18.08984375" bestFit="1" customWidth="1"/>
    <col min="55" max="55" width="16.453125" bestFit="1" customWidth="1"/>
    <col min="56" max="56" width="33.453125" bestFit="1" customWidth="1"/>
    <col min="57" max="57" width="15.90625" bestFit="1" customWidth="1"/>
    <col min="58" max="58" width="20.36328125" bestFit="1" customWidth="1"/>
    <col min="59" max="59" width="35.90625" bestFit="1" customWidth="1"/>
    <col min="60" max="60" width="11.7265625" bestFit="1" customWidth="1"/>
    <col min="61" max="61" width="35.26953125" bestFit="1" customWidth="1"/>
    <col min="62" max="62" width="29.1796875" bestFit="1" customWidth="1"/>
    <col min="63" max="63" width="28.08984375" bestFit="1" customWidth="1"/>
    <col min="64" max="64" width="27.81640625" bestFit="1" customWidth="1"/>
    <col min="65" max="65" width="25.36328125" bestFit="1" customWidth="1"/>
    <col min="66" max="66" width="10.6328125" bestFit="1" customWidth="1"/>
    <col min="67" max="67" width="15.453125" bestFit="1" customWidth="1"/>
    <col min="68" max="68" width="42.1796875" bestFit="1" customWidth="1"/>
    <col min="69" max="69" width="21.81640625" bestFit="1" customWidth="1"/>
    <col min="70" max="70" width="14" bestFit="1" customWidth="1"/>
    <col min="71" max="71" width="36" bestFit="1" customWidth="1"/>
    <col min="72" max="72" width="19.36328125" bestFit="1" customWidth="1"/>
    <col min="73" max="73" width="30.26953125" bestFit="1" customWidth="1"/>
    <col min="74" max="74" width="19.81640625" bestFit="1" customWidth="1"/>
    <col min="75" max="75" width="22" bestFit="1" customWidth="1"/>
    <col min="76" max="76" width="27" bestFit="1" customWidth="1"/>
    <col min="77" max="77" width="8.08984375" bestFit="1" customWidth="1"/>
    <col min="78" max="78" width="22" bestFit="1" customWidth="1"/>
    <col min="79" max="79" width="27" bestFit="1" customWidth="1"/>
    <col min="80" max="80" width="8.08984375" bestFit="1" customWidth="1"/>
    <col min="81" max="81" width="10.6328125" bestFit="1" customWidth="1"/>
    <col min="82" max="82" width="27" bestFit="1" customWidth="1"/>
    <col min="83" max="83" width="8.08984375" customWidth="1"/>
    <col min="84" max="84" width="22" bestFit="1" customWidth="1"/>
    <col min="85" max="85" width="27" bestFit="1" customWidth="1"/>
    <col min="86" max="86" width="8.08984375" bestFit="1" customWidth="1"/>
    <col min="87" max="87" width="27" bestFit="1" customWidth="1"/>
    <col min="88" max="88" width="8.08984375" customWidth="1"/>
    <col min="89" max="89" width="22" bestFit="1" customWidth="1"/>
    <col min="90" max="90" width="27" bestFit="1" customWidth="1"/>
    <col min="91" max="91" width="8.08984375" customWidth="1"/>
    <col min="92" max="92" width="27" bestFit="1" customWidth="1"/>
    <col min="93" max="93" width="8.08984375" customWidth="1"/>
    <col min="94" max="94" width="8.08984375" bestFit="1" customWidth="1"/>
    <col min="95" max="95" width="10.7265625" bestFit="1" customWidth="1"/>
    <col min="96" max="96" width="23.26953125" bestFit="1" customWidth="1"/>
    <col min="97" max="97" width="8.1796875" bestFit="1" customWidth="1"/>
    <col min="98" max="98" width="8.08984375" bestFit="1" customWidth="1"/>
    <col min="99" max="99" width="8.08984375" customWidth="1"/>
    <col min="100" max="100" width="8.1796875" bestFit="1" customWidth="1"/>
    <col min="101" max="101" width="8.36328125" bestFit="1" customWidth="1"/>
  </cols>
  <sheetData>
    <row r="1" spans="1:77" x14ac:dyDescent="0.35">
      <c r="A1" t="s">
        <v>139</v>
      </c>
      <c r="B1" t="s">
        <v>140</v>
      </c>
      <c r="C1" t="s">
        <v>475</v>
      </c>
      <c r="D1" t="s">
        <v>141</v>
      </c>
      <c r="E1" t="s">
        <v>142</v>
      </c>
      <c r="F1" s="10" t="s">
        <v>143</v>
      </c>
      <c r="G1" s="10" t="s">
        <v>144</v>
      </c>
      <c r="H1" s="41" t="s">
        <v>145</v>
      </c>
      <c r="I1" s="10" t="s">
        <v>146</v>
      </c>
      <c r="J1" s="10" t="s">
        <v>147</v>
      </c>
      <c r="K1" s="10" t="s">
        <v>148</v>
      </c>
      <c r="L1" s="10" t="s">
        <v>149</v>
      </c>
      <c r="M1" s="10" t="s">
        <v>150</v>
      </c>
      <c r="N1" s="10" t="s">
        <v>151</v>
      </c>
      <c r="O1" s="10" t="s">
        <v>94</v>
      </c>
      <c r="P1" s="10" t="s">
        <v>152</v>
      </c>
      <c r="Q1" s="10" t="s">
        <v>153</v>
      </c>
      <c r="R1" s="10" t="s">
        <v>154</v>
      </c>
      <c r="S1" s="10" t="s">
        <v>155</v>
      </c>
      <c r="T1" s="10" t="s">
        <v>156</v>
      </c>
      <c r="U1" s="10" t="s">
        <v>157</v>
      </c>
      <c r="V1" s="10" t="s">
        <v>158</v>
      </c>
      <c r="W1" s="10" t="s">
        <v>159</v>
      </c>
      <c r="X1" s="10" t="s">
        <v>160</v>
      </c>
      <c r="Y1" s="10" t="s">
        <v>161</v>
      </c>
      <c r="Z1" s="10" t="s">
        <v>162</v>
      </c>
      <c r="AA1" s="10" t="s">
        <v>163</v>
      </c>
      <c r="AB1" s="10" t="s">
        <v>164</v>
      </c>
      <c r="AC1" s="10" t="s">
        <v>165</v>
      </c>
      <c r="AD1" s="10" t="s">
        <v>166</v>
      </c>
      <c r="AE1" s="10" t="s">
        <v>167</v>
      </c>
      <c r="AF1" s="10" t="s">
        <v>168</v>
      </c>
      <c r="AG1" s="10" t="s">
        <v>169</v>
      </c>
      <c r="AH1" s="10" t="s">
        <v>170</v>
      </c>
      <c r="AI1" s="10" t="s">
        <v>171</v>
      </c>
      <c r="AJ1" s="10" t="s">
        <v>172</v>
      </c>
      <c r="AK1" s="10" t="s">
        <v>173</v>
      </c>
      <c r="AL1" s="10" t="s">
        <v>174</v>
      </c>
      <c r="AM1" s="10" t="s">
        <v>175</v>
      </c>
      <c r="AN1" s="10" t="s">
        <v>176</v>
      </c>
      <c r="AO1" s="10" t="s">
        <v>177</v>
      </c>
      <c r="AP1" s="10" t="s">
        <v>178</v>
      </c>
      <c r="AQ1" s="10" t="s">
        <v>179</v>
      </c>
      <c r="AR1" s="10" t="s">
        <v>180</v>
      </c>
      <c r="AS1" s="10" t="s">
        <v>181</v>
      </c>
      <c r="AT1" s="10" t="s">
        <v>182</v>
      </c>
      <c r="AU1" s="10" t="s">
        <v>183</v>
      </c>
      <c r="AV1" s="10" t="s">
        <v>184</v>
      </c>
      <c r="AW1" s="10" t="s">
        <v>185</v>
      </c>
      <c r="AX1" s="10" t="s">
        <v>186</v>
      </c>
      <c r="AY1" s="10" t="s">
        <v>187</v>
      </c>
      <c r="AZ1" s="10" t="s">
        <v>188</v>
      </c>
      <c r="BA1" s="10" t="s">
        <v>189</v>
      </c>
      <c r="BB1" s="10" t="s">
        <v>190</v>
      </c>
      <c r="BC1" s="10" t="s">
        <v>191</v>
      </c>
      <c r="BD1" s="10" t="s">
        <v>192</v>
      </c>
      <c r="BE1" s="10" t="s">
        <v>193</v>
      </c>
      <c r="BF1" s="10" t="s">
        <v>194</v>
      </c>
      <c r="BG1" s="10" t="s">
        <v>195</v>
      </c>
      <c r="BH1" s="10" t="s">
        <v>196</v>
      </c>
      <c r="BI1" s="10" t="s">
        <v>197</v>
      </c>
      <c r="BJ1" t="s">
        <v>641</v>
      </c>
      <c r="BK1" s="10" t="s">
        <v>198</v>
      </c>
      <c r="BL1" s="10" t="s">
        <v>199</v>
      </c>
      <c r="BM1" s="10" t="s">
        <v>200</v>
      </c>
      <c r="BN1" t="s">
        <v>623</v>
      </c>
      <c r="BO1" s="10" t="s">
        <v>201</v>
      </c>
      <c r="BP1" s="10" t="s">
        <v>202</v>
      </c>
      <c r="BQ1" s="10" t="s">
        <v>203</v>
      </c>
      <c r="BR1" s="10" t="s">
        <v>204</v>
      </c>
      <c r="BS1" s="10" t="s">
        <v>205</v>
      </c>
      <c r="BT1" s="10" t="s">
        <v>206</v>
      </c>
      <c r="BU1" s="10" t="s">
        <v>207</v>
      </c>
      <c r="BV1" s="10" t="s">
        <v>208</v>
      </c>
      <c r="BW1" s="10" t="s">
        <v>209</v>
      </c>
      <c r="BX1" s="10" t="s">
        <v>210</v>
      </c>
      <c r="BY1" t="s">
        <v>211</v>
      </c>
    </row>
    <row r="2" spans="1:77" x14ac:dyDescent="0.35">
      <c r="A2" t="s">
        <v>642</v>
      </c>
      <c r="B2" s="22">
        <v>44196</v>
      </c>
      <c r="C2">
        <v>2020</v>
      </c>
      <c r="D2" t="s">
        <v>212</v>
      </c>
      <c r="E2" t="s">
        <v>213</v>
      </c>
      <c r="F2" s="10"/>
      <c r="G2" s="10">
        <v>21980326</v>
      </c>
      <c r="H2" s="41">
        <v>-0.27</v>
      </c>
      <c r="I2" s="10">
        <v>170307000</v>
      </c>
      <c r="J2" s="10"/>
      <c r="K2" s="10"/>
      <c r="L2" s="10">
        <v>21980326</v>
      </c>
      <c r="M2" s="10">
        <v>-0.27</v>
      </c>
      <c r="N2" s="10">
        <v>-5829000</v>
      </c>
      <c r="O2" s="10">
        <v>-12025000</v>
      </c>
      <c r="P2" s="10">
        <v>6556000</v>
      </c>
      <c r="Q2" s="10"/>
      <c r="R2" s="10"/>
      <c r="S2" s="10"/>
      <c r="T2" s="10">
        <v>38605000</v>
      </c>
      <c r="U2" s="10">
        <v>138180000</v>
      </c>
      <c r="V2" s="10"/>
      <c r="W2" s="10"/>
      <c r="X2" s="10">
        <v>909000</v>
      </c>
      <c r="Y2" s="10">
        <v>909000</v>
      </c>
      <c r="Z2" s="10"/>
      <c r="AA2" s="10">
        <v>-5829000</v>
      </c>
      <c r="AB2" s="10">
        <v>-5829000</v>
      </c>
      <c r="AC2" s="10">
        <v>-5829000</v>
      </c>
      <c r="AD2" s="10">
        <v>-5829000</v>
      </c>
      <c r="AE2" s="10">
        <v>-5829000</v>
      </c>
      <c r="AF2" s="10">
        <v>-5829000</v>
      </c>
      <c r="AG2" s="10">
        <v>909000</v>
      </c>
      <c r="AH2" s="10">
        <v>909000</v>
      </c>
      <c r="AI2" s="10">
        <v>6556000</v>
      </c>
      <c r="AJ2" s="10">
        <v>-5829000</v>
      </c>
      <c r="AK2" s="10">
        <v>150205000</v>
      </c>
      <c r="AL2" s="10">
        <v>-12025000</v>
      </c>
      <c r="AM2" s="10">
        <v>308487000</v>
      </c>
      <c r="AN2" s="10">
        <v>38605000</v>
      </c>
      <c r="AO2" s="10">
        <v>5836000</v>
      </c>
      <c r="AP2" s="10">
        <v>5836000</v>
      </c>
      <c r="AQ2" s="10"/>
      <c r="AR2" s="10"/>
      <c r="AS2" s="10">
        <v>-5280000</v>
      </c>
      <c r="AT2" s="10">
        <v>170307000</v>
      </c>
      <c r="AU2" s="10">
        <v>18581000</v>
      </c>
      <c r="AV2" s="10">
        <v>14080000</v>
      </c>
      <c r="AW2" s="10">
        <v>97520000</v>
      </c>
      <c r="AX2" s="10">
        <v>136125000</v>
      </c>
      <c r="AY2" s="10">
        <v>0</v>
      </c>
      <c r="AZ2" s="10">
        <v>0</v>
      </c>
      <c r="BA2" s="10">
        <v>549000</v>
      </c>
      <c r="BB2" s="10">
        <v>0.27</v>
      </c>
      <c r="BC2" s="10">
        <v>320512000</v>
      </c>
      <c r="BD2" s="10">
        <v>-12025000</v>
      </c>
      <c r="BE2" s="10">
        <v>308487000</v>
      </c>
      <c r="BF2" s="10">
        <v>0</v>
      </c>
      <c r="BG2" s="10">
        <v>0</v>
      </c>
      <c r="BH2" s="10"/>
      <c r="BI2" s="10"/>
      <c r="BK2" s="10"/>
      <c r="BL2" s="10"/>
      <c r="BM2" s="10"/>
      <c r="BN2" s="41">
        <v>2020</v>
      </c>
      <c r="BO2" s="10"/>
      <c r="BP2" s="10"/>
      <c r="BQ2" s="10"/>
      <c r="BR2" s="10"/>
      <c r="BS2" s="10"/>
      <c r="BT2" s="10">
        <v>0</v>
      </c>
      <c r="BU2" s="10"/>
      <c r="BV2" s="10"/>
      <c r="BW2" s="10"/>
      <c r="BX2" s="10">
        <v>13543000</v>
      </c>
      <c r="BY2" t="s">
        <v>643</v>
      </c>
    </row>
    <row r="3" spans="1:77" x14ac:dyDescent="0.35">
      <c r="A3" t="s">
        <v>642</v>
      </c>
      <c r="B3" s="22">
        <v>44561</v>
      </c>
      <c r="C3">
        <v>2021</v>
      </c>
      <c r="D3" t="s">
        <v>212</v>
      </c>
      <c r="E3" t="s">
        <v>213</v>
      </c>
      <c r="F3" s="10"/>
      <c r="G3" s="10">
        <v>22490027</v>
      </c>
      <c r="H3" s="41">
        <v>-0.28000000000000003</v>
      </c>
      <c r="I3" s="10">
        <v>181520000</v>
      </c>
      <c r="J3" s="10"/>
      <c r="K3" s="10"/>
      <c r="L3" s="10">
        <v>22490027</v>
      </c>
      <c r="M3" s="10">
        <v>-0.28000000000000003</v>
      </c>
      <c r="N3" s="10">
        <v>-6333000</v>
      </c>
      <c r="O3" s="10">
        <v>9240000</v>
      </c>
      <c r="P3" s="10">
        <v>30868000</v>
      </c>
      <c r="Q3" s="10"/>
      <c r="R3" s="10"/>
      <c r="S3" s="10"/>
      <c r="T3" s="10">
        <v>37852000</v>
      </c>
      <c r="U3" s="10">
        <v>176483000</v>
      </c>
      <c r="V3" s="10"/>
      <c r="W3" s="10"/>
      <c r="X3" s="10">
        <v>129000</v>
      </c>
      <c r="Y3" s="10">
        <v>129000</v>
      </c>
      <c r="Z3" s="10"/>
      <c r="AA3" s="10">
        <v>-6333000</v>
      </c>
      <c r="AB3" s="10">
        <v>-6333000</v>
      </c>
      <c r="AC3" s="10">
        <v>-6333000</v>
      </c>
      <c r="AD3" s="10">
        <v>-6333000</v>
      </c>
      <c r="AE3" s="10">
        <v>-6333000</v>
      </c>
      <c r="AF3" s="10">
        <v>-6333000</v>
      </c>
      <c r="AG3" s="10">
        <v>129000</v>
      </c>
      <c r="AH3" s="10">
        <v>129000</v>
      </c>
      <c r="AI3" s="10">
        <v>30868000</v>
      </c>
      <c r="AJ3" s="10">
        <v>-6333000</v>
      </c>
      <c r="AK3" s="10">
        <v>167243000</v>
      </c>
      <c r="AL3" s="10">
        <v>9240000</v>
      </c>
      <c r="AM3" s="10">
        <v>358003000</v>
      </c>
      <c r="AN3" s="10">
        <v>37852000</v>
      </c>
      <c r="AO3" s="10">
        <v>-710000</v>
      </c>
      <c r="AP3" s="10">
        <v>-710000</v>
      </c>
      <c r="AQ3" s="10"/>
      <c r="AR3" s="10"/>
      <c r="AS3" s="10">
        <v>8659000</v>
      </c>
      <c r="AT3" s="10">
        <v>181520000</v>
      </c>
      <c r="AU3" s="10">
        <v>21628000</v>
      </c>
      <c r="AV3" s="10">
        <v>16576000</v>
      </c>
      <c r="AW3" s="10">
        <v>112815000</v>
      </c>
      <c r="AX3" s="10">
        <v>150667000</v>
      </c>
      <c r="AY3" s="10">
        <v>0</v>
      </c>
      <c r="AZ3" s="10">
        <v>0</v>
      </c>
      <c r="BA3" s="10">
        <v>14992000</v>
      </c>
      <c r="BB3" s="10">
        <v>0.27</v>
      </c>
      <c r="BC3" s="10">
        <v>348763000</v>
      </c>
      <c r="BD3" s="10">
        <v>9240000</v>
      </c>
      <c r="BE3" s="10">
        <v>358003000</v>
      </c>
      <c r="BF3" s="10">
        <v>0</v>
      </c>
      <c r="BG3" s="10">
        <v>0</v>
      </c>
      <c r="BH3" s="10"/>
      <c r="BI3" s="10"/>
      <c r="BK3" s="10"/>
      <c r="BL3" s="10">
        <v>0</v>
      </c>
      <c r="BM3" s="10"/>
      <c r="BN3" s="41">
        <v>2021</v>
      </c>
      <c r="BO3" s="10"/>
      <c r="BP3" s="10"/>
      <c r="BQ3" s="10"/>
      <c r="BR3" s="10"/>
      <c r="BS3" s="10"/>
      <c r="BT3" s="10">
        <v>0</v>
      </c>
      <c r="BU3" s="10"/>
      <c r="BV3" s="10"/>
      <c r="BW3" s="10"/>
      <c r="BX3" s="10">
        <v>19696000</v>
      </c>
      <c r="BY3" t="s">
        <v>643</v>
      </c>
    </row>
    <row r="4" spans="1:77" x14ac:dyDescent="0.35">
      <c r="A4" t="s">
        <v>642</v>
      </c>
      <c r="B4" s="22">
        <v>44926</v>
      </c>
      <c r="C4">
        <v>2022</v>
      </c>
      <c r="D4" t="s">
        <v>212</v>
      </c>
      <c r="E4" t="s">
        <v>213</v>
      </c>
      <c r="F4" s="10"/>
      <c r="G4" s="10">
        <v>22852571</v>
      </c>
      <c r="H4" s="41">
        <v>-3.67</v>
      </c>
      <c r="I4" s="10">
        <v>223708000</v>
      </c>
      <c r="J4" s="10"/>
      <c r="K4" s="10"/>
      <c r="L4" s="10">
        <v>22852571</v>
      </c>
      <c r="M4" s="10">
        <v>-3.67</v>
      </c>
      <c r="N4" s="10">
        <v>-83772000</v>
      </c>
      <c r="O4" s="10">
        <v>-33082000</v>
      </c>
      <c r="P4" s="10">
        <v>-9568000</v>
      </c>
      <c r="Q4" s="10"/>
      <c r="R4" s="10"/>
      <c r="S4" s="10"/>
      <c r="T4" s="10">
        <v>43905000</v>
      </c>
      <c r="U4" s="10">
        <v>153533000</v>
      </c>
      <c r="V4" s="10"/>
      <c r="W4" s="10"/>
      <c r="X4" s="10">
        <v>2837000</v>
      </c>
      <c r="Y4" s="10">
        <v>2837000</v>
      </c>
      <c r="Z4" s="10"/>
      <c r="AA4" s="10">
        <v>-83772000</v>
      </c>
      <c r="AB4" s="10">
        <v>-83772000</v>
      </c>
      <c r="AC4" s="10">
        <v>-83772000</v>
      </c>
      <c r="AD4" s="10">
        <v>-83772000</v>
      </c>
      <c r="AE4" s="10">
        <v>-83772000</v>
      </c>
      <c r="AF4" s="10">
        <v>-83772000</v>
      </c>
      <c r="AG4" s="10">
        <v>2837000</v>
      </c>
      <c r="AH4" s="10">
        <v>2837000</v>
      </c>
      <c r="AI4" s="10">
        <v>42593000</v>
      </c>
      <c r="AJ4" s="10">
        <v>-42564810</v>
      </c>
      <c r="AK4" s="10">
        <v>186615000</v>
      </c>
      <c r="AL4" s="10">
        <v>-33082000</v>
      </c>
      <c r="AM4" s="10">
        <v>377241000</v>
      </c>
      <c r="AN4" s="10">
        <v>43905000</v>
      </c>
      <c r="AO4" s="10">
        <v>-53023000</v>
      </c>
      <c r="AP4" s="10">
        <v>-862000</v>
      </c>
      <c r="AQ4" s="10"/>
      <c r="AR4" s="10"/>
      <c r="AS4" s="10">
        <v>-83268000</v>
      </c>
      <c r="AT4" s="10">
        <v>223708000</v>
      </c>
      <c r="AU4" s="10">
        <v>23514000</v>
      </c>
      <c r="AV4" s="10">
        <v>21943000</v>
      </c>
      <c r="AW4" s="10">
        <v>120767000</v>
      </c>
      <c r="AX4" s="10">
        <v>164672000</v>
      </c>
      <c r="AY4" s="10">
        <v>-52161000</v>
      </c>
      <c r="AZ4" s="10">
        <v>-10953810</v>
      </c>
      <c r="BA4" s="10">
        <v>504000</v>
      </c>
      <c r="BB4" s="10">
        <v>0.21</v>
      </c>
      <c r="BC4" s="10">
        <v>410323000</v>
      </c>
      <c r="BD4" s="10">
        <v>-85243000</v>
      </c>
      <c r="BE4" s="10">
        <v>377241000</v>
      </c>
      <c r="BF4" s="10">
        <v>-52161000</v>
      </c>
      <c r="BG4" s="10">
        <v>-52161000</v>
      </c>
      <c r="BH4" s="10"/>
      <c r="BI4" s="10"/>
      <c r="BK4" s="10"/>
      <c r="BL4" s="10">
        <v>0</v>
      </c>
      <c r="BM4" s="10"/>
      <c r="BN4" s="41">
        <v>2022</v>
      </c>
      <c r="BO4" s="10"/>
      <c r="BP4" s="10"/>
      <c r="BQ4" s="10"/>
      <c r="BR4" s="10"/>
      <c r="BS4" s="10"/>
      <c r="BT4" s="10">
        <v>-52161000</v>
      </c>
      <c r="BU4" s="10"/>
      <c r="BV4" s="10"/>
      <c r="BW4" s="10"/>
      <c r="BX4" s="10">
        <v>25903000</v>
      </c>
      <c r="BY4" t="s">
        <v>643</v>
      </c>
    </row>
    <row r="5" spans="1:77" hidden="1" x14ac:dyDescent="0.35">
      <c r="A5" t="s">
        <v>642</v>
      </c>
      <c r="B5" s="22">
        <v>45199</v>
      </c>
      <c r="C5">
        <v>2023</v>
      </c>
      <c r="D5" t="s">
        <v>214</v>
      </c>
      <c r="E5" t="s">
        <v>213</v>
      </c>
      <c r="F5" s="10"/>
      <c r="G5" s="10">
        <v>23079118</v>
      </c>
      <c r="H5" s="41">
        <v>-5.76</v>
      </c>
      <c r="I5" s="10"/>
      <c r="J5" s="10"/>
      <c r="K5" s="10"/>
      <c r="L5" s="10">
        <v>23079118</v>
      </c>
      <c r="M5" s="10">
        <v>-5.76</v>
      </c>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K5" s="10"/>
      <c r="BL5" s="10"/>
      <c r="BM5" s="10"/>
      <c r="BN5" s="41">
        <v>2023</v>
      </c>
      <c r="BO5" s="10"/>
      <c r="BP5" s="10"/>
      <c r="BQ5" s="10"/>
      <c r="BR5" s="10"/>
      <c r="BS5" s="10"/>
      <c r="BT5" s="10"/>
      <c r="BU5" s="10"/>
      <c r="BV5" s="10"/>
      <c r="BW5" s="10"/>
      <c r="BX5" s="10"/>
      <c r="BY5" t="s">
        <v>643</v>
      </c>
    </row>
    <row r="6" spans="1:77" x14ac:dyDescent="0.35">
      <c r="A6" t="s">
        <v>642</v>
      </c>
      <c r="B6" s="22">
        <v>45291</v>
      </c>
      <c r="C6">
        <v>2023</v>
      </c>
      <c r="D6" t="s">
        <v>212</v>
      </c>
      <c r="E6" t="s">
        <v>213</v>
      </c>
      <c r="F6" s="10"/>
      <c r="G6" s="10">
        <v>23176098</v>
      </c>
      <c r="H6" s="41">
        <v>-4.42</v>
      </c>
      <c r="I6" s="10">
        <v>188961000</v>
      </c>
      <c r="J6" s="10"/>
      <c r="K6" s="10"/>
      <c r="L6" s="10">
        <v>23176098</v>
      </c>
      <c r="M6" s="10">
        <v>-4.42</v>
      </c>
      <c r="N6" s="10">
        <v>-102449000</v>
      </c>
      <c r="O6" s="10">
        <v>-76492000</v>
      </c>
      <c r="P6" s="10">
        <v>-58340000</v>
      </c>
      <c r="Q6" s="10"/>
      <c r="R6" s="10"/>
      <c r="S6" s="10"/>
      <c r="T6" s="10">
        <v>75260000</v>
      </c>
      <c r="U6" s="10">
        <v>126699000</v>
      </c>
      <c r="V6" s="10"/>
      <c r="W6" s="10"/>
      <c r="X6" s="10">
        <v>6574000</v>
      </c>
      <c r="Y6" s="10">
        <v>6574000</v>
      </c>
      <c r="Z6" s="10"/>
      <c r="AA6" s="10">
        <v>-102449000</v>
      </c>
      <c r="AB6" s="10">
        <v>-102449000</v>
      </c>
      <c r="AC6" s="10">
        <v>-102449000</v>
      </c>
      <c r="AD6" s="10">
        <v>-102449000</v>
      </c>
      <c r="AE6" s="10">
        <v>-102449000</v>
      </c>
      <c r="AF6" s="10">
        <v>-102449000</v>
      </c>
      <c r="AG6" s="10">
        <v>6574000</v>
      </c>
      <c r="AH6" s="10">
        <v>6574000</v>
      </c>
      <c r="AI6" s="10">
        <v>-25446000</v>
      </c>
      <c r="AJ6" s="10">
        <v>-76462740</v>
      </c>
      <c r="AK6" s="10">
        <v>203191000</v>
      </c>
      <c r="AL6" s="10">
        <v>-76492000</v>
      </c>
      <c r="AM6" s="10">
        <v>315660000</v>
      </c>
      <c r="AN6" s="10">
        <v>75260000</v>
      </c>
      <c r="AO6" s="10">
        <v>-32426000</v>
      </c>
      <c r="AP6" s="10">
        <v>468000</v>
      </c>
      <c r="AQ6" s="10"/>
      <c r="AR6" s="10"/>
      <c r="AS6" s="10">
        <v>-102344000</v>
      </c>
      <c r="AT6" s="10">
        <v>188961000</v>
      </c>
      <c r="AU6" s="10">
        <v>18152000</v>
      </c>
      <c r="AV6" s="10">
        <v>20840000</v>
      </c>
      <c r="AW6" s="10">
        <v>107091000</v>
      </c>
      <c r="AX6" s="10">
        <v>182351000</v>
      </c>
      <c r="AY6" s="10">
        <v>-32894000</v>
      </c>
      <c r="AZ6" s="10">
        <v>-6907740</v>
      </c>
      <c r="BA6" s="10">
        <v>105000</v>
      </c>
      <c r="BB6" s="10">
        <v>0.21</v>
      </c>
      <c r="BC6" s="10">
        <v>392152000</v>
      </c>
      <c r="BD6" s="10">
        <v>-109386000</v>
      </c>
      <c r="BE6" s="10">
        <v>315660000</v>
      </c>
      <c r="BF6" s="10">
        <v>-32894000</v>
      </c>
      <c r="BG6" s="10">
        <v>-32894000</v>
      </c>
      <c r="BH6" s="10"/>
      <c r="BI6" s="10"/>
      <c r="BK6" s="10"/>
      <c r="BL6" s="10">
        <v>32894000</v>
      </c>
      <c r="BM6" s="10"/>
      <c r="BN6" s="41">
        <v>2023</v>
      </c>
      <c r="BO6" s="10"/>
      <c r="BP6" s="10"/>
      <c r="BQ6" s="10"/>
      <c r="BR6" s="10"/>
      <c r="BS6" s="10"/>
      <c r="BT6" s="10">
        <v>0</v>
      </c>
      <c r="BU6" s="10"/>
      <c r="BV6" s="10"/>
      <c r="BW6" s="10"/>
      <c r="BX6" s="10">
        <v>30325000</v>
      </c>
      <c r="BY6" t="s">
        <v>643</v>
      </c>
    </row>
    <row r="7" spans="1:77" hidden="1" x14ac:dyDescent="0.35">
      <c r="A7" t="s">
        <v>642</v>
      </c>
      <c r="B7" s="22">
        <v>45291</v>
      </c>
      <c r="C7">
        <v>2023</v>
      </c>
      <c r="D7" t="s">
        <v>214</v>
      </c>
      <c r="E7" t="s">
        <v>213</v>
      </c>
      <c r="F7" s="10"/>
      <c r="G7" s="10">
        <v>23176098</v>
      </c>
      <c r="H7" s="41">
        <v>-4.42</v>
      </c>
      <c r="I7" s="10"/>
      <c r="J7" s="10"/>
      <c r="K7" s="10"/>
      <c r="L7" s="10">
        <v>23176098</v>
      </c>
      <c r="M7" s="10">
        <v>-4.42</v>
      </c>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K7" s="10"/>
      <c r="BL7" s="10"/>
      <c r="BM7" s="10"/>
      <c r="BN7" s="41">
        <v>2023</v>
      </c>
      <c r="BO7" s="10"/>
      <c r="BP7" s="10"/>
      <c r="BQ7" s="10"/>
      <c r="BR7" s="10"/>
      <c r="BS7" s="10"/>
      <c r="BT7" s="10"/>
      <c r="BU7" s="10"/>
      <c r="BV7" s="10"/>
      <c r="BW7" s="10"/>
      <c r="BX7" s="10"/>
      <c r="BY7" t="s">
        <v>643</v>
      </c>
    </row>
    <row r="8" spans="1:77" hidden="1" x14ac:dyDescent="0.35">
      <c r="A8" t="s">
        <v>642</v>
      </c>
      <c r="B8" s="22">
        <v>45382</v>
      </c>
      <c r="C8">
        <v>2024</v>
      </c>
      <c r="D8" t="s">
        <v>214</v>
      </c>
      <c r="E8" t="s">
        <v>213</v>
      </c>
      <c r="F8" s="10"/>
      <c r="G8" s="10">
        <v>23274093</v>
      </c>
      <c r="H8" s="41">
        <v>-4.16</v>
      </c>
      <c r="I8" s="10"/>
      <c r="J8" s="10"/>
      <c r="K8" s="10"/>
      <c r="L8" s="10">
        <v>23274093</v>
      </c>
      <c r="M8" s="10">
        <v>-4.16</v>
      </c>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K8" s="10"/>
      <c r="BL8" s="10"/>
      <c r="BM8" s="10"/>
      <c r="BN8" s="41">
        <v>2024</v>
      </c>
      <c r="BO8" s="10"/>
      <c r="BP8" s="10"/>
      <c r="BQ8" s="10"/>
      <c r="BR8" s="10"/>
      <c r="BS8" s="10"/>
      <c r="BT8" s="10"/>
      <c r="BU8" s="10"/>
      <c r="BV8" s="10"/>
      <c r="BW8" s="10"/>
      <c r="BX8" s="10"/>
      <c r="BY8" t="s">
        <v>643</v>
      </c>
    </row>
    <row r="9" spans="1:77" hidden="1" x14ac:dyDescent="0.35">
      <c r="A9" t="s">
        <v>642</v>
      </c>
      <c r="B9" s="22">
        <v>45473</v>
      </c>
      <c r="C9">
        <v>2024</v>
      </c>
      <c r="D9" t="s">
        <v>214</v>
      </c>
      <c r="E9" t="s">
        <v>213</v>
      </c>
      <c r="F9" s="10"/>
      <c r="G9" s="10">
        <v>23391118</v>
      </c>
      <c r="H9" s="41">
        <v>-3.97</v>
      </c>
      <c r="I9" s="10">
        <v>187623000</v>
      </c>
      <c r="J9" s="10"/>
      <c r="K9" s="10"/>
      <c r="L9" s="10">
        <v>23391118</v>
      </c>
      <c r="M9" s="10">
        <v>-3.97</v>
      </c>
      <c r="N9" s="10">
        <v>-92442000</v>
      </c>
      <c r="O9" s="10">
        <v>-66147000</v>
      </c>
      <c r="P9" s="10">
        <v>-45779000</v>
      </c>
      <c r="Q9" s="10"/>
      <c r="R9" s="10"/>
      <c r="S9" s="10"/>
      <c r="T9" s="10">
        <v>77483000</v>
      </c>
      <c r="U9" s="10">
        <v>139030000</v>
      </c>
      <c r="V9" s="10"/>
      <c r="W9" s="10"/>
      <c r="X9" s="10">
        <v>6139000</v>
      </c>
      <c r="Y9" s="10">
        <v>6139000</v>
      </c>
      <c r="Z9" s="10"/>
      <c r="AA9" s="10">
        <v>-92442000</v>
      </c>
      <c r="AB9" s="10">
        <v>-92442000</v>
      </c>
      <c r="AC9" s="10">
        <v>-92442000</v>
      </c>
      <c r="AD9" s="10">
        <v>-92442000</v>
      </c>
      <c r="AE9" s="10">
        <v>-92442000</v>
      </c>
      <c r="AF9" s="10">
        <v>-92442000</v>
      </c>
      <c r="AG9" s="10">
        <v>6139000</v>
      </c>
      <c r="AH9" s="10">
        <v>6139000</v>
      </c>
      <c r="AI9" s="10">
        <v>-12885000</v>
      </c>
      <c r="AJ9" s="10">
        <v>-59650515.512612</v>
      </c>
      <c r="AK9" s="10">
        <v>205177000</v>
      </c>
      <c r="AL9" s="10">
        <v>-66147000</v>
      </c>
      <c r="AM9" s="10">
        <v>326653000</v>
      </c>
      <c r="AN9" s="10">
        <v>77483000</v>
      </c>
      <c r="AO9" s="10">
        <v>-32723000</v>
      </c>
      <c r="AP9" s="10">
        <v>171000</v>
      </c>
      <c r="AQ9" s="10"/>
      <c r="AR9" s="10"/>
      <c r="AS9" s="10">
        <v>-92731000</v>
      </c>
      <c r="AT9" s="10">
        <v>187623000</v>
      </c>
      <c r="AU9" s="10">
        <v>20368000</v>
      </c>
      <c r="AV9" s="10">
        <v>23397000</v>
      </c>
      <c r="AW9" s="10">
        <v>104297000</v>
      </c>
      <c r="AX9" s="10">
        <v>181780000</v>
      </c>
      <c r="AY9" s="10"/>
      <c r="AZ9" s="10">
        <v>-102515.51261200001</v>
      </c>
      <c r="BA9" s="10">
        <v>-289000</v>
      </c>
      <c r="BB9" s="10">
        <v>3.117E-3</v>
      </c>
      <c r="BC9" s="10">
        <v>392800000</v>
      </c>
      <c r="BD9" s="10">
        <v>-99041000</v>
      </c>
      <c r="BE9" s="10">
        <v>326653000</v>
      </c>
      <c r="BF9" s="10">
        <v>-32894000</v>
      </c>
      <c r="BG9" s="10">
        <v>-32894000</v>
      </c>
      <c r="BH9" s="10"/>
      <c r="BI9" s="10"/>
      <c r="BK9" s="10"/>
      <c r="BL9" s="10"/>
      <c r="BM9" s="10"/>
      <c r="BN9" s="41">
        <v>2024</v>
      </c>
      <c r="BO9" s="10"/>
      <c r="BP9" s="10"/>
      <c r="BQ9" s="10"/>
      <c r="BR9" s="10"/>
      <c r="BS9" s="10"/>
      <c r="BT9" s="10"/>
      <c r="BU9" s="10"/>
      <c r="BV9" s="10"/>
      <c r="BW9" s="10"/>
      <c r="BX9" s="10">
        <v>31424000</v>
      </c>
      <c r="BY9" t="s">
        <v>643</v>
      </c>
    </row>
    <row r="10" spans="1:77" x14ac:dyDescent="0.35">
      <c r="A10" t="s">
        <v>644</v>
      </c>
      <c r="B10" s="22">
        <v>44196</v>
      </c>
      <c r="C10">
        <v>2020</v>
      </c>
      <c r="D10" t="s">
        <v>212</v>
      </c>
      <c r="E10" t="s">
        <v>213</v>
      </c>
      <c r="F10" s="10"/>
      <c r="G10" s="10">
        <v>30748280</v>
      </c>
      <c r="H10" s="41">
        <v>-2.65</v>
      </c>
      <c r="I10" s="10"/>
      <c r="J10" s="10"/>
      <c r="K10" s="10"/>
      <c r="L10" s="10">
        <v>30748280</v>
      </c>
      <c r="M10" s="10">
        <v>-2.65</v>
      </c>
      <c r="N10" s="10">
        <v>-81355000</v>
      </c>
      <c r="O10" s="10">
        <v>-83280000</v>
      </c>
      <c r="P10" s="10">
        <v>-82255000</v>
      </c>
      <c r="Q10" s="10"/>
      <c r="R10" s="10"/>
      <c r="S10" s="10"/>
      <c r="T10" s="10">
        <v>18250000</v>
      </c>
      <c r="U10" s="10"/>
      <c r="V10" s="10"/>
      <c r="W10" s="10"/>
      <c r="X10" s="10">
        <v>1925000</v>
      </c>
      <c r="Y10" s="10">
        <v>1925000</v>
      </c>
      <c r="Z10" s="10"/>
      <c r="AA10" s="10">
        <v>-81355000</v>
      </c>
      <c r="AB10" s="10">
        <v>-81355000</v>
      </c>
      <c r="AC10" s="10">
        <v>-81355000</v>
      </c>
      <c r="AD10" s="10">
        <v>-81355000</v>
      </c>
      <c r="AE10" s="10">
        <v>-81355000</v>
      </c>
      <c r="AF10" s="10">
        <v>-81355000</v>
      </c>
      <c r="AG10" s="10">
        <v>1925000</v>
      </c>
      <c r="AH10" s="10">
        <v>1925000</v>
      </c>
      <c r="AI10" s="10">
        <v>-82255000</v>
      </c>
      <c r="AJ10" s="10">
        <v>-81355000</v>
      </c>
      <c r="AK10" s="10">
        <v>83280000</v>
      </c>
      <c r="AL10" s="10">
        <v>-83280000</v>
      </c>
      <c r="AM10" s="10">
        <v>0</v>
      </c>
      <c r="AN10" s="10">
        <v>18250000</v>
      </c>
      <c r="AO10" s="10">
        <v>1925000</v>
      </c>
      <c r="AP10" s="10">
        <v>1925000</v>
      </c>
      <c r="AQ10" s="10"/>
      <c r="AR10" s="10"/>
      <c r="AS10" s="10">
        <v>-81355000</v>
      </c>
      <c r="AT10" s="10"/>
      <c r="AU10" s="10">
        <v>1025000</v>
      </c>
      <c r="AV10" s="10">
        <v>65030000</v>
      </c>
      <c r="AW10" s="10"/>
      <c r="AX10" s="10">
        <v>18250000</v>
      </c>
      <c r="AY10" s="10"/>
      <c r="AZ10" s="10">
        <v>0</v>
      </c>
      <c r="BA10" s="10"/>
      <c r="BB10" s="10">
        <v>0</v>
      </c>
      <c r="BC10" s="10">
        <v>83280000</v>
      </c>
      <c r="BD10" s="10">
        <v>-83280000</v>
      </c>
      <c r="BE10" s="10">
        <v>0</v>
      </c>
      <c r="BF10" s="10"/>
      <c r="BG10" s="10"/>
      <c r="BH10" s="10"/>
      <c r="BI10" s="10"/>
      <c r="BK10" s="10"/>
      <c r="BL10" s="10"/>
      <c r="BM10" s="10"/>
      <c r="BN10" s="41">
        <v>2020</v>
      </c>
      <c r="BO10" s="10"/>
      <c r="BP10" s="10"/>
      <c r="BQ10" s="10"/>
      <c r="BR10" s="10"/>
      <c r="BS10" s="10"/>
      <c r="BT10" s="10"/>
      <c r="BU10" s="10"/>
      <c r="BV10" s="10"/>
      <c r="BW10" s="10"/>
      <c r="BX10" s="10"/>
      <c r="BY10" t="s">
        <v>645</v>
      </c>
    </row>
    <row r="11" spans="1:77" x14ac:dyDescent="0.35">
      <c r="A11" t="s">
        <v>644</v>
      </c>
      <c r="B11" s="22">
        <v>44561</v>
      </c>
      <c r="C11">
        <v>2021</v>
      </c>
      <c r="D11" t="s">
        <v>212</v>
      </c>
      <c r="E11" t="s">
        <v>213</v>
      </c>
      <c r="F11" s="10"/>
      <c r="G11" s="10">
        <v>33479782</v>
      </c>
      <c r="H11" s="41">
        <v>-4.93</v>
      </c>
      <c r="I11" s="10"/>
      <c r="J11" s="10"/>
      <c r="K11" s="10"/>
      <c r="L11" s="10">
        <v>33479782</v>
      </c>
      <c r="M11" s="10">
        <v>-4.93</v>
      </c>
      <c r="N11" s="10">
        <v>-165164000</v>
      </c>
      <c r="O11" s="10">
        <v>-165323000</v>
      </c>
      <c r="P11" s="10">
        <v>-160839000</v>
      </c>
      <c r="Q11" s="10"/>
      <c r="R11" s="10"/>
      <c r="S11" s="10"/>
      <c r="T11" s="10">
        <v>38297000</v>
      </c>
      <c r="U11" s="10"/>
      <c r="V11" s="10"/>
      <c r="W11" s="10"/>
      <c r="X11" s="10">
        <v>159000</v>
      </c>
      <c r="Y11" s="10">
        <v>159000</v>
      </c>
      <c r="Z11" s="10"/>
      <c r="AA11" s="10">
        <v>-165164000</v>
      </c>
      <c r="AB11" s="10">
        <v>-165164000</v>
      </c>
      <c r="AC11" s="10">
        <v>-165164000</v>
      </c>
      <c r="AD11" s="10">
        <v>-165164000</v>
      </c>
      <c r="AE11" s="10">
        <v>-165164000</v>
      </c>
      <c r="AF11" s="10">
        <v>-165164000</v>
      </c>
      <c r="AG11" s="10">
        <v>159000</v>
      </c>
      <c r="AH11" s="10">
        <v>159000</v>
      </c>
      <c r="AI11" s="10">
        <v>-160839000</v>
      </c>
      <c r="AJ11" s="10">
        <v>-165164000</v>
      </c>
      <c r="AK11" s="10">
        <v>165323000</v>
      </c>
      <c r="AL11" s="10">
        <v>-165323000</v>
      </c>
      <c r="AM11" s="10">
        <v>0</v>
      </c>
      <c r="AN11" s="10">
        <v>38297000</v>
      </c>
      <c r="AO11" s="10">
        <v>159000</v>
      </c>
      <c r="AP11" s="10">
        <v>159000</v>
      </c>
      <c r="AQ11" s="10"/>
      <c r="AR11" s="10"/>
      <c r="AS11" s="10">
        <v>-165164000</v>
      </c>
      <c r="AT11" s="10"/>
      <c r="AU11" s="10">
        <v>4484000</v>
      </c>
      <c r="AV11" s="10">
        <v>127026000</v>
      </c>
      <c r="AW11" s="10"/>
      <c r="AX11" s="10">
        <v>38297000</v>
      </c>
      <c r="AY11" s="10"/>
      <c r="AZ11" s="10">
        <v>0</v>
      </c>
      <c r="BA11" s="10">
        <v>0</v>
      </c>
      <c r="BB11" s="10">
        <v>0</v>
      </c>
      <c r="BC11" s="10">
        <v>165323000</v>
      </c>
      <c r="BD11" s="10">
        <v>-165323000</v>
      </c>
      <c r="BE11" s="10">
        <v>0</v>
      </c>
      <c r="BF11" s="10"/>
      <c r="BG11" s="10"/>
      <c r="BH11" s="10"/>
      <c r="BI11" s="10"/>
      <c r="BK11" s="10"/>
      <c r="BL11" s="10"/>
      <c r="BM11" s="10"/>
      <c r="BN11" s="41">
        <v>2021</v>
      </c>
      <c r="BO11" s="10"/>
      <c r="BP11" s="10"/>
      <c r="BQ11" s="10"/>
      <c r="BR11" s="10"/>
      <c r="BS11" s="10"/>
      <c r="BT11" s="10"/>
      <c r="BU11" s="10"/>
      <c r="BV11" s="10"/>
      <c r="BW11" s="10"/>
      <c r="BX11" s="10"/>
      <c r="BY11" t="s">
        <v>645</v>
      </c>
    </row>
    <row r="12" spans="1:77" x14ac:dyDescent="0.35">
      <c r="A12" t="s">
        <v>644</v>
      </c>
      <c r="B12" s="22">
        <v>44926</v>
      </c>
      <c r="C12">
        <v>2022</v>
      </c>
      <c r="D12" t="s">
        <v>212</v>
      </c>
      <c r="E12" t="s">
        <v>213</v>
      </c>
      <c r="F12" s="10"/>
      <c r="G12" s="10">
        <v>41543954</v>
      </c>
      <c r="H12" s="41">
        <v>-5.32</v>
      </c>
      <c r="I12" s="10"/>
      <c r="J12" s="10"/>
      <c r="K12" s="10"/>
      <c r="L12" s="10">
        <v>41543954</v>
      </c>
      <c r="M12" s="10">
        <v>-5.32</v>
      </c>
      <c r="N12" s="10">
        <v>-221102000</v>
      </c>
      <c r="O12" s="10">
        <v>-227956000</v>
      </c>
      <c r="P12" s="10">
        <v>-221881000</v>
      </c>
      <c r="Q12" s="10"/>
      <c r="R12" s="10"/>
      <c r="S12" s="10"/>
      <c r="T12" s="10">
        <v>49736000</v>
      </c>
      <c r="U12" s="10"/>
      <c r="V12" s="10"/>
      <c r="W12" s="10"/>
      <c r="X12" s="10">
        <v>7035000</v>
      </c>
      <c r="Y12" s="10">
        <v>7035000</v>
      </c>
      <c r="Z12" s="10"/>
      <c r="AA12" s="10">
        <v>-221102000</v>
      </c>
      <c r="AB12" s="10">
        <v>-221102000</v>
      </c>
      <c r="AC12" s="10">
        <v>-221102000</v>
      </c>
      <c r="AD12" s="10">
        <v>-221102000</v>
      </c>
      <c r="AE12" s="10">
        <v>-221102000</v>
      </c>
      <c r="AF12" s="10">
        <v>-221102000</v>
      </c>
      <c r="AG12" s="10">
        <v>7035000</v>
      </c>
      <c r="AH12" s="10">
        <v>7035000</v>
      </c>
      <c r="AI12" s="10">
        <v>-221881000</v>
      </c>
      <c r="AJ12" s="10">
        <v>-221102000</v>
      </c>
      <c r="AK12" s="10">
        <v>229025000</v>
      </c>
      <c r="AL12" s="10">
        <v>-227956000</v>
      </c>
      <c r="AM12" s="10">
        <v>1069000</v>
      </c>
      <c r="AN12" s="10">
        <v>49736000</v>
      </c>
      <c r="AO12" s="10">
        <v>-181000</v>
      </c>
      <c r="AP12" s="10">
        <v>-181000</v>
      </c>
      <c r="AQ12" s="10"/>
      <c r="AR12" s="10"/>
      <c r="AS12" s="10">
        <v>-221102000</v>
      </c>
      <c r="AT12" s="10"/>
      <c r="AU12" s="10">
        <v>6075000</v>
      </c>
      <c r="AV12" s="10">
        <v>179289000</v>
      </c>
      <c r="AW12" s="10"/>
      <c r="AX12" s="10">
        <v>49736000</v>
      </c>
      <c r="AY12" s="10"/>
      <c r="AZ12" s="10">
        <v>0</v>
      </c>
      <c r="BA12" s="10">
        <v>0</v>
      </c>
      <c r="BB12" s="10">
        <v>0</v>
      </c>
      <c r="BC12" s="10">
        <v>229025000</v>
      </c>
      <c r="BD12" s="10">
        <v>-227956000</v>
      </c>
      <c r="BE12" s="10">
        <v>1069000</v>
      </c>
      <c r="BF12" s="10"/>
      <c r="BG12" s="10"/>
      <c r="BH12" s="10"/>
      <c r="BI12" s="10"/>
      <c r="BK12" s="10"/>
      <c r="BL12" s="10"/>
      <c r="BM12" s="10"/>
      <c r="BN12" s="41">
        <v>2022</v>
      </c>
      <c r="BO12" s="10"/>
      <c r="BP12" s="10"/>
      <c r="BQ12" s="10"/>
      <c r="BR12" s="10"/>
      <c r="BS12" s="10"/>
      <c r="BT12" s="10"/>
      <c r="BU12" s="10"/>
      <c r="BV12" s="10"/>
      <c r="BW12" s="10"/>
      <c r="BX12" s="10"/>
      <c r="BY12" t="s">
        <v>645</v>
      </c>
    </row>
    <row r="13" spans="1:77" hidden="1" x14ac:dyDescent="0.35">
      <c r="A13" t="s">
        <v>644</v>
      </c>
      <c r="B13" s="22">
        <v>45199</v>
      </c>
      <c r="C13">
        <v>2023</v>
      </c>
      <c r="D13" t="s">
        <v>214</v>
      </c>
      <c r="E13" t="s">
        <v>213</v>
      </c>
      <c r="F13" s="10"/>
      <c r="G13" s="10">
        <v>48401821</v>
      </c>
      <c r="H13" s="41">
        <v>-4.9000000000000004</v>
      </c>
      <c r="I13" s="10"/>
      <c r="J13" s="10"/>
      <c r="K13" s="10"/>
      <c r="L13" s="10">
        <v>48401821</v>
      </c>
      <c r="M13" s="10">
        <v>-4.9000000000000004</v>
      </c>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K13" s="10"/>
      <c r="BL13" s="10"/>
      <c r="BM13" s="10"/>
      <c r="BN13" s="41">
        <v>2023</v>
      </c>
      <c r="BO13" s="10"/>
      <c r="BP13" s="10"/>
      <c r="BQ13" s="10"/>
      <c r="BR13" s="10"/>
      <c r="BS13" s="10"/>
      <c r="BT13" s="10"/>
      <c r="BU13" s="10"/>
      <c r="BV13" s="10"/>
      <c r="BW13" s="10"/>
      <c r="BX13" s="10"/>
      <c r="BY13" t="s">
        <v>645</v>
      </c>
    </row>
    <row r="14" spans="1:77" x14ac:dyDescent="0.35">
      <c r="A14" t="s">
        <v>644</v>
      </c>
      <c r="B14" s="22">
        <v>45291</v>
      </c>
      <c r="C14">
        <v>2023</v>
      </c>
      <c r="D14" t="s">
        <v>212</v>
      </c>
      <c r="E14" t="s">
        <v>213</v>
      </c>
      <c r="F14" s="10"/>
      <c r="G14" s="10">
        <v>52311958</v>
      </c>
      <c r="H14" s="41">
        <v>-4.71</v>
      </c>
      <c r="I14" s="10"/>
      <c r="J14" s="10"/>
      <c r="K14" s="10"/>
      <c r="L14" s="10">
        <v>52311958</v>
      </c>
      <c r="M14" s="10">
        <v>-4.71</v>
      </c>
      <c r="N14" s="10">
        <v>-246416000</v>
      </c>
      <c r="O14" s="10">
        <v>-263461000</v>
      </c>
      <c r="P14" s="10">
        <v>-255184000</v>
      </c>
      <c r="Q14" s="10"/>
      <c r="R14" s="10"/>
      <c r="S14" s="10"/>
      <c r="T14" s="10">
        <v>50072000</v>
      </c>
      <c r="U14" s="10"/>
      <c r="V14" s="10"/>
      <c r="W14" s="10"/>
      <c r="X14" s="10">
        <v>17743000</v>
      </c>
      <c r="Y14" s="10">
        <v>17743000</v>
      </c>
      <c r="Z14" s="10"/>
      <c r="AA14" s="10">
        <v>-246416000</v>
      </c>
      <c r="AB14" s="10">
        <v>-246416000</v>
      </c>
      <c r="AC14" s="10">
        <v>-246416000</v>
      </c>
      <c r="AD14" s="10">
        <v>-246416000</v>
      </c>
      <c r="AE14" s="10">
        <v>-246416000</v>
      </c>
      <c r="AF14" s="10">
        <v>-246416000</v>
      </c>
      <c r="AG14" s="10">
        <v>17743000</v>
      </c>
      <c r="AH14" s="10">
        <v>17743000</v>
      </c>
      <c r="AI14" s="10">
        <v>-255184000</v>
      </c>
      <c r="AJ14" s="10">
        <v>-246416000</v>
      </c>
      <c r="AK14" s="10">
        <v>265591000</v>
      </c>
      <c r="AL14" s="10">
        <v>-263461000</v>
      </c>
      <c r="AM14" s="10">
        <v>2130000</v>
      </c>
      <c r="AN14" s="10">
        <v>50072000</v>
      </c>
      <c r="AO14" s="10">
        <v>-20000</v>
      </c>
      <c r="AP14" s="10">
        <v>-20000</v>
      </c>
      <c r="AQ14" s="10"/>
      <c r="AR14" s="10"/>
      <c r="AS14" s="10">
        <v>-245738000</v>
      </c>
      <c r="AT14" s="10"/>
      <c r="AU14" s="10">
        <v>8277000</v>
      </c>
      <c r="AV14" s="10">
        <v>215519000</v>
      </c>
      <c r="AW14" s="10"/>
      <c r="AX14" s="10">
        <v>50072000</v>
      </c>
      <c r="AY14" s="10"/>
      <c r="AZ14" s="10">
        <v>0</v>
      </c>
      <c r="BA14" s="10">
        <v>678000</v>
      </c>
      <c r="BB14" s="10">
        <v>0.21</v>
      </c>
      <c r="BC14" s="10">
        <v>265591000</v>
      </c>
      <c r="BD14" s="10">
        <v>-263461000</v>
      </c>
      <c r="BE14" s="10">
        <v>2130000</v>
      </c>
      <c r="BF14" s="10"/>
      <c r="BG14" s="10"/>
      <c r="BH14" s="10"/>
      <c r="BI14" s="10"/>
      <c r="BK14" s="10"/>
      <c r="BL14" s="10"/>
      <c r="BM14" s="10"/>
      <c r="BN14" s="41">
        <v>2023</v>
      </c>
      <c r="BO14" s="10"/>
      <c r="BP14" s="10"/>
      <c r="BQ14" s="10"/>
      <c r="BR14" s="10"/>
      <c r="BS14" s="10"/>
      <c r="BT14" s="10"/>
      <c r="BU14" s="10"/>
      <c r="BV14" s="10"/>
      <c r="BW14" s="10"/>
      <c r="BX14" s="10"/>
      <c r="BY14" t="s">
        <v>645</v>
      </c>
    </row>
    <row r="15" spans="1:77" hidden="1" x14ac:dyDescent="0.35">
      <c r="A15" t="s">
        <v>644</v>
      </c>
      <c r="B15" s="22">
        <v>45291</v>
      </c>
      <c r="C15">
        <v>2023</v>
      </c>
      <c r="D15" t="s">
        <v>214</v>
      </c>
      <c r="E15" t="s">
        <v>213</v>
      </c>
      <c r="F15" s="10"/>
      <c r="G15" s="10">
        <v>52311958</v>
      </c>
      <c r="H15" s="41">
        <v>-4.71</v>
      </c>
      <c r="I15" s="10"/>
      <c r="J15" s="10"/>
      <c r="K15" s="10"/>
      <c r="L15" s="10">
        <v>52311958</v>
      </c>
      <c r="M15" s="10">
        <v>-4.71</v>
      </c>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K15" s="10"/>
      <c r="BL15" s="10"/>
      <c r="BM15" s="10"/>
      <c r="BN15" s="41">
        <v>2023</v>
      </c>
      <c r="BO15" s="10"/>
      <c r="BP15" s="10"/>
      <c r="BQ15" s="10"/>
      <c r="BR15" s="10"/>
      <c r="BS15" s="10"/>
      <c r="BT15" s="10"/>
      <c r="BU15" s="10"/>
      <c r="BV15" s="10"/>
      <c r="BW15" s="10"/>
      <c r="BX15" s="10"/>
      <c r="BY15" t="s">
        <v>645</v>
      </c>
    </row>
    <row r="16" spans="1:77" hidden="1" x14ac:dyDescent="0.35">
      <c r="A16" t="s">
        <v>644</v>
      </c>
      <c r="B16" s="22">
        <v>45382</v>
      </c>
      <c r="C16">
        <v>2024</v>
      </c>
      <c r="D16" t="s">
        <v>214</v>
      </c>
      <c r="E16" t="s">
        <v>213</v>
      </c>
      <c r="F16" s="10"/>
      <c r="G16" s="10">
        <v>56223869</v>
      </c>
      <c r="H16" s="41">
        <v>-4.21</v>
      </c>
      <c r="I16" s="10"/>
      <c r="J16" s="10"/>
      <c r="K16" s="10"/>
      <c r="L16" s="10">
        <v>56223869</v>
      </c>
      <c r="M16" s="10">
        <v>-4.21</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K16" s="10"/>
      <c r="BL16" s="10"/>
      <c r="BM16" s="10"/>
      <c r="BN16" s="41">
        <v>2024</v>
      </c>
      <c r="BO16" s="10"/>
      <c r="BP16" s="10"/>
      <c r="BQ16" s="10"/>
      <c r="BR16" s="10"/>
      <c r="BS16" s="10"/>
      <c r="BT16" s="10"/>
      <c r="BU16" s="10"/>
      <c r="BV16" s="10"/>
      <c r="BW16" s="10"/>
      <c r="BX16" s="10"/>
      <c r="BY16" t="s">
        <v>645</v>
      </c>
    </row>
    <row r="17" spans="1:77" hidden="1" x14ac:dyDescent="0.35">
      <c r="A17" t="s">
        <v>644</v>
      </c>
      <c r="B17" s="22">
        <v>45473</v>
      </c>
      <c r="C17">
        <v>2024</v>
      </c>
      <c r="D17" t="s">
        <v>214</v>
      </c>
      <c r="E17" t="s">
        <v>213</v>
      </c>
      <c r="F17" s="10"/>
      <c r="G17" s="10">
        <v>60050778</v>
      </c>
      <c r="H17" s="41">
        <v>-3.57</v>
      </c>
      <c r="I17" s="10"/>
      <c r="J17" s="10"/>
      <c r="K17" s="10"/>
      <c r="L17" s="10">
        <v>60050778</v>
      </c>
      <c r="M17" s="10">
        <v>-3.57</v>
      </c>
      <c r="N17" s="10">
        <v>-220402000</v>
      </c>
      <c r="O17" s="10">
        <v>-237092000</v>
      </c>
      <c r="P17" s="10">
        <v>-228200000</v>
      </c>
      <c r="Q17" s="10"/>
      <c r="R17" s="10"/>
      <c r="S17" s="10"/>
      <c r="T17" s="10">
        <v>45274000</v>
      </c>
      <c r="U17" s="10"/>
      <c r="V17" s="10"/>
      <c r="W17" s="10"/>
      <c r="X17" s="10">
        <v>17172000</v>
      </c>
      <c r="Y17" s="10">
        <v>17172000</v>
      </c>
      <c r="Z17" s="10"/>
      <c r="AA17" s="10">
        <v>-220402000</v>
      </c>
      <c r="AB17" s="10">
        <v>-220402000</v>
      </c>
      <c r="AC17" s="10">
        <v>-220402000</v>
      </c>
      <c r="AD17" s="10">
        <v>-220402000</v>
      </c>
      <c r="AE17" s="10">
        <v>-220402000</v>
      </c>
      <c r="AF17" s="10">
        <v>-220402000</v>
      </c>
      <c r="AG17" s="10">
        <v>17172000</v>
      </c>
      <c r="AH17" s="10">
        <v>17172000</v>
      </c>
      <c r="AI17" s="10">
        <v>-228200000</v>
      </c>
      <c r="AJ17" s="10">
        <v>-220402000</v>
      </c>
      <c r="AK17" s="10">
        <v>240003000</v>
      </c>
      <c r="AL17" s="10">
        <v>-237092000</v>
      </c>
      <c r="AM17" s="10">
        <v>2911000</v>
      </c>
      <c r="AN17" s="10">
        <v>45274000</v>
      </c>
      <c r="AO17" s="10"/>
      <c r="AP17" s="10"/>
      <c r="AQ17" s="10"/>
      <c r="AR17" s="10"/>
      <c r="AS17" s="10">
        <v>-219920000</v>
      </c>
      <c r="AT17" s="10"/>
      <c r="AU17" s="10">
        <v>8892000</v>
      </c>
      <c r="AV17" s="10">
        <v>194729000</v>
      </c>
      <c r="AW17" s="10"/>
      <c r="AX17" s="10">
        <v>45274000</v>
      </c>
      <c r="AY17" s="10"/>
      <c r="AZ17" s="10">
        <v>0</v>
      </c>
      <c r="BA17" s="10">
        <v>482000</v>
      </c>
      <c r="BB17" s="10">
        <v>0.21</v>
      </c>
      <c r="BC17" s="10">
        <v>240003000</v>
      </c>
      <c r="BD17" s="10">
        <v>-237092000</v>
      </c>
      <c r="BE17" s="10">
        <v>2911000</v>
      </c>
      <c r="BF17" s="10"/>
      <c r="BG17" s="10"/>
      <c r="BH17" s="10"/>
      <c r="BI17" s="10"/>
      <c r="BK17" s="10"/>
      <c r="BL17" s="10"/>
      <c r="BM17" s="10"/>
      <c r="BN17" s="41">
        <v>2024</v>
      </c>
      <c r="BO17" s="10"/>
      <c r="BP17" s="10"/>
      <c r="BQ17" s="10"/>
      <c r="BR17" s="10"/>
      <c r="BS17" s="10"/>
      <c r="BT17" s="10"/>
      <c r="BU17" s="10"/>
      <c r="BV17" s="10"/>
      <c r="BW17" s="10"/>
      <c r="BX17" s="10"/>
      <c r="BY17" t="s">
        <v>645</v>
      </c>
    </row>
    <row r="18" spans="1:77" x14ac:dyDescent="0.35">
      <c r="A18" t="s">
        <v>646</v>
      </c>
      <c r="B18" s="22">
        <v>44196</v>
      </c>
      <c r="C18">
        <v>2020</v>
      </c>
      <c r="D18" t="s">
        <v>212</v>
      </c>
      <c r="E18" t="s">
        <v>213</v>
      </c>
      <c r="F18" s="10"/>
      <c r="G18" s="10">
        <v>382957639</v>
      </c>
      <c r="H18" s="41">
        <v>-0.19645499999999999</v>
      </c>
      <c r="I18" s="10">
        <v>21586000</v>
      </c>
      <c r="J18" s="10"/>
      <c r="K18" s="10"/>
      <c r="L18" s="10">
        <v>382957639</v>
      </c>
      <c r="M18" s="10">
        <v>-0.19645499999999999</v>
      </c>
      <c r="N18" s="10">
        <v>-75234000</v>
      </c>
      <c r="O18" s="10">
        <v>-76651000</v>
      </c>
      <c r="P18" s="10">
        <v>-73593000</v>
      </c>
      <c r="Q18" s="10"/>
      <c r="R18" s="10"/>
      <c r="S18" s="10"/>
      <c r="T18" s="10">
        <v>28793000</v>
      </c>
      <c r="U18" s="10">
        <v>101698000</v>
      </c>
      <c r="V18" s="10"/>
      <c r="W18" s="10"/>
      <c r="X18" s="10">
        <v>727000</v>
      </c>
      <c r="Y18" s="10">
        <v>727000</v>
      </c>
      <c r="Z18" s="10"/>
      <c r="AA18" s="10">
        <v>-75234000</v>
      </c>
      <c r="AB18" s="10">
        <v>-75234000</v>
      </c>
      <c r="AC18" s="10">
        <v>-75234000</v>
      </c>
      <c r="AD18" s="10">
        <v>-75234000</v>
      </c>
      <c r="AE18" s="10">
        <v>-75234000</v>
      </c>
      <c r="AF18" s="10">
        <v>-75234000</v>
      </c>
      <c r="AG18" s="10">
        <v>727000</v>
      </c>
      <c r="AH18" s="10">
        <v>727000</v>
      </c>
      <c r="AI18" s="10">
        <v>-73593000</v>
      </c>
      <c r="AJ18" s="10">
        <v>-75234000</v>
      </c>
      <c r="AK18" s="10">
        <v>178349000</v>
      </c>
      <c r="AL18" s="10">
        <v>-76651000</v>
      </c>
      <c r="AM18" s="10">
        <v>123284000</v>
      </c>
      <c r="AN18" s="10">
        <v>28793000</v>
      </c>
      <c r="AO18" s="10">
        <v>817000</v>
      </c>
      <c r="AP18" s="10">
        <v>817000</v>
      </c>
      <c r="AQ18" s="10"/>
      <c r="AR18" s="10"/>
      <c r="AS18" s="10">
        <v>-75107000</v>
      </c>
      <c r="AT18" s="10">
        <v>21586000</v>
      </c>
      <c r="AU18" s="10">
        <v>3058000</v>
      </c>
      <c r="AV18" s="10">
        <v>69231000</v>
      </c>
      <c r="AW18" s="10">
        <v>80325000</v>
      </c>
      <c r="AX18" s="10">
        <v>109118000</v>
      </c>
      <c r="AY18" s="10"/>
      <c r="AZ18" s="10">
        <v>0</v>
      </c>
      <c r="BA18" s="10">
        <v>127000</v>
      </c>
      <c r="BB18" s="10">
        <v>0.27</v>
      </c>
      <c r="BC18" s="10">
        <v>199935000</v>
      </c>
      <c r="BD18" s="10">
        <v>-76651000</v>
      </c>
      <c r="BE18" s="10">
        <v>123284000</v>
      </c>
      <c r="BF18" s="10"/>
      <c r="BG18" s="10"/>
      <c r="BH18" s="10"/>
      <c r="BI18" s="10"/>
      <c r="BK18" s="10"/>
      <c r="BL18" s="10"/>
      <c r="BM18" s="10"/>
      <c r="BN18" s="41">
        <v>2020</v>
      </c>
      <c r="BO18" s="10"/>
      <c r="BP18" s="10"/>
      <c r="BQ18" s="10"/>
      <c r="BR18" s="10"/>
      <c r="BS18" s="10"/>
      <c r="BT18" s="10"/>
      <c r="BU18" s="10"/>
      <c r="BV18" s="10"/>
      <c r="BW18" s="10"/>
      <c r="BX18" s="10"/>
      <c r="BY18" t="s">
        <v>647</v>
      </c>
    </row>
    <row r="19" spans="1:77" x14ac:dyDescent="0.35">
      <c r="A19" t="s">
        <v>646</v>
      </c>
      <c r="B19" s="22">
        <v>44561</v>
      </c>
      <c r="C19">
        <v>2021</v>
      </c>
      <c r="D19" t="s">
        <v>212</v>
      </c>
      <c r="E19" t="s">
        <v>213</v>
      </c>
      <c r="F19" s="10"/>
      <c r="G19" s="10">
        <v>146337000</v>
      </c>
      <c r="H19" s="41">
        <v>-0.65</v>
      </c>
      <c r="I19" s="10">
        <v>28813000</v>
      </c>
      <c r="J19" s="10"/>
      <c r="K19" s="10"/>
      <c r="L19" s="10">
        <v>146337000</v>
      </c>
      <c r="M19" s="10">
        <v>-0.65</v>
      </c>
      <c r="N19" s="10">
        <v>-95325000</v>
      </c>
      <c r="O19" s="10">
        <v>-94806000</v>
      </c>
      <c r="P19" s="10">
        <v>-90634000</v>
      </c>
      <c r="Q19" s="10"/>
      <c r="R19" s="10"/>
      <c r="S19" s="10"/>
      <c r="T19" s="10">
        <v>54664000</v>
      </c>
      <c r="U19" s="10">
        <v>163384000</v>
      </c>
      <c r="V19" s="10"/>
      <c r="W19" s="10"/>
      <c r="X19" s="10">
        <v>177000</v>
      </c>
      <c r="Y19" s="10">
        <v>177000</v>
      </c>
      <c r="Z19" s="10"/>
      <c r="AA19" s="10">
        <v>-95325000</v>
      </c>
      <c r="AB19" s="10">
        <v>-95325000</v>
      </c>
      <c r="AC19" s="10">
        <v>-95325000</v>
      </c>
      <c r="AD19" s="10">
        <v>-95325000</v>
      </c>
      <c r="AE19" s="10">
        <v>-95325000</v>
      </c>
      <c r="AF19" s="10">
        <v>-95325000</v>
      </c>
      <c r="AG19" s="10">
        <v>177000</v>
      </c>
      <c r="AH19" s="10">
        <v>177000</v>
      </c>
      <c r="AI19" s="10">
        <v>-90634000</v>
      </c>
      <c r="AJ19" s="10">
        <v>-95325000</v>
      </c>
      <c r="AK19" s="10">
        <v>258190000</v>
      </c>
      <c r="AL19" s="10">
        <v>-94806000</v>
      </c>
      <c r="AM19" s="10">
        <v>192197000</v>
      </c>
      <c r="AN19" s="10">
        <v>54664000</v>
      </c>
      <c r="AO19" s="10">
        <v>-539000</v>
      </c>
      <c r="AP19" s="10">
        <v>-539000</v>
      </c>
      <c r="AQ19" s="10"/>
      <c r="AR19" s="10"/>
      <c r="AS19" s="10">
        <v>-95168000</v>
      </c>
      <c r="AT19" s="10">
        <v>28813000</v>
      </c>
      <c r="AU19" s="10">
        <v>4172000</v>
      </c>
      <c r="AV19" s="10">
        <v>97096000</v>
      </c>
      <c r="AW19" s="10">
        <v>106430000</v>
      </c>
      <c r="AX19" s="10">
        <v>161094000</v>
      </c>
      <c r="AY19" s="10"/>
      <c r="AZ19" s="10">
        <v>0</v>
      </c>
      <c r="BA19" s="10">
        <v>157000</v>
      </c>
      <c r="BB19" s="10">
        <v>0.27</v>
      </c>
      <c r="BC19" s="10">
        <v>287003000</v>
      </c>
      <c r="BD19" s="10">
        <v>-94806000</v>
      </c>
      <c r="BE19" s="10">
        <v>192197000</v>
      </c>
      <c r="BF19" s="10"/>
      <c r="BG19" s="10"/>
      <c r="BH19" s="10"/>
      <c r="BI19" s="10"/>
      <c r="BK19" s="10"/>
      <c r="BL19" s="10"/>
      <c r="BM19" s="10"/>
      <c r="BN19" s="41">
        <v>2021</v>
      </c>
      <c r="BO19" s="10"/>
      <c r="BP19" s="10"/>
      <c r="BQ19" s="10"/>
      <c r="BR19" s="10"/>
      <c r="BS19" s="10"/>
      <c r="BT19" s="10"/>
      <c r="BU19" s="10"/>
      <c r="BV19" s="10"/>
      <c r="BW19" s="10"/>
      <c r="BX19" s="10"/>
      <c r="BY19" t="s">
        <v>647</v>
      </c>
    </row>
    <row r="20" spans="1:77" x14ac:dyDescent="0.35">
      <c r="A20" t="s">
        <v>646</v>
      </c>
      <c r="B20" s="22">
        <v>44926</v>
      </c>
      <c r="C20">
        <v>2022</v>
      </c>
      <c r="D20" t="s">
        <v>212</v>
      </c>
      <c r="E20" t="s">
        <v>213</v>
      </c>
      <c r="F20" s="10"/>
      <c r="G20" s="10">
        <v>378731000</v>
      </c>
      <c r="H20" s="41">
        <v>-0.36</v>
      </c>
      <c r="I20" s="10">
        <v>38981000</v>
      </c>
      <c r="J20" s="10"/>
      <c r="K20" s="10"/>
      <c r="L20" s="10">
        <v>378731000</v>
      </c>
      <c r="M20" s="10">
        <v>-0.36</v>
      </c>
      <c r="N20" s="10">
        <v>-137916000</v>
      </c>
      <c r="O20" s="10">
        <v>-144204000</v>
      </c>
      <c r="P20" s="10">
        <v>-138548000</v>
      </c>
      <c r="Q20" s="10"/>
      <c r="R20" s="10"/>
      <c r="S20" s="10"/>
      <c r="T20" s="10">
        <v>145451000</v>
      </c>
      <c r="U20" s="10">
        <v>173784000</v>
      </c>
      <c r="V20" s="10"/>
      <c r="W20" s="10"/>
      <c r="X20" s="10">
        <v>9304000</v>
      </c>
      <c r="Y20" s="10">
        <v>9304000</v>
      </c>
      <c r="Z20" s="10"/>
      <c r="AA20" s="10">
        <v>-137916000</v>
      </c>
      <c r="AB20" s="10">
        <v>-137916000</v>
      </c>
      <c r="AC20" s="10">
        <v>-137916000</v>
      </c>
      <c r="AD20" s="10">
        <v>-137916000</v>
      </c>
      <c r="AE20" s="10">
        <v>-137916000</v>
      </c>
      <c r="AF20" s="10">
        <v>-137916000</v>
      </c>
      <c r="AG20" s="10">
        <v>9304000</v>
      </c>
      <c r="AH20" s="10">
        <v>9304000</v>
      </c>
      <c r="AI20" s="10">
        <v>-138548000</v>
      </c>
      <c r="AJ20" s="10">
        <v>-137916000</v>
      </c>
      <c r="AK20" s="10">
        <v>317988000</v>
      </c>
      <c r="AL20" s="10">
        <v>-144204000</v>
      </c>
      <c r="AM20" s="10">
        <v>212765000</v>
      </c>
      <c r="AN20" s="10">
        <v>67733000</v>
      </c>
      <c r="AO20" s="10">
        <v>-1343000</v>
      </c>
      <c r="AP20" s="10">
        <v>-1343000</v>
      </c>
      <c r="AQ20" s="10"/>
      <c r="AR20" s="10"/>
      <c r="AS20" s="10">
        <v>-136243000</v>
      </c>
      <c r="AT20" s="10">
        <v>38981000</v>
      </c>
      <c r="AU20" s="10">
        <v>5656000</v>
      </c>
      <c r="AV20" s="10">
        <v>127073000</v>
      </c>
      <c r="AW20" s="10">
        <v>45464000</v>
      </c>
      <c r="AX20" s="10">
        <v>190915000</v>
      </c>
      <c r="AY20" s="10"/>
      <c r="AZ20" s="10">
        <v>0</v>
      </c>
      <c r="BA20" s="10">
        <v>1673000</v>
      </c>
      <c r="BB20" s="10">
        <v>1.2E-2</v>
      </c>
      <c r="BC20" s="10">
        <v>356969000</v>
      </c>
      <c r="BD20" s="10">
        <v>-144204000</v>
      </c>
      <c r="BE20" s="10">
        <v>212765000</v>
      </c>
      <c r="BF20" s="10"/>
      <c r="BG20" s="10"/>
      <c r="BH20" s="10"/>
      <c r="BI20" s="10"/>
      <c r="BK20" s="10"/>
      <c r="BL20" s="10"/>
      <c r="BM20" s="10"/>
      <c r="BN20" s="41">
        <v>2022</v>
      </c>
      <c r="BO20" s="10"/>
      <c r="BP20" s="10"/>
      <c r="BQ20" s="10"/>
      <c r="BR20" s="10"/>
      <c r="BS20" s="10"/>
      <c r="BT20" s="10"/>
      <c r="BU20" s="10"/>
      <c r="BV20" s="10">
        <v>77718000</v>
      </c>
      <c r="BW20" s="10"/>
      <c r="BX20" s="10"/>
      <c r="BY20" t="s">
        <v>647</v>
      </c>
    </row>
    <row r="21" spans="1:77" hidden="1" x14ac:dyDescent="0.35">
      <c r="A21" t="s">
        <v>646</v>
      </c>
      <c r="B21" s="22">
        <v>45199</v>
      </c>
      <c r="C21">
        <v>2023</v>
      </c>
      <c r="D21" t="s">
        <v>214</v>
      </c>
      <c r="E21" t="s">
        <v>213</v>
      </c>
      <c r="F21" s="10"/>
      <c r="G21" s="10">
        <v>375176750</v>
      </c>
      <c r="H21" s="41">
        <v>-0.37</v>
      </c>
      <c r="I21" s="10"/>
      <c r="J21" s="10"/>
      <c r="K21" s="10"/>
      <c r="L21" s="10">
        <v>375176750</v>
      </c>
      <c r="M21" s="10">
        <v>-0.37</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K21" s="10"/>
      <c r="BL21" s="10"/>
      <c r="BM21" s="10"/>
      <c r="BN21" s="41">
        <v>2023</v>
      </c>
      <c r="BO21" s="10"/>
      <c r="BP21" s="10"/>
      <c r="BQ21" s="10"/>
      <c r="BR21" s="10"/>
      <c r="BS21" s="10"/>
      <c r="BT21" s="10"/>
      <c r="BU21" s="10"/>
      <c r="BV21" s="10"/>
      <c r="BW21" s="10"/>
      <c r="BX21" s="10"/>
      <c r="BY21" t="s">
        <v>647</v>
      </c>
    </row>
    <row r="22" spans="1:77" x14ac:dyDescent="0.35">
      <c r="A22" t="s">
        <v>646</v>
      </c>
      <c r="B22" s="22">
        <v>45291</v>
      </c>
      <c r="C22">
        <v>2023</v>
      </c>
      <c r="D22" t="s">
        <v>212</v>
      </c>
      <c r="E22" t="s">
        <v>213</v>
      </c>
      <c r="F22" s="10"/>
      <c r="G22" s="10">
        <v>379254000</v>
      </c>
      <c r="H22" s="41">
        <v>-0.39</v>
      </c>
      <c r="I22" s="10">
        <v>41613000</v>
      </c>
      <c r="J22" s="10"/>
      <c r="K22" s="10"/>
      <c r="L22" s="10">
        <v>379254000</v>
      </c>
      <c r="M22" s="10">
        <v>-0.39</v>
      </c>
      <c r="N22" s="10">
        <v>-147765000</v>
      </c>
      <c r="O22" s="10">
        <v>-172284000</v>
      </c>
      <c r="P22" s="10">
        <v>-166515000</v>
      </c>
      <c r="Q22" s="10"/>
      <c r="R22" s="10"/>
      <c r="S22" s="10"/>
      <c r="T22" s="10">
        <v>169113000</v>
      </c>
      <c r="U22" s="10">
        <v>176696000</v>
      </c>
      <c r="V22" s="10"/>
      <c r="W22" s="10"/>
      <c r="X22" s="10">
        <v>25780000</v>
      </c>
      <c r="Y22" s="10">
        <v>25780000</v>
      </c>
      <c r="Z22" s="10"/>
      <c r="AA22" s="10">
        <v>-147765000</v>
      </c>
      <c r="AB22" s="10">
        <v>-147765000</v>
      </c>
      <c r="AC22" s="10">
        <v>-147765000</v>
      </c>
      <c r="AD22" s="10">
        <v>-147765000</v>
      </c>
      <c r="AE22" s="10">
        <v>-147765000</v>
      </c>
      <c r="AF22" s="10">
        <v>-147765000</v>
      </c>
      <c r="AG22" s="10">
        <v>25780000</v>
      </c>
      <c r="AH22" s="10">
        <v>25780000</v>
      </c>
      <c r="AI22" s="10">
        <v>-166515000</v>
      </c>
      <c r="AJ22" s="10">
        <v>-147765000</v>
      </c>
      <c r="AK22" s="10">
        <v>348980000</v>
      </c>
      <c r="AL22" s="10">
        <v>-172284000</v>
      </c>
      <c r="AM22" s="10">
        <v>218309000</v>
      </c>
      <c r="AN22" s="10">
        <v>76057000</v>
      </c>
      <c r="AO22" s="10">
        <v>-505000</v>
      </c>
      <c r="AP22" s="10">
        <v>-505000</v>
      </c>
      <c r="AQ22" s="10"/>
      <c r="AR22" s="10"/>
      <c r="AS22" s="10">
        <v>-147009000</v>
      </c>
      <c r="AT22" s="10">
        <v>41613000</v>
      </c>
      <c r="AU22" s="10">
        <v>5769000</v>
      </c>
      <c r="AV22" s="10">
        <v>149998000</v>
      </c>
      <c r="AW22" s="10">
        <v>29869000</v>
      </c>
      <c r="AX22" s="10">
        <v>198982000</v>
      </c>
      <c r="AY22" s="10"/>
      <c r="AZ22" s="10">
        <v>0</v>
      </c>
      <c r="BA22" s="10">
        <v>756000</v>
      </c>
      <c r="BB22" s="10">
        <v>5.0000000000000001E-3</v>
      </c>
      <c r="BC22" s="10">
        <v>390593000</v>
      </c>
      <c r="BD22" s="10">
        <v>-172284000</v>
      </c>
      <c r="BE22" s="10">
        <v>218309000</v>
      </c>
      <c r="BF22" s="10"/>
      <c r="BG22" s="10"/>
      <c r="BH22" s="10"/>
      <c r="BI22" s="10"/>
      <c r="BK22" s="10"/>
      <c r="BL22" s="10"/>
      <c r="BM22" s="10"/>
      <c r="BN22" s="41">
        <v>2023</v>
      </c>
      <c r="BO22" s="10"/>
      <c r="BP22" s="10"/>
      <c r="BQ22" s="10"/>
      <c r="BR22" s="10"/>
      <c r="BS22" s="10"/>
      <c r="BT22" s="10"/>
      <c r="BU22" s="10"/>
      <c r="BV22" s="10">
        <v>93056000</v>
      </c>
      <c r="BW22" s="10"/>
      <c r="BX22" s="10"/>
      <c r="BY22" t="s">
        <v>647</v>
      </c>
    </row>
    <row r="23" spans="1:77" hidden="1" x14ac:dyDescent="0.35">
      <c r="A23" t="s">
        <v>646</v>
      </c>
      <c r="B23" s="22">
        <v>45291</v>
      </c>
      <c r="C23">
        <v>2023</v>
      </c>
      <c r="D23" t="s">
        <v>214</v>
      </c>
      <c r="E23" t="s">
        <v>213</v>
      </c>
      <c r="F23" s="10"/>
      <c r="G23" s="10">
        <v>379254000</v>
      </c>
      <c r="H23" s="41">
        <v>-0.39</v>
      </c>
      <c r="I23" s="10"/>
      <c r="J23" s="10"/>
      <c r="K23" s="10"/>
      <c r="L23" s="10">
        <v>379254000</v>
      </c>
      <c r="M23" s="10">
        <v>-0.39</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K23" s="10"/>
      <c r="BL23" s="10"/>
      <c r="BM23" s="10"/>
      <c r="BN23" s="41">
        <v>2023</v>
      </c>
      <c r="BO23" s="10"/>
      <c r="BP23" s="10"/>
      <c r="BQ23" s="10"/>
      <c r="BR23" s="10"/>
      <c r="BS23" s="10"/>
      <c r="BT23" s="10"/>
      <c r="BU23" s="10"/>
      <c r="BV23" s="10"/>
      <c r="BW23" s="10"/>
      <c r="BX23" s="10"/>
      <c r="BY23" t="s">
        <v>647</v>
      </c>
    </row>
    <row r="24" spans="1:77" hidden="1" x14ac:dyDescent="0.35">
      <c r="A24" t="s">
        <v>646</v>
      </c>
      <c r="B24" s="22">
        <v>45382</v>
      </c>
      <c r="C24">
        <v>2024</v>
      </c>
      <c r="D24" t="s">
        <v>214</v>
      </c>
      <c r="E24" t="s">
        <v>213</v>
      </c>
      <c r="F24" s="10"/>
      <c r="G24" s="10">
        <v>384052500</v>
      </c>
      <c r="H24" s="41">
        <v>-0.37</v>
      </c>
      <c r="I24" s="10"/>
      <c r="J24" s="10"/>
      <c r="K24" s="10"/>
      <c r="L24" s="10">
        <v>384052500</v>
      </c>
      <c r="M24" s="10">
        <v>-0.37</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K24" s="10"/>
      <c r="BL24" s="10"/>
      <c r="BM24" s="10"/>
      <c r="BN24" s="41">
        <v>2024</v>
      </c>
      <c r="BO24" s="10"/>
      <c r="BP24" s="10"/>
      <c r="BQ24" s="10"/>
      <c r="BR24" s="10"/>
      <c r="BS24" s="10"/>
      <c r="BT24" s="10"/>
      <c r="BU24" s="10"/>
      <c r="BV24" s="10"/>
      <c r="BW24" s="10"/>
      <c r="BX24" s="10"/>
      <c r="BY24" t="s">
        <v>647</v>
      </c>
    </row>
    <row r="25" spans="1:77" hidden="1" x14ac:dyDescent="0.35">
      <c r="A25" t="s">
        <v>646</v>
      </c>
      <c r="B25" s="22">
        <v>45473</v>
      </c>
      <c r="C25">
        <v>2024</v>
      </c>
      <c r="D25" t="s">
        <v>214</v>
      </c>
      <c r="E25" t="s">
        <v>213</v>
      </c>
      <c r="F25" s="10"/>
      <c r="G25" s="10">
        <v>387096500</v>
      </c>
      <c r="H25" s="41">
        <v>-0.39</v>
      </c>
      <c r="I25" s="10">
        <v>41520000</v>
      </c>
      <c r="J25" s="10"/>
      <c r="K25" s="10"/>
      <c r="L25" s="10">
        <v>387096500</v>
      </c>
      <c r="M25" s="10">
        <v>-0.39</v>
      </c>
      <c r="N25" s="10">
        <v>-149688000</v>
      </c>
      <c r="O25" s="10">
        <v>-175795000</v>
      </c>
      <c r="P25" s="10">
        <v>-170401000</v>
      </c>
      <c r="Q25" s="10"/>
      <c r="R25" s="10"/>
      <c r="S25" s="10"/>
      <c r="T25" s="10">
        <v>189937000</v>
      </c>
      <c r="U25" s="10">
        <v>186567000</v>
      </c>
      <c r="V25" s="10"/>
      <c r="W25" s="10"/>
      <c r="X25" s="10">
        <v>27166000</v>
      </c>
      <c r="Y25" s="10">
        <v>27166000</v>
      </c>
      <c r="Z25" s="10"/>
      <c r="AA25" s="10">
        <v>-149688000</v>
      </c>
      <c r="AB25" s="10">
        <v>-149688000</v>
      </c>
      <c r="AC25" s="10">
        <v>-149688000</v>
      </c>
      <c r="AD25" s="10">
        <v>-149688000</v>
      </c>
      <c r="AE25" s="10">
        <v>-149688000</v>
      </c>
      <c r="AF25" s="10">
        <v>-149688000</v>
      </c>
      <c r="AG25" s="10">
        <v>27166000</v>
      </c>
      <c r="AH25" s="10">
        <v>27166000</v>
      </c>
      <c r="AI25" s="10">
        <v>-170401000</v>
      </c>
      <c r="AJ25" s="10">
        <v>-149688000</v>
      </c>
      <c r="AK25" s="10">
        <v>362362000</v>
      </c>
      <c r="AL25" s="10">
        <v>-175795000</v>
      </c>
      <c r="AM25" s="10">
        <v>228087000</v>
      </c>
      <c r="AN25" s="10">
        <v>97402000</v>
      </c>
      <c r="AO25" s="10">
        <v>-213000</v>
      </c>
      <c r="AP25" s="10">
        <v>-213000</v>
      </c>
      <c r="AQ25" s="10"/>
      <c r="AR25" s="10"/>
      <c r="AS25" s="10">
        <v>-148842000</v>
      </c>
      <c r="AT25" s="10">
        <v>41520000</v>
      </c>
      <c r="AU25" s="10">
        <v>5394000</v>
      </c>
      <c r="AV25" s="10">
        <v>142320000</v>
      </c>
      <c r="AW25" s="10">
        <v>30105000</v>
      </c>
      <c r="AX25" s="10">
        <v>220042000</v>
      </c>
      <c r="AY25" s="10"/>
      <c r="AZ25" s="10">
        <v>0</v>
      </c>
      <c r="BA25" s="10">
        <v>846000</v>
      </c>
      <c r="BB25" s="10">
        <v>0.21</v>
      </c>
      <c r="BC25" s="10">
        <v>403882000</v>
      </c>
      <c r="BD25" s="10">
        <v>-175795000</v>
      </c>
      <c r="BE25" s="10">
        <v>228087000</v>
      </c>
      <c r="BF25" s="10"/>
      <c r="BG25" s="10"/>
      <c r="BH25" s="10"/>
      <c r="BI25" s="10"/>
      <c r="BK25" s="10"/>
      <c r="BL25" s="10"/>
      <c r="BM25" s="10"/>
      <c r="BN25" s="41">
        <v>2024</v>
      </c>
      <c r="BO25" s="10"/>
      <c r="BP25" s="10"/>
      <c r="BQ25" s="10"/>
      <c r="BR25" s="10"/>
      <c r="BS25" s="10"/>
      <c r="BT25" s="10"/>
      <c r="BU25" s="10"/>
      <c r="BV25" s="10">
        <v>92535000</v>
      </c>
      <c r="BW25" s="10"/>
      <c r="BX25" s="10"/>
      <c r="BY25" t="s">
        <v>647</v>
      </c>
    </row>
    <row r="26" spans="1:77" x14ac:dyDescent="0.35">
      <c r="A26" t="s">
        <v>648</v>
      </c>
      <c r="B26" s="22">
        <v>43830</v>
      </c>
      <c r="C26">
        <v>2019</v>
      </c>
      <c r="D26" t="s">
        <v>212</v>
      </c>
      <c r="E26" t="s">
        <v>213</v>
      </c>
      <c r="F26" s="10"/>
      <c r="G26" s="10"/>
      <c r="H26" s="41"/>
      <c r="I26" s="10"/>
      <c r="J26" s="10">
        <v>34877000</v>
      </c>
      <c r="K26" s="10">
        <v>34877000</v>
      </c>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K26" s="10"/>
      <c r="BL26" s="10"/>
      <c r="BM26" s="10"/>
      <c r="BN26" s="41">
        <v>2019</v>
      </c>
      <c r="BO26" s="10"/>
      <c r="BP26" s="10"/>
      <c r="BQ26" s="10">
        <v>714000</v>
      </c>
      <c r="BR26" s="10"/>
      <c r="BS26" s="10"/>
      <c r="BT26" s="10"/>
      <c r="BU26" s="10"/>
      <c r="BV26" s="10"/>
      <c r="BW26" s="10"/>
      <c r="BX26" s="10"/>
      <c r="BY26" t="s">
        <v>649</v>
      </c>
    </row>
    <row r="27" spans="1:77" x14ac:dyDescent="0.35">
      <c r="A27" t="s">
        <v>648</v>
      </c>
      <c r="B27" s="22">
        <v>44196</v>
      </c>
      <c r="C27">
        <v>2020</v>
      </c>
      <c r="D27" t="s">
        <v>212</v>
      </c>
      <c r="E27" t="s">
        <v>213</v>
      </c>
      <c r="F27" s="10"/>
      <c r="G27" s="10">
        <v>55789831</v>
      </c>
      <c r="H27" s="41">
        <v>-6.9976999999999998E-2</v>
      </c>
      <c r="I27" s="10">
        <v>383376000</v>
      </c>
      <c r="J27" s="10">
        <v>48086000</v>
      </c>
      <c r="K27" s="10">
        <v>48086000</v>
      </c>
      <c r="L27" s="10">
        <v>55789831</v>
      </c>
      <c r="M27" s="10">
        <v>-6.9976999999999998E-2</v>
      </c>
      <c r="N27" s="10">
        <v>-3904000</v>
      </c>
      <c r="O27" s="10">
        <v>17391000</v>
      </c>
      <c r="P27" s="10">
        <v>65477000</v>
      </c>
      <c r="Q27" s="10"/>
      <c r="R27" s="10"/>
      <c r="S27" s="10"/>
      <c r="T27" s="10"/>
      <c r="U27" s="10">
        <v>18110000</v>
      </c>
      <c r="V27" s="10">
        <v>22073000</v>
      </c>
      <c r="W27" s="10">
        <v>22073000</v>
      </c>
      <c r="X27" s="10">
        <v>377000</v>
      </c>
      <c r="Y27" s="10">
        <v>377000</v>
      </c>
      <c r="Z27" s="10"/>
      <c r="AA27" s="10">
        <v>-3904000</v>
      </c>
      <c r="AB27" s="10">
        <v>-3904000</v>
      </c>
      <c r="AC27" s="10">
        <v>-3904000</v>
      </c>
      <c r="AD27" s="10">
        <v>-3904000</v>
      </c>
      <c r="AE27" s="10">
        <v>-3904000</v>
      </c>
      <c r="AF27" s="10">
        <v>-3904000</v>
      </c>
      <c r="AG27" s="10">
        <v>-21696000</v>
      </c>
      <c r="AH27" s="10">
        <v>-21696000</v>
      </c>
      <c r="AI27" s="10">
        <v>65554000</v>
      </c>
      <c r="AJ27" s="10">
        <v>-3839782</v>
      </c>
      <c r="AK27" s="10">
        <v>648000</v>
      </c>
      <c r="AL27" s="10">
        <v>17462000</v>
      </c>
      <c r="AM27" s="10">
        <v>396041000</v>
      </c>
      <c r="AN27" s="10"/>
      <c r="AO27" s="10">
        <v>-448000</v>
      </c>
      <c r="AP27" s="10">
        <v>-371000</v>
      </c>
      <c r="AQ27" s="10">
        <v>-13594000</v>
      </c>
      <c r="AR27" s="10"/>
      <c r="AS27" s="10">
        <v>-4682000</v>
      </c>
      <c r="AT27" s="10">
        <v>383376000</v>
      </c>
      <c r="AU27" s="10">
        <v>48086000</v>
      </c>
      <c r="AV27" s="10"/>
      <c r="AW27" s="10">
        <v>16570000</v>
      </c>
      <c r="AX27" s="10">
        <v>16570000</v>
      </c>
      <c r="AY27" s="10">
        <v>-77000</v>
      </c>
      <c r="AZ27" s="10">
        <v>-12782</v>
      </c>
      <c r="BA27" s="10">
        <v>-778000</v>
      </c>
      <c r="BB27" s="10">
        <v>0.16600000000000001</v>
      </c>
      <c r="BC27" s="10">
        <v>384024000</v>
      </c>
      <c r="BD27" s="10">
        <v>17385000</v>
      </c>
      <c r="BE27" s="10">
        <v>401486000</v>
      </c>
      <c r="BF27" s="10">
        <v>-77000</v>
      </c>
      <c r="BG27" s="10">
        <v>-77000</v>
      </c>
      <c r="BH27" s="10"/>
      <c r="BI27" s="10"/>
      <c r="BK27" s="10"/>
      <c r="BL27" s="10"/>
      <c r="BM27" s="10"/>
      <c r="BN27" s="41">
        <v>2020</v>
      </c>
      <c r="BO27" s="10"/>
      <c r="BP27" s="10"/>
      <c r="BQ27" s="10">
        <v>77000</v>
      </c>
      <c r="BR27" s="10">
        <v>-2328000</v>
      </c>
      <c r="BS27" s="10"/>
      <c r="BT27" s="10"/>
      <c r="BU27" s="10"/>
      <c r="BV27" s="10"/>
      <c r="BW27" s="10"/>
      <c r="BX27" s="10">
        <v>62245000</v>
      </c>
      <c r="BY27" t="s">
        <v>649</v>
      </c>
    </row>
    <row r="28" spans="1:77" x14ac:dyDescent="0.35">
      <c r="A28" t="s">
        <v>648</v>
      </c>
      <c r="B28" s="22">
        <v>44561</v>
      </c>
      <c r="C28">
        <v>2021</v>
      </c>
      <c r="D28" t="s">
        <v>212</v>
      </c>
      <c r="E28" t="s">
        <v>213</v>
      </c>
      <c r="F28" s="10"/>
      <c r="G28" s="10">
        <v>55182811</v>
      </c>
      <c r="H28" s="41">
        <v>1.4</v>
      </c>
      <c r="I28" s="10">
        <v>489847000</v>
      </c>
      <c r="J28" s="10"/>
      <c r="K28" s="10"/>
      <c r="L28" s="10">
        <v>59324040</v>
      </c>
      <c r="M28" s="10">
        <v>1.31</v>
      </c>
      <c r="N28" s="10">
        <v>81248000</v>
      </c>
      <c r="O28" s="10">
        <v>126656000</v>
      </c>
      <c r="P28" s="10">
        <v>183731000</v>
      </c>
      <c r="Q28" s="10"/>
      <c r="R28" s="10"/>
      <c r="S28" s="10"/>
      <c r="T28" s="10"/>
      <c r="U28" s="10">
        <v>133168000</v>
      </c>
      <c r="V28" s="10">
        <v>26326000</v>
      </c>
      <c r="W28" s="10">
        <v>26326000</v>
      </c>
      <c r="X28" s="10">
        <v>85000</v>
      </c>
      <c r="Y28" s="10">
        <v>85000</v>
      </c>
      <c r="Z28" s="10"/>
      <c r="AA28" s="10">
        <v>81248000</v>
      </c>
      <c r="AB28" s="10">
        <v>81248000</v>
      </c>
      <c r="AC28" s="10">
        <v>81248000</v>
      </c>
      <c r="AD28" s="10">
        <v>81248000</v>
      </c>
      <c r="AE28" s="10">
        <v>81248000</v>
      </c>
      <c r="AF28" s="10">
        <v>81248000</v>
      </c>
      <c r="AG28" s="10">
        <v>-26241000</v>
      </c>
      <c r="AH28" s="10">
        <v>-26241000</v>
      </c>
      <c r="AI28" s="10">
        <v>111312000</v>
      </c>
      <c r="AJ28" s="10">
        <v>22588610</v>
      </c>
      <c r="AK28" s="10">
        <v>93640000</v>
      </c>
      <c r="AL28" s="10">
        <v>39528000</v>
      </c>
      <c r="AM28" s="10">
        <v>615373000</v>
      </c>
      <c r="AN28" s="10"/>
      <c r="AO28" s="10">
        <v>87043000</v>
      </c>
      <c r="AP28" s="10">
        <v>14624000</v>
      </c>
      <c r="AQ28" s="10">
        <v>71580000</v>
      </c>
      <c r="AR28" s="10"/>
      <c r="AS28" s="10">
        <v>100330000</v>
      </c>
      <c r="AT28" s="10">
        <v>489847000</v>
      </c>
      <c r="AU28" s="10">
        <v>57075000</v>
      </c>
      <c r="AV28" s="10"/>
      <c r="AW28" s="10">
        <v>22060000</v>
      </c>
      <c r="AX28" s="10">
        <v>22060000</v>
      </c>
      <c r="AY28" s="10">
        <v>72419000</v>
      </c>
      <c r="AZ28" s="10">
        <v>13759610</v>
      </c>
      <c r="BA28" s="10">
        <v>19082000</v>
      </c>
      <c r="BB28" s="10">
        <v>0.19</v>
      </c>
      <c r="BC28" s="10">
        <v>583487000</v>
      </c>
      <c r="BD28" s="10">
        <v>111947000</v>
      </c>
      <c r="BE28" s="10">
        <v>623015000</v>
      </c>
      <c r="BF28" s="10">
        <v>72419000</v>
      </c>
      <c r="BG28" s="10">
        <v>72419000</v>
      </c>
      <c r="BH28" s="10"/>
      <c r="BI28" s="10"/>
      <c r="BK28" s="10"/>
      <c r="BL28" s="10"/>
      <c r="BM28" s="10"/>
      <c r="BN28" s="41">
        <v>2021</v>
      </c>
      <c r="BO28" s="10"/>
      <c r="BP28" s="10"/>
      <c r="BQ28" s="10">
        <v>6979000</v>
      </c>
      <c r="BR28" s="10">
        <v>-848000</v>
      </c>
      <c r="BS28" s="10"/>
      <c r="BT28" s="10"/>
      <c r="BU28" s="10"/>
      <c r="BV28" s="10"/>
      <c r="BW28" s="10"/>
      <c r="BX28" s="10">
        <v>58379000</v>
      </c>
      <c r="BY28" t="s">
        <v>649</v>
      </c>
    </row>
    <row r="29" spans="1:77" x14ac:dyDescent="0.35">
      <c r="A29" t="s">
        <v>648</v>
      </c>
      <c r="B29" s="22">
        <v>44926</v>
      </c>
      <c r="C29">
        <v>2022</v>
      </c>
      <c r="D29" t="s">
        <v>212</v>
      </c>
      <c r="E29" t="s">
        <v>213</v>
      </c>
      <c r="F29" s="10"/>
      <c r="G29" s="10">
        <v>57951955</v>
      </c>
      <c r="H29" s="41">
        <v>0.31</v>
      </c>
      <c r="I29" s="10">
        <v>716705000</v>
      </c>
      <c r="J29" s="10"/>
      <c r="K29" s="10"/>
      <c r="L29" s="10">
        <v>61046595</v>
      </c>
      <c r="M29" s="10">
        <v>0.28999999999999998</v>
      </c>
      <c r="N29" s="10">
        <v>17676000</v>
      </c>
      <c r="O29" s="10">
        <v>55000000</v>
      </c>
      <c r="P29" s="10">
        <v>122641000</v>
      </c>
      <c r="Q29" s="10"/>
      <c r="R29" s="10"/>
      <c r="S29" s="10"/>
      <c r="T29" s="10"/>
      <c r="U29" s="10">
        <v>177739000</v>
      </c>
      <c r="V29" s="10">
        <v>31018000</v>
      </c>
      <c r="W29" s="10">
        <v>31018000</v>
      </c>
      <c r="X29" s="10">
        <v>4527000</v>
      </c>
      <c r="Y29" s="10">
        <v>4527000</v>
      </c>
      <c r="Z29" s="10"/>
      <c r="AA29" s="10">
        <v>17676000</v>
      </c>
      <c r="AB29" s="10">
        <v>17676000</v>
      </c>
      <c r="AC29" s="10">
        <v>17676000</v>
      </c>
      <c r="AD29" s="10">
        <v>17676000</v>
      </c>
      <c r="AE29" s="10">
        <v>17676000</v>
      </c>
      <c r="AF29" s="10">
        <v>17676000</v>
      </c>
      <c r="AG29" s="10">
        <v>-26491000</v>
      </c>
      <c r="AH29" s="10">
        <v>-26491000</v>
      </c>
      <c r="AI29" s="10">
        <v>122641000</v>
      </c>
      <c r="AJ29" s="10">
        <v>17676000</v>
      </c>
      <c r="AK29" s="10">
        <v>122031000</v>
      </c>
      <c r="AL29" s="10">
        <v>55708000</v>
      </c>
      <c r="AM29" s="10">
        <v>882783000</v>
      </c>
      <c r="AN29" s="10"/>
      <c r="AO29" s="10">
        <v>-5235000</v>
      </c>
      <c r="AP29" s="10">
        <v>-5235000</v>
      </c>
      <c r="AQ29" s="10">
        <v>90978000</v>
      </c>
      <c r="AR29" s="10"/>
      <c r="AS29" s="10">
        <v>23982000</v>
      </c>
      <c r="AT29" s="10">
        <v>716705000</v>
      </c>
      <c r="AU29" s="10">
        <v>67641000</v>
      </c>
      <c r="AV29" s="10"/>
      <c r="AW29" s="10">
        <v>31053000</v>
      </c>
      <c r="AX29" s="10">
        <v>31053000</v>
      </c>
      <c r="AY29" s="10">
        <v>0</v>
      </c>
      <c r="AZ29" s="10">
        <v>0</v>
      </c>
      <c r="BA29" s="10">
        <v>6306000</v>
      </c>
      <c r="BB29" s="10">
        <v>0.26300000000000001</v>
      </c>
      <c r="BC29" s="10">
        <v>838736000</v>
      </c>
      <c r="BD29" s="10">
        <v>55708000</v>
      </c>
      <c r="BE29" s="10">
        <v>894444000</v>
      </c>
      <c r="BF29" s="10">
        <v>0</v>
      </c>
      <c r="BG29" s="10">
        <v>0</v>
      </c>
      <c r="BH29" s="10"/>
      <c r="BI29" s="10"/>
      <c r="BK29" s="10"/>
      <c r="BL29" s="10"/>
      <c r="BM29" s="10"/>
      <c r="BN29" s="41">
        <v>2022</v>
      </c>
      <c r="BO29" s="10"/>
      <c r="BP29" s="10"/>
      <c r="BQ29" s="10"/>
      <c r="BR29" s="10">
        <v>0</v>
      </c>
      <c r="BS29" s="10"/>
      <c r="BT29" s="10"/>
      <c r="BU29" s="10"/>
      <c r="BV29" s="10"/>
      <c r="BW29" s="10"/>
      <c r="BX29" s="10">
        <v>54426000</v>
      </c>
      <c r="BY29" t="s">
        <v>649</v>
      </c>
    </row>
    <row r="30" spans="1:77" hidden="1" x14ac:dyDescent="0.35">
      <c r="A30" t="s">
        <v>648</v>
      </c>
      <c r="B30" s="22">
        <v>45199</v>
      </c>
      <c r="C30">
        <v>2023</v>
      </c>
      <c r="D30" t="s">
        <v>214</v>
      </c>
      <c r="E30" t="s">
        <v>213</v>
      </c>
      <c r="F30" s="10"/>
      <c r="G30" s="10">
        <v>56460934</v>
      </c>
      <c r="H30" s="41">
        <v>1.32</v>
      </c>
      <c r="I30" s="10"/>
      <c r="J30" s="10"/>
      <c r="K30" s="10"/>
      <c r="L30" s="10">
        <v>59478408</v>
      </c>
      <c r="M30" s="10">
        <v>1.24</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K30" s="10"/>
      <c r="BL30" s="10"/>
      <c r="BM30" s="10"/>
      <c r="BN30" s="41">
        <v>2023</v>
      </c>
      <c r="BO30" s="10"/>
      <c r="BP30" s="10"/>
      <c r="BQ30" s="10"/>
      <c r="BR30" s="10"/>
      <c r="BS30" s="10"/>
      <c r="BT30" s="10"/>
      <c r="BU30" s="10"/>
      <c r="BV30" s="10"/>
      <c r="BW30" s="10"/>
      <c r="BX30" s="10"/>
      <c r="BY30" t="s">
        <v>649</v>
      </c>
    </row>
    <row r="31" spans="1:77" x14ac:dyDescent="0.35">
      <c r="A31" t="s">
        <v>648</v>
      </c>
      <c r="B31" s="22">
        <v>45291</v>
      </c>
      <c r="C31">
        <v>2023</v>
      </c>
      <c r="D31" t="s">
        <v>212</v>
      </c>
      <c r="E31" t="s">
        <v>213</v>
      </c>
      <c r="F31" s="10"/>
      <c r="G31" s="10">
        <v>55507144</v>
      </c>
      <c r="H31" s="41">
        <v>1.3</v>
      </c>
      <c r="I31" s="10">
        <v>780450000</v>
      </c>
      <c r="J31" s="10"/>
      <c r="K31" s="10"/>
      <c r="L31" s="10">
        <v>58524652</v>
      </c>
      <c r="M31" s="10">
        <v>1.23</v>
      </c>
      <c r="N31" s="10">
        <v>72181000</v>
      </c>
      <c r="O31" s="10">
        <v>136793000</v>
      </c>
      <c r="P31" s="10">
        <v>226244000</v>
      </c>
      <c r="Q31" s="10"/>
      <c r="R31" s="10"/>
      <c r="S31" s="10"/>
      <c r="T31" s="10"/>
      <c r="U31" s="10">
        <v>269170000</v>
      </c>
      <c r="V31" s="10">
        <v>42634000</v>
      </c>
      <c r="W31" s="10">
        <v>42634000</v>
      </c>
      <c r="X31" s="10">
        <v>10180000</v>
      </c>
      <c r="Y31" s="10">
        <v>10180000</v>
      </c>
      <c r="Z31" s="10"/>
      <c r="AA31" s="10">
        <v>72181000</v>
      </c>
      <c r="AB31" s="10">
        <v>72181000</v>
      </c>
      <c r="AC31" s="10">
        <v>72181000</v>
      </c>
      <c r="AD31" s="10">
        <v>72181000</v>
      </c>
      <c r="AE31" s="10">
        <v>72181000</v>
      </c>
      <c r="AF31" s="10">
        <v>72181000</v>
      </c>
      <c r="AG31" s="10">
        <v>-32454000</v>
      </c>
      <c r="AH31" s="10">
        <v>-32454000</v>
      </c>
      <c r="AI31" s="10">
        <v>226244000</v>
      </c>
      <c r="AJ31" s="10">
        <v>72181000</v>
      </c>
      <c r="AK31" s="10">
        <v>141670000</v>
      </c>
      <c r="AL31" s="10">
        <v>127500000</v>
      </c>
      <c r="AM31" s="10">
        <v>1019858000</v>
      </c>
      <c r="AN31" s="10"/>
      <c r="AO31" s="10">
        <v>-887000</v>
      </c>
      <c r="AP31" s="10">
        <v>-887000</v>
      </c>
      <c r="AQ31" s="10">
        <v>107565000</v>
      </c>
      <c r="AR31" s="10"/>
      <c r="AS31" s="10">
        <v>94159000</v>
      </c>
      <c r="AT31" s="10">
        <v>780450000</v>
      </c>
      <c r="AU31" s="10">
        <v>89451000</v>
      </c>
      <c r="AV31" s="10"/>
      <c r="AW31" s="10">
        <v>34105000</v>
      </c>
      <c r="AX31" s="10">
        <v>34105000</v>
      </c>
      <c r="AY31" s="10">
        <v>0</v>
      </c>
      <c r="AZ31" s="10">
        <v>0</v>
      </c>
      <c r="BA31" s="10">
        <v>21978000</v>
      </c>
      <c r="BB31" s="10">
        <v>0.23300000000000001</v>
      </c>
      <c r="BC31" s="10">
        <v>922120000</v>
      </c>
      <c r="BD31" s="10">
        <v>127500000</v>
      </c>
      <c r="BE31" s="10">
        <v>1049620000</v>
      </c>
      <c r="BF31" s="10">
        <v>0</v>
      </c>
      <c r="BG31" s="10">
        <v>0</v>
      </c>
      <c r="BH31" s="10"/>
      <c r="BI31" s="10"/>
      <c r="BK31" s="10"/>
      <c r="BL31" s="10"/>
      <c r="BM31" s="10"/>
      <c r="BN31" s="41">
        <v>2023</v>
      </c>
      <c r="BO31" s="10"/>
      <c r="BP31" s="10"/>
      <c r="BQ31" s="10"/>
      <c r="BR31" s="10"/>
      <c r="BS31" s="10"/>
      <c r="BT31" s="10"/>
      <c r="BU31" s="10"/>
      <c r="BV31" s="10"/>
      <c r="BW31" s="10"/>
      <c r="BX31" s="10">
        <v>51896000</v>
      </c>
      <c r="BY31" t="s">
        <v>649</v>
      </c>
    </row>
    <row r="32" spans="1:77" hidden="1" x14ac:dyDescent="0.35">
      <c r="A32" t="s">
        <v>648</v>
      </c>
      <c r="B32" s="22">
        <v>45291</v>
      </c>
      <c r="C32">
        <v>2023</v>
      </c>
      <c r="D32" t="s">
        <v>214</v>
      </c>
      <c r="E32" t="s">
        <v>213</v>
      </c>
      <c r="F32" s="10"/>
      <c r="G32" s="10">
        <v>55507144</v>
      </c>
      <c r="H32" s="41">
        <v>1.3</v>
      </c>
      <c r="I32" s="10"/>
      <c r="J32" s="10"/>
      <c r="K32" s="10"/>
      <c r="L32" s="10">
        <v>58524652</v>
      </c>
      <c r="M32" s="10">
        <v>1.23</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K32" s="10"/>
      <c r="BL32" s="10"/>
      <c r="BM32" s="10"/>
      <c r="BN32" s="41">
        <v>2023</v>
      </c>
      <c r="BO32" s="10"/>
      <c r="BP32" s="10"/>
      <c r="BQ32" s="10"/>
      <c r="BR32" s="10"/>
      <c r="BS32" s="10"/>
      <c r="BT32" s="10"/>
      <c r="BU32" s="10"/>
      <c r="BV32" s="10"/>
      <c r="BW32" s="10"/>
      <c r="BX32" s="10"/>
      <c r="BY32" t="s">
        <v>649</v>
      </c>
    </row>
    <row r="33" spans="1:77" hidden="1" x14ac:dyDescent="0.35">
      <c r="A33" t="s">
        <v>648</v>
      </c>
      <c r="B33" s="22">
        <v>45382</v>
      </c>
      <c r="C33">
        <v>2024</v>
      </c>
      <c r="D33" t="s">
        <v>214</v>
      </c>
      <c r="E33" t="s">
        <v>213</v>
      </c>
      <c r="F33" s="10"/>
      <c r="G33" s="10">
        <v>54608114</v>
      </c>
      <c r="H33" s="41">
        <v>1.29</v>
      </c>
      <c r="I33" s="10"/>
      <c r="J33" s="10"/>
      <c r="K33" s="10"/>
      <c r="L33" s="10">
        <v>57490312</v>
      </c>
      <c r="M33" s="10">
        <v>1.23</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K33" s="10"/>
      <c r="BL33" s="10"/>
      <c r="BM33" s="10"/>
      <c r="BN33" s="41">
        <v>2024</v>
      </c>
      <c r="BO33" s="10"/>
      <c r="BP33" s="10"/>
      <c r="BQ33" s="10"/>
      <c r="BR33" s="10"/>
      <c r="BS33" s="10"/>
      <c r="BT33" s="10"/>
      <c r="BU33" s="10"/>
      <c r="BV33" s="10"/>
      <c r="BW33" s="10"/>
      <c r="BX33" s="10"/>
      <c r="BY33" t="s">
        <v>649</v>
      </c>
    </row>
    <row r="34" spans="1:77" hidden="1" x14ac:dyDescent="0.35">
      <c r="A34" t="s">
        <v>648</v>
      </c>
      <c r="B34" s="22">
        <v>45473</v>
      </c>
      <c r="C34">
        <v>2024</v>
      </c>
      <c r="D34" t="s">
        <v>214</v>
      </c>
      <c r="E34" t="s">
        <v>213</v>
      </c>
      <c r="F34" s="10"/>
      <c r="G34" s="10">
        <v>53756046</v>
      </c>
      <c r="H34" s="41">
        <v>0.95</v>
      </c>
      <c r="I34" s="10">
        <v>814249000</v>
      </c>
      <c r="J34" s="10"/>
      <c r="K34" s="10"/>
      <c r="L34" s="10">
        <v>56257280</v>
      </c>
      <c r="M34" s="10">
        <v>0.91</v>
      </c>
      <c r="N34" s="10">
        <v>50360000</v>
      </c>
      <c r="O34" s="10">
        <v>112323000</v>
      </c>
      <c r="P34" s="10">
        <v>207399000</v>
      </c>
      <c r="Q34" s="10"/>
      <c r="R34" s="10"/>
      <c r="S34" s="10"/>
      <c r="T34" s="10"/>
      <c r="U34" s="10">
        <v>246034000</v>
      </c>
      <c r="V34" s="10">
        <v>44954000</v>
      </c>
      <c r="W34" s="10">
        <v>44954000</v>
      </c>
      <c r="X34" s="10">
        <v>9142000</v>
      </c>
      <c r="Y34" s="10">
        <v>9142000</v>
      </c>
      <c r="Z34" s="10"/>
      <c r="AA34" s="10">
        <v>50360000</v>
      </c>
      <c r="AB34" s="10">
        <v>50360000</v>
      </c>
      <c r="AC34" s="10">
        <v>50360000</v>
      </c>
      <c r="AD34" s="10">
        <v>50360000</v>
      </c>
      <c r="AE34" s="10">
        <v>50360000</v>
      </c>
      <c r="AF34" s="10">
        <v>50360000</v>
      </c>
      <c r="AG34" s="10">
        <v>-35812000</v>
      </c>
      <c r="AH34" s="10">
        <v>-35812000</v>
      </c>
      <c r="AI34" s="10">
        <v>207399000</v>
      </c>
      <c r="AJ34" s="10">
        <v>50360000</v>
      </c>
      <c r="AK34" s="10">
        <v>142363000</v>
      </c>
      <c r="AL34" s="10">
        <v>103671000</v>
      </c>
      <c r="AM34" s="10">
        <v>1016799000</v>
      </c>
      <c r="AN34" s="10"/>
      <c r="AO34" s="10">
        <v>-490000</v>
      </c>
      <c r="AP34" s="10">
        <v>-490000</v>
      </c>
      <c r="AQ34" s="10">
        <v>107623000</v>
      </c>
      <c r="AR34" s="10"/>
      <c r="AS34" s="10">
        <v>67369000</v>
      </c>
      <c r="AT34" s="10">
        <v>814249000</v>
      </c>
      <c r="AU34" s="10">
        <v>95076000</v>
      </c>
      <c r="AV34" s="10"/>
      <c r="AW34" s="10">
        <v>34740000</v>
      </c>
      <c r="AX34" s="10">
        <v>34740000</v>
      </c>
      <c r="AY34" s="10"/>
      <c r="AZ34" s="10">
        <v>0</v>
      </c>
      <c r="BA34" s="10">
        <v>17009000</v>
      </c>
      <c r="BB34" s="10">
        <v>0.252475</v>
      </c>
      <c r="BC34" s="10">
        <v>956612000</v>
      </c>
      <c r="BD34" s="10">
        <v>103671000</v>
      </c>
      <c r="BE34" s="10">
        <v>1060283000</v>
      </c>
      <c r="BF34" s="10">
        <v>0</v>
      </c>
      <c r="BG34" s="10">
        <v>0</v>
      </c>
      <c r="BH34" s="10"/>
      <c r="BI34" s="10"/>
      <c r="BK34" s="10"/>
      <c r="BL34" s="10"/>
      <c r="BM34" s="10"/>
      <c r="BN34" s="41">
        <v>2024</v>
      </c>
      <c r="BO34" s="10"/>
      <c r="BP34" s="10"/>
      <c r="BQ34" s="10"/>
      <c r="BR34" s="10"/>
      <c r="BS34" s="10"/>
      <c r="BT34" s="10"/>
      <c r="BU34" s="10"/>
      <c r="BV34" s="10"/>
      <c r="BW34" s="10"/>
      <c r="BX34" s="10">
        <v>55200000</v>
      </c>
      <c r="BY34" t="s">
        <v>649</v>
      </c>
    </row>
    <row r="35" spans="1:77" x14ac:dyDescent="0.35">
      <c r="A35" t="s">
        <v>650</v>
      </c>
      <c r="B35" s="22">
        <v>44286</v>
      </c>
      <c r="C35">
        <v>2021</v>
      </c>
      <c r="D35" t="s">
        <v>212</v>
      </c>
      <c r="E35" t="s">
        <v>213</v>
      </c>
      <c r="F35" s="10"/>
      <c r="G35" s="10">
        <v>9189052</v>
      </c>
      <c r="H35" s="41">
        <v>8.34</v>
      </c>
      <c r="I35" s="10">
        <v>869074000</v>
      </c>
      <c r="J35" s="10"/>
      <c r="K35" s="10"/>
      <c r="L35" s="10">
        <v>9293134</v>
      </c>
      <c r="M35" s="10">
        <v>8.25</v>
      </c>
      <c r="N35" s="10">
        <v>76646000</v>
      </c>
      <c r="O35" s="10">
        <v>97650000</v>
      </c>
      <c r="P35" s="10">
        <v>103974000</v>
      </c>
      <c r="Q35" s="10"/>
      <c r="R35" s="10"/>
      <c r="S35" s="10"/>
      <c r="T35" s="10"/>
      <c r="U35" s="10">
        <v>238977000</v>
      </c>
      <c r="V35" s="10">
        <v>738000</v>
      </c>
      <c r="W35" s="10">
        <v>738000</v>
      </c>
      <c r="X35" s="10">
        <v>2144000</v>
      </c>
      <c r="Y35" s="10">
        <v>2144000</v>
      </c>
      <c r="Z35" s="10">
        <v>0</v>
      </c>
      <c r="AA35" s="10">
        <v>76646000</v>
      </c>
      <c r="AB35" s="10">
        <v>76646000</v>
      </c>
      <c r="AC35" s="10">
        <v>76646000</v>
      </c>
      <c r="AD35" s="10">
        <v>76646000</v>
      </c>
      <c r="AE35" s="10">
        <v>76646000</v>
      </c>
      <c r="AF35" s="10">
        <v>76646000</v>
      </c>
      <c r="AG35" s="10">
        <v>1406000</v>
      </c>
      <c r="AH35" s="10">
        <v>1406000</v>
      </c>
      <c r="AI35" s="10">
        <v>103974000</v>
      </c>
      <c r="AJ35" s="10">
        <v>76646000</v>
      </c>
      <c r="AK35" s="10">
        <v>150152000</v>
      </c>
      <c r="AL35" s="10">
        <v>88825000</v>
      </c>
      <c r="AM35" s="10">
        <v>1108051000</v>
      </c>
      <c r="AN35" s="10"/>
      <c r="AO35" s="10">
        <v>6681000</v>
      </c>
      <c r="AP35" s="10">
        <v>6681000</v>
      </c>
      <c r="AQ35" s="10"/>
      <c r="AR35" s="10"/>
      <c r="AS35" s="10">
        <v>96912000</v>
      </c>
      <c r="AT35" s="10">
        <v>869074000</v>
      </c>
      <c r="AU35" s="10">
        <v>6324000</v>
      </c>
      <c r="AV35" s="10"/>
      <c r="AW35" s="10"/>
      <c r="AX35" s="10">
        <v>150152000</v>
      </c>
      <c r="AY35" s="10"/>
      <c r="AZ35" s="10">
        <v>0</v>
      </c>
      <c r="BA35" s="10">
        <v>20266000</v>
      </c>
      <c r="BB35" s="10">
        <v>0.209118</v>
      </c>
      <c r="BC35" s="10">
        <v>1019226000</v>
      </c>
      <c r="BD35" s="10">
        <v>88825000</v>
      </c>
      <c r="BE35" s="10">
        <v>1108051000</v>
      </c>
      <c r="BF35" s="10"/>
      <c r="BG35" s="10"/>
      <c r="BH35" s="10"/>
      <c r="BI35" s="10"/>
      <c r="BK35" s="10"/>
      <c r="BL35" s="10"/>
      <c r="BM35" s="10"/>
      <c r="BN35" s="41">
        <v>2021</v>
      </c>
      <c r="BO35" s="10"/>
      <c r="BP35" s="10"/>
      <c r="BQ35" s="10"/>
      <c r="BR35" s="10"/>
      <c r="BS35" s="10"/>
      <c r="BT35" s="10"/>
      <c r="BU35" s="10"/>
      <c r="BV35" s="10"/>
      <c r="BW35" s="10"/>
      <c r="BX35" s="10"/>
      <c r="BY35" t="s">
        <v>651</v>
      </c>
    </row>
    <row r="36" spans="1:77" x14ac:dyDescent="0.35">
      <c r="A36" t="s">
        <v>650</v>
      </c>
      <c r="B36" s="22">
        <v>44651</v>
      </c>
      <c r="C36">
        <v>2022</v>
      </c>
      <c r="D36" t="s">
        <v>212</v>
      </c>
      <c r="E36" t="s">
        <v>213</v>
      </c>
      <c r="F36" s="10"/>
      <c r="G36" s="10">
        <v>9178593</v>
      </c>
      <c r="H36" s="41">
        <v>21.54</v>
      </c>
      <c r="I36" s="10">
        <v>1218409000</v>
      </c>
      <c r="J36" s="10"/>
      <c r="K36" s="10"/>
      <c r="L36" s="10">
        <v>9264153</v>
      </c>
      <c r="M36" s="10">
        <v>21.34</v>
      </c>
      <c r="N36" s="10">
        <v>197699000</v>
      </c>
      <c r="O36" s="10">
        <v>212691000</v>
      </c>
      <c r="P36" s="10">
        <v>223708000</v>
      </c>
      <c r="Q36" s="10"/>
      <c r="R36" s="10"/>
      <c r="S36" s="10"/>
      <c r="T36" s="10"/>
      <c r="U36" s="10">
        <v>408749000</v>
      </c>
      <c r="V36" s="10">
        <v>702000</v>
      </c>
      <c r="W36" s="10">
        <v>702000</v>
      </c>
      <c r="X36" s="10">
        <v>3537000</v>
      </c>
      <c r="Y36" s="10">
        <v>3537000</v>
      </c>
      <c r="Z36" s="10">
        <v>-43000</v>
      </c>
      <c r="AA36" s="10">
        <v>197699000</v>
      </c>
      <c r="AB36" s="10">
        <v>197699000</v>
      </c>
      <c r="AC36" s="10">
        <v>197742000</v>
      </c>
      <c r="AD36" s="10">
        <v>197699000</v>
      </c>
      <c r="AE36" s="10">
        <v>197699000</v>
      </c>
      <c r="AF36" s="10">
        <v>197742000</v>
      </c>
      <c r="AG36" s="10">
        <v>2835000</v>
      </c>
      <c r="AH36" s="10">
        <v>2835000</v>
      </c>
      <c r="AI36" s="10">
        <v>223708000</v>
      </c>
      <c r="AJ36" s="10">
        <v>197699000</v>
      </c>
      <c r="AK36" s="10">
        <v>206253000</v>
      </c>
      <c r="AL36" s="10">
        <v>202496000</v>
      </c>
      <c r="AM36" s="10">
        <v>1627158000</v>
      </c>
      <c r="AN36" s="10"/>
      <c r="AO36" s="10">
        <v>6658000</v>
      </c>
      <c r="AP36" s="10">
        <v>6658000</v>
      </c>
      <c r="AQ36" s="10"/>
      <c r="AR36" s="10"/>
      <c r="AS36" s="10">
        <v>211989000</v>
      </c>
      <c r="AT36" s="10">
        <v>1218409000</v>
      </c>
      <c r="AU36" s="10">
        <v>11017000</v>
      </c>
      <c r="AV36" s="10"/>
      <c r="AW36" s="10"/>
      <c r="AX36" s="10">
        <v>206253000</v>
      </c>
      <c r="AY36" s="10"/>
      <c r="AZ36" s="10">
        <v>0</v>
      </c>
      <c r="BA36" s="10">
        <v>14247000</v>
      </c>
      <c r="BB36" s="10">
        <v>6.7000000000000004E-2</v>
      </c>
      <c r="BC36" s="10">
        <v>1424662000</v>
      </c>
      <c r="BD36" s="10">
        <v>202496000</v>
      </c>
      <c r="BE36" s="10">
        <v>1627158000</v>
      </c>
      <c r="BF36" s="10"/>
      <c r="BG36" s="10"/>
      <c r="BH36" s="10"/>
      <c r="BI36" s="10"/>
      <c r="BK36" s="10"/>
      <c r="BL36" s="10"/>
      <c r="BM36" s="10"/>
      <c r="BN36" s="41">
        <v>2022</v>
      </c>
      <c r="BO36" s="10"/>
      <c r="BP36" s="10"/>
      <c r="BQ36" s="10"/>
      <c r="BR36" s="10"/>
      <c r="BS36" s="10"/>
      <c r="BT36" s="10"/>
      <c r="BU36" s="10"/>
      <c r="BV36" s="10"/>
      <c r="BW36" s="10"/>
      <c r="BX36" s="10"/>
      <c r="BY36" t="s">
        <v>651</v>
      </c>
    </row>
    <row r="37" spans="1:77" x14ac:dyDescent="0.35">
      <c r="A37" t="s">
        <v>650</v>
      </c>
      <c r="B37" s="22">
        <v>45016</v>
      </c>
      <c r="C37">
        <v>2023</v>
      </c>
      <c r="D37" t="s">
        <v>212</v>
      </c>
      <c r="E37" t="s">
        <v>213</v>
      </c>
      <c r="F37" s="10"/>
      <c r="G37" s="10">
        <v>8844326</v>
      </c>
      <c r="H37" s="41">
        <v>27.2</v>
      </c>
      <c r="I37" s="10">
        <v>1587781000</v>
      </c>
      <c r="J37" s="10"/>
      <c r="K37" s="10"/>
      <c r="L37" s="10">
        <v>8924452</v>
      </c>
      <c r="M37" s="10">
        <v>26.95</v>
      </c>
      <c r="N37" s="10">
        <v>240554000</v>
      </c>
      <c r="O37" s="10">
        <v>307673000</v>
      </c>
      <c r="P37" s="10">
        <v>324576000</v>
      </c>
      <c r="Q37" s="10"/>
      <c r="R37" s="10"/>
      <c r="S37" s="10"/>
      <c r="T37" s="10"/>
      <c r="U37" s="10">
        <v>554932000</v>
      </c>
      <c r="V37" s="10">
        <v>910000</v>
      </c>
      <c r="W37" s="10">
        <v>910000</v>
      </c>
      <c r="X37" s="10">
        <v>10679000</v>
      </c>
      <c r="Y37" s="10">
        <v>10679000</v>
      </c>
      <c r="Z37" s="10">
        <v>-287000</v>
      </c>
      <c r="AA37" s="10">
        <v>240554000</v>
      </c>
      <c r="AB37" s="10">
        <v>240554000</v>
      </c>
      <c r="AC37" s="10">
        <v>240841000</v>
      </c>
      <c r="AD37" s="10">
        <v>240554000</v>
      </c>
      <c r="AE37" s="10">
        <v>240554000</v>
      </c>
      <c r="AF37" s="10">
        <v>240841000</v>
      </c>
      <c r="AG37" s="10">
        <v>9769000</v>
      </c>
      <c r="AH37" s="10">
        <v>9769000</v>
      </c>
      <c r="AI37" s="10">
        <v>324576000</v>
      </c>
      <c r="AJ37" s="10">
        <v>240554000</v>
      </c>
      <c r="AK37" s="10">
        <v>258323000</v>
      </c>
      <c r="AL37" s="10">
        <v>296609000</v>
      </c>
      <c r="AM37" s="10">
        <v>2142713000</v>
      </c>
      <c r="AN37" s="10"/>
      <c r="AO37" s="10">
        <v>385000</v>
      </c>
      <c r="AP37" s="10">
        <v>385000</v>
      </c>
      <c r="AQ37" s="10"/>
      <c r="AR37" s="10"/>
      <c r="AS37" s="10">
        <v>306763000</v>
      </c>
      <c r="AT37" s="10">
        <v>1587781000</v>
      </c>
      <c r="AU37" s="10">
        <v>16903000</v>
      </c>
      <c r="AV37" s="10"/>
      <c r="AW37" s="10"/>
      <c r="AX37" s="10">
        <v>258323000</v>
      </c>
      <c r="AY37" s="10"/>
      <c r="AZ37" s="10">
        <v>0</v>
      </c>
      <c r="BA37" s="10">
        <v>65922000</v>
      </c>
      <c r="BB37" s="10">
        <v>0.215</v>
      </c>
      <c r="BC37" s="10">
        <v>1846104000</v>
      </c>
      <c r="BD37" s="10">
        <v>296609000</v>
      </c>
      <c r="BE37" s="10">
        <v>2142713000</v>
      </c>
      <c r="BF37" s="10"/>
      <c r="BG37" s="10"/>
      <c r="BH37" s="10"/>
      <c r="BI37" s="10"/>
      <c r="BK37" s="10"/>
      <c r="BL37" s="10"/>
      <c r="BM37" s="10"/>
      <c r="BN37" s="41">
        <v>2023</v>
      </c>
      <c r="BO37" s="10"/>
      <c r="BP37" s="10"/>
      <c r="BQ37" s="10"/>
      <c r="BR37" s="10"/>
      <c r="BS37" s="10"/>
      <c r="BT37" s="10"/>
      <c r="BU37" s="10"/>
      <c r="BV37" s="10"/>
      <c r="BW37" s="10"/>
      <c r="BX37" s="10"/>
      <c r="BY37" t="s">
        <v>651</v>
      </c>
    </row>
    <row r="38" spans="1:77" hidden="1" x14ac:dyDescent="0.35">
      <c r="A38" t="s">
        <v>650</v>
      </c>
      <c r="B38" s="22">
        <v>45199</v>
      </c>
      <c r="C38">
        <v>2023</v>
      </c>
      <c r="D38" t="s">
        <v>214</v>
      </c>
      <c r="E38" t="s">
        <v>213</v>
      </c>
      <c r="F38" s="10"/>
      <c r="G38" s="10">
        <v>8720574</v>
      </c>
      <c r="H38" s="41">
        <v>22.34</v>
      </c>
      <c r="I38" s="10"/>
      <c r="J38" s="10"/>
      <c r="K38" s="10"/>
      <c r="L38" s="10">
        <v>8804106</v>
      </c>
      <c r="M38" s="10">
        <v>22.12</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K38" s="10"/>
      <c r="BL38" s="10"/>
      <c r="BM38" s="10"/>
      <c r="BN38" s="41">
        <v>2023</v>
      </c>
      <c r="BO38" s="10"/>
      <c r="BP38" s="10"/>
      <c r="BQ38" s="10"/>
      <c r="BR38" s="10"/>
      <c r="BS38" s="10"/>
      <c r="BT38" s="10"/>
      <c r="BU38" s="10"/>
      <c r="BV38" s="10"/>
      <c r="BW38" s="10"/>
      <c r="BX38" s="10"/>
      <c r="BY38" t="s">
        <v>651</v>
      </c>
    </row>
    <row r="39" spans="1:77" hidden="1" x14ac:dyDescent="0.35">
      <c r="A39" t="s">
        <v>650</v>
      </c>
      <c r="B39" s="22">
        <v>45291</v>
      </c>
      <c r="C39">
        <v>2023</v>
      </c>
      <c r="D39" t="s">
        <v>214</v>
      </c>
      <c r="E39" t="s">
        <v>213</v>
      </c>
      <c r="F39" s="10"/>
      <c r="G39" s="10">
        <v>8592179</v>
      </c>
      <c r="H39" s="41">
        <v>19.95</v>
      </c>
      <c r="I39" s="10"/>
      <c r="J39" s="10"/>
      <c r="K39" s="10"/>
      <c r="L39" s="10">
        <v>8677840</v>
      </c>
      <c r="M39" s="10">
        <v>19.739999999999998</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K39" s="10"/>
      <c r="BL39" s="10"/>
      <c r="BM39" s="10"/>
      <c r="BN39" s="41">
        <v>2023</v>
      </c>
      <c r="BO39" s="10"/>
      <c r="BP39" s="10"/>
      <c r="BQ39" s="10"/>
      <c r="BR39" s="10"/>
      <c r="BS39" s="10"/>
      <c r="BT39" s="10"/>
      <c r="BU39" s="10"/>
      <c r="BV39" s="10"/>
      <c r="BW39" s="10"/>
      <c r="BX39" s="10"/>
      <c r="BY39" t="s">
        <v>651</v>
      </c>
    </row>
    <row r="40" spans="1:77" x14ac:dyDescent="0.35">
      <c r="A40" t="s">
        <v>650</v>
      </c>
      <c r="B40" s="22">
        <v>45382</v>
      </c>
      <c r="C40">
        <v>2024</v>
      </c>
      <c r="D40" t="s">
        <v>212</v>
      </c>
      <c r="E40" t="s">
        <v>213</v>
      </c>
      <c r="F40" s="10"/>
      <c r="G40" s="10">
        <v>8506673</v>
      </c>
      <c r="H40" s="41">
        <v>18.55</v>
      </c>
      <c r="I40" s="10">
        <v>1367890000</v>
      </c>
      <c r="J40" s="10"/>
      <c r="K40" s="10"/>
      <c r="L40" s="10">
        <v>8591911</v>
      </c>
      <c r="M40" s="10">
        <v>18.37</v>
      </c>
      <c r="N40" s="10">
        <v>157817000</v>
      </c>
      <c r="O40" s="10">
        <v>200829000</v>
      </c>
      <c r="P40" s="10">
        <v>219354000</v>
      </c>
      <c r="Q40" s="10"/>
      <c r="R40" s="10"/>
      <c r="S40" s="10"/>
      <c r="T40" s="10"/>
      <c r="U40" s="10">
        <v>426902000</v>
      </c>
      <c r="V40" s="10">
        <v>1649000</v>
      </c>
      <c r="W40" s="10">
        <v>1649000</v>
      </c>
      <c r="X40" s="10">
        <v>20998000</v>
      </c>
      <c r="Y40" s="10">
        <v>20998000</v>
      </c>
      <c r="Z40" s="10">
        <v>-88000</v>
      </c>
      <c r="AA40" s="10">
        <v>157817000</v>
      </c>
      <c r="AB40" s="10">
        <v>157817000</v>
      </c>
      <c r="AC40" s="10">
        <v>157905000</v>
      </c>
      <c r="AD40" s="10">
        <v>157817000</v>
      </c>
      <c r="AE40" s="10">
        <v>157817000</v>
      </c>
      <c r="AF40" s="10">
        <v>157905000</v>
      </c>
      <c r="AG40" s="10">
        <v>19349000</v>
      </c>
      <c r="AH40" s="10">
        <v>19349000</v>
      </c>
      <c r="AI40" s="10">
        <v>219354000</v>
      </c>
      <c r="AJ40" s="10">
        <v>157817000</v>
      </c>
      <c r="AK40" s="10">
        <v>247920000</v>
      </c>
      <c r="AL40" s="10">
        <v>178982000</v>
      </c>
      <c r="AM40" s="10">
        <v>1794792000</v>
      </c>
      <c r="AN40" s="10"/>
      <c r="AO40" s="10">
        <v>849000</v>
      </c>
      <c r="AP40" s="10">
        <v>849000</v>
      </c>
      <c r="AQ40" s="10"/>
      <c r="AR40" s="10"/>
      <c r="AS40" s="10">
        <v>199180000</v>
      </c>
      <c r="AT40" s="10">
        <v>1367890000</v>
      </c>
      <c r="AU40" s="10">
        <v>18525000</v>
      </c>
      <c r="AV40" s="10"/>
      <c r="AW40" s="10"/>
      <c r="AX40" s="10">
        <v>247920000</v>
      </c>
      <c r="AY40" s="10"/>
      <c r="AZ40" s="10">
        <v>0</v>
      </c>
      <c r="BA40" s="10">
        <v>41275000</v>
      </c>
      <c r="BB40" s="10">
        <v>0.20699999999999999</v>
      </c>
      <c r="BC40" s="10">
        <v>1615810000</v>
      </c>
      <c r="BD40" s="10">
        <v>178982000</v>
      </c>
      <c r="BE40" s="10">
        <v>1794792000</v>
      </c>
      <c r="BF40" s="10"/>
      <c r="BG40" s="10"/>
      <c r="BH40" s="10"/>
      <c r="BI40" s="10"/>
      <c r="BK40" s="10"/>
      <c r="BL40" s="10"/>
      <c r="BM40" s="10"/>
      <c r="BN40" s="41">
        <v>2024</v>
      </c>
      <c r="BO40" s="10"/>
      <c r="BP40" s="10"/>
      <c r="BQ40" s="10"/>
      <c r="BR40" s="10"/>
      <c r="BS40" s="10"/>
      <c r="BT40" s="10"/>
      <c r="BU40" s="10"/>
      <c r="BV40" s="10"/>
      <c r="BW40" s="10"/>
      <c r="BX40" s="10"/>
      <c r="BY40" t="s">
        <v>651</v>
      </c>
    </row>
    <row r="41" spans="1:77" hidden="1" x14ac:dyDescent="0.35">
      <c r="A41" t="s">
        <v>650</v>
      </c>
      <c r="B41" s="22">
        <v>45473</v>
      </c>
      <c r="C41">
        <v>2024</v>
      </c>
      <c r="D41" t="s">
        <v>214</v>
      </c>
      <c r="E41" t="s">
        <v>213</v>
      </c>
      <c r="F41" s="10"/>
      <c r="G41" s="10">
        <v>8410684</v>
      </c>
      <c r="H41" s="41">
        <v>17.350000000000001</v>
      </c>
      <c r="I41" s="10">
        <v>1384091000</v>
      </c>
      <c r="J41" s="10"/>
      <c r="K41" s="10"/>
      <c r="L41" s="10">
        <v>8495454</v>
      </c>
      <c r="M41" s="10">
        <v>17.190000000000001</v>
      </c>
      <c r="N41" s="10">
        <v>145889000</v>
      </c>
      <c r="O41" s="10">
        <v>183837000</v>
      </c>
      <c r="P41" s="10">
        <v>202557000</v>
      </c>
      <c r="Q41" s="10"/>
      <c r="R41" s="10"/>
      <c r="S41" s="10"/>
      <c r="T41" s="10"/>
      <c r="U41" s="10">
        <v>412425000</v>
      </c>
      <c r="V41" s="10">
        <v>1473000</v>
      </c>
      <c r="W41" s="10">
        <v>1473000</v>
      </c>
      <c r="X41" s="10">
        <v>21891000</v>
      </c>
      <c r="Y41" s="10">
        <v>21891000</v>
      </c>
      <c r="Z41" s="10">
        <v>-34000</v>
      </c>
      <c r="AA41" s="10">
        <v>145889000</v>
      </c>
      <c r="AB41" s="10">
        <v>145889000</v>
      </c>
      <c r="AC41" s="10">
        <v>145923000</v>
      </c>
      <c r="AD41" s="10">
        <v>145889000</v>
      </c>
      <c r="AE41" s="10">
        <v>145889000</v>
      </c>
      <c r="AF41" s="10">
        <v>145923000</v>
      </c>
      <c r="AG41" s="10">
        <v>20418000</v>
      </c>
      <c r="AH41" s="10">
        <v>20418000</v>
      </c>
      <c r="AI41" s="10">
        <v>202557000</v>
      </c>
      <c r="AJ41" s="10">
        <v>145889000</v>
      </c>
      <c r="AK41" s="10">
        <v>251091000</v>
      </c>
      <c r="AL41" s="10">
        <v>161334000</v>
      </c>
      <c r="AM41" s="10">
        <v>1796516000</v>
      </c>
      <c r="AN41" s="10"/>
      <c r="AO41" s="10">
        <v>612000</v>
      </c>
      <c r="AP41" s="10">
        <v>612000</v>
      </c>
      <c r="AQ41" s="10"/>
      <c r="AR41" s="10"/>
      <c r="AS41" s="10">
        <v>182364000</v>
      </c>
      <c r="AT41" s="10">
        <v>1384091000</v>
      </c>
      <c r="AU41" s="10">
        <v>18720000</v>
      </c>
      <c r="AV41" s="10"/>
      <c r="AW41" s="10"/>
      <c r="AX41" s="10">
        <v>251091000</v>
      </c>
      <c r="AY41" s="10"/>
      <c r="AZ41" s="10">
        <v>0</v>
      </c>
      <c r="BA41" s="10">
        <v>36441000</v>
      </c>
      <c r="BB41" s="10">
        <v>0.199826</v>
      </c>
      <c r="BC41" s="10">
        <v>1635182000</v>
      </c>
      <c r="BD41" s="10">
        <v>161334000</v>
      </c>
      <c r="BE41" s="10">
        <v>1796516000</v>
      </c>
      <c r="BF41" s="10"/>
      <c r="BG41" s="10"/>
      <c r="BH41" s="10"/>
      <c r="BI41" s="10"/>
      <c r="BK41" s="10"/>
      <c r="BL41" s="10"/>
      <c r="BM41" s="10"/>
      <c r="BN41" s="41">
        <v>2024</v>
      </c>
      <c r="BO41" s="10"/>
      <c r="BP41" s="10"/>
      <c r="BQ41" s="10"/>
      <c r="BR41" s="10"/>
      <c r="BS41" s="10"/>
      <c r="BT41" s="10"/>
      <c r="BU41" s="10"/>
      <c r="BV41" s="10"/>
      <c r="BW41" s="10"/>
      <c r="BX41" s="10"/>
      <c r="BY41" t="s">
        <v>651</v>
      </c>
    </row>
    <row r="42" spans="1:77" x14ac:dyDescent="0.35">
      <c r="A42" t="s">
        <v>652</v>
      </c>
      <c r="B42" s="22">
        <v>44227</v>
      </c>
      <c r="C42">
        <v>2021</v>
      </c>
      <c r="D42" t="s">
        <v>212</v>
      </c>
      <c r="E42" t="s">
        <v>213</v>
      </c>
      <c r="F42" s="10"/>
      <c r="G42" s="10">
        <v>48755000</v>
      </c>
      <c r="H42" s="41">
        <v>2.67</v>
      </c>
      <c r="I42" s="10">
        <v>500610000</v>
      </c>
      <c r="J42" s="10"/>
      <c r="K42" s="10"/>
      <c r="L42" s="10">
        <v>49013000</v>
      </c>
      <c r="M42" s="10">
        <v>2.66</v>
      </c>
      <c r="N42" s="10">
        <v>130139000</v>
      </c>
      <c r="O42" s="10">
        <v>168022000</v>
      </c>
      <c r="P42" s="10">
        <v>188885000</v>
      </c>
      <c r="Q42" s="10"/>
      <c r="R42" s="10"/>
      <c r="S42" s="10"/>
      <c r="T42" s="10">
        <v>41488000</v>
      </c>
      <c r="U42" s="10">
        <v>400668000</v>
      </c>
      <c r="V42" s="10"/>
      <c r="W42" s="10"/>
      <c r="X42" s="10"/>
      <c r="Y42" s="10"/>
      <c r="Z42" s="10"/>
      <c r="AA42" s="10">
        <v>130139000</v>
      </c>
      <c r="AB42" s="10">
        <v>130139000</v>
      </c>
      <c r="AC42" s="10">
        <v>130139000</v>
      </c>
      <c r="AD42" s="10">
        <v>130139000</v>
      </c>
      <c r="AE42" s="10">
        <v>130139000</v>
      </c>
      <c r="AF42" s="10">
        <v>130139000</v>
      </c>
      <c r="AG42" s="10"/>
      <c r="AH42" s="10"/>
      <c r="AI42" s="10">
        <v>188885000</v>
      </c>
      <c r="AJ42" s="10">
        <v>130139000</v>
      </c>
      <c r="AK42" s="10">
        <v>232646000</v>
      </c>
      <c r="AL42" s="10">
        <v>168022000</v>
      </c>
      <c r="AM42" s="10">
        <v>901278000</v>
      </c>
      <c r="AN42" s="10">
        <v>41488000</v>
      </c>
      <c r="AO42" s="10">
        <v>2925000</v>
      </c>
      <c r="AP42" s="10">
        <v>2925000</v>
      </c>
      <c r="AQ42" s="10"/>
      <c r="AR42" s="10"/>
      <c r="AS42" s="10">
        <v>170947000</v>
      </c>
      <c r="AT42" s="10">
        <v>500610000</v>
      </c>
      <c r="AU42" s="10">
        <v>20863000</v>
      </c>
      <c r="AV42" s="10"/>
      <c r="AW42" s="10">
        <v>191158000</v>
      </c>
      <c r="AX42" s="10">
        <v>232646000</v>
      </c>
      <c r="AY42" s="10"/>
      <c r="AZ42" s="10">
        <v>0</v>
      </c>
      <c r="BA42" s="10">
        <v>40808000</v>
      </c>
      <c r="BB42" s="10">
        <v>0.23899999999999999</v>
      </c>
      <c r="BC42" s="10">
        <v>733256000</v>
      </c>
      <c r="BD42" s="10">
        <v>168022000</v>
      </c>
      <c r="BE42" s="10">
        <v>901278000</v>
      </c>
      <c r="BF42" s="10"/>
      <c r="BG42" s="10"/>
      <c r="BH42" s="10"/>
      <c r="BI42" s="10"/>
      <c r="BK42" s="10"/>
      <c r="BL42" s="10"/>
      <c r="BM42" s="10"/>
      <c r="BN42" s="41">
        <v>2021</v>
      </c>
      <c r="BO42" s="10"/>
      <c r="BP42" s="10"/>
      <c r="BQ42" s="10"/>
      <c r="BR42" s="10"/>
      <c r="BS42" s="10"/>
      <c r="BT42" s="10"/>
      <c r="BU42" s="10"/>
      <c r="BV42" s="10"/>
      <c r="BW42" s="10"/>
      <c r="BX42" s="10"/>
      <c r="BY42" t="s">
        <v>653</v>
      </c>
    </row>
    <row r="43" spans="1:77" x14ac:dyDescent="0.35">
      <c r="A43" t="s">
        <v>652</v>
      </c>
      <c r="B43" s="22">
        <v>44592</v>
      </c>
      <c r="C43">
        <v>2022</v>
      </c>
      <c r="D43" t="s">
        <v>212</v>
      </c>
      <c r="E43" t="s">
        <v>213</v>
      </c>
      <c r="F43" s="10"/>
      <c r="G43" s="10">
        <v>48994000</v>
      </c>
      <c r="H43" s="41">
        <v>5.2</v>
      </c>
      <c r="I43" s="10">
        <v>641598000</v>
      </c>
      <c r="J43" s="10"/>
      <c r="K43" s="10"/>
      <c r="L43" s="10">
        <v>49385000</v>
      </c>
      <c r="M43" s="10">
        <v>5.16</v>
      </c>
      <c r="N43" s="10">
        <v>254820000</v>
      </c>
      <c r="O43" s="10">
        <v>335499000</v>
      </c>
      <c r="P43" s="10">
        <v>354188000</v>
      </c>
      <c r="Q43" s="10"/>
      <c r="R43" s="10"/>
      <c r="S43" s="10"/>
      <c r="T43" s="10">
        <v>51086000</v>
      </c>
      <c r="U43" s="10">
        <v>653009000</v>
      </c>
      <c r="V43" s="10"/>
      <c r="W43" s="10"/>
      <c r="X43" s="10"/>
      <c r="Y43" s="10"/>
      <c r="Z43" s="10"/>
      <c r="AA43" s="10">
        <v>254820000</v>
      </c>
      <c r="AB43" s="10">
        <v>254820000</v>
      </c>
      <c r="AC43" s="10">
        <v>254820000</v>
      </c>
      <c r="AD43" s="10">
        <v>254820000</v>
      </c>
      <c r="AE43" s="10">
        <v>254820000</v>
      </c>
      <c r="AF43" s="10">
        <v>254820000</v>
      </c>
      <c r="AG43" s="10"/>
      <c r="AH43" s="10"/>
      <c r="AI43" s="10">
        <v>354188000</v>
      </c>
      <c r="AJ43" s="10">
        <v>254820000</v>
      </c>
      <c r="AK43" s="10">
        <v>317510000</v>
      </c>
      <c r="AL43" s="10">
        <v>335499000</v>
      </c>
      <c r="AM43" s="10">
        <v>1294607000</v>
      </c>
      <c r="AN43" s="10">
        <v>51086000</v>
      </c>
      <c r="AO43" s="10">
        <v>2256000</v>
      </c>
      <c r="AP43" s="10">
        <v>2256000</v>
      </c>
      <c r="AQ43" s="10"/>
      <c r="AR43" s="10"/>
      <c r="AS43" s="10">
        <v>337755000</v>
      </c>
      <c r="AT43" s="10">
        <v>641598000</v>
      </c>
      <c r="AU43" s="10">
        <v>18689000</v>
      </c>
      <c r="AV43" s="10"/>
      <c r="AW43" s="10">
        <v>266424000</v>
      </c>
      <c r="AX43" s="10">
        <v>317510000</v>
      </c>
      <c r="AY43" s="10"/>
      <c r="AZ43" s="10">
        <v>0</v>
      </c>
      <c r="BA43" s="10">
        <v>82935000</v>
      </c>
      <c r="BB43" s="10">
        <v>0.246</v>
      </c>
      <c r="BC43" s="10">
        <v>959108000</v>
      </c>
      <c r="BD43" s="10">
        <v>335499000</v>
      </c>
      <c r="BE43" s="10">
        <v>1294607000</v>
      </c>
      <c r="BF43" s="10"/>
      <c r="BG43" s="10"/>
      <c r="BH43" s="10"/>
      <c r="BI43" s="10"/>
      <c r="BK43" s="10"/>
      <c r="BL43" s="10"/>
      <c r="BM43" s="10"/>
      <c r="BN43" s="41">
        <v>2022</v>
      </c>
      <c r="BO43" s="10"/>
      <c r="BP43" s="10"/>
      <c r="BQ43" s="10"/>
      <c r="BR43" s="10"/>
      <c r="BS43" s="10"/>
      <c r="BT43" s="10"/>
      <c r="BU43" s="10"/>
      <c r="BV43" s="10"/>
      <c r="BW43" s="10"/>
      <c r="BX43" s="10"/>
      <c r="BY43" t="s">
        <v>653</v>
      </c>
    </row>
    <row r="44" spans="1:77" x14ac:dyDescent="0.35">
      <c r="A44" t="s">
        <v>652</v>
      </c>
      <c r="B44" s="22">
        <v>44957</v>
      </c>
      <c r="C44">
        <v>2023</v>
      </c>
      <c r="D44" t="s">
        <v>212</v>
      </c>
      <c r="E44" t="s">
        <v>213</v>
      </c>
      <c r="F44" s="10"/>
      <c r="G44" s="10">
        <v>49269000</v>
      </c>
      <c r="H44" s="41">
        <v>5.17</v>
      </c>
      <c r="I44" s="10">
        <v>669184000</v>
      </c>
      <c r="J44" s="10"/>
      <c r="K44" s="10"/>
      <c r="L44" s="10">
        <v>49631000</v>
      </c>
      <c r="M44" s="10">
        <v>5.13</v>
      </c>
      <c r="N44" s="10">
        <v>254626000</v>
      </c>
      <c r="O44" s="10">
        <v>328132000</v>
      </c>
      <c r="P44" s="10">
        <v>346987000</v>
      </c>
      <c r="Q44" s="10"/>
      <c r="R44" s="10"/>
      <c r="S44" s="10"/>
      <c r="T44" s="10">
        <v>53980000</v>
      </c>
      <c r="U44" s="10">
        <v>676003000</v>
      </c>
      <c r="V44" s="10"/>
      <c r="W44" s="10"/>
      <c r="X44" s="10"/>
      <c r="Y44" s="10"/>
      <c r="Z44" s="10"/>
      <c r="AA44" s="10">
        <v>254626000</v>
      </c>
      <c r="AB44" s="10">
        <v>254626000</v>
      </c>
      <c r="AC44" s="10">
        <v>254626000</v>
      </c>
      <c r="AD44" s="10">
        <v>254626000</v>
      </c>
      <c r="AE44" s="10">
        <v>254626000</v>
      </c>
      <c r="AF44" s="10">
        <v>254626000</v>
      </c>
      <c r="AG44" s="10"/>
      <c r="AH44" s="10"/>
      <c r="AI44" s="10">
        <v>346987000</v>
      </c>
      <c r="AJ44" s="10">
        <v>254626000</v>
      </c>
      <c r="AK44" s="10">
        <v>347871000</v>
      </c>
      <c r="AL44" s="10">
        <v>328132000</v>
      </c>
      <c r="AM44" s="10">
        <v>1345187000</v>
      </c>
      <c r="AN44" s="10">
        <v>53980000</v>
      </c>
      <c r="AO44" s="10">
        <v>6924000</v>
      </c>
      <c r="AP44" s="10">
        <v>6924000</v>
      </c>
      <c r="AQ44" s="10"/>
      <c r="AR44" s="10"/>
      <c r="AS44" s="10">
        <v>335056000</v>
      </c>
      <c r="AT44" s="10">
        <v>669184000</v>
      </c>
      <c r="AU44" s="10">
        <v>18855000</v>
      </c>
      <c r="AV44" s="10"/>
      <c r="AW44" s="10">
        <v>293891000</v>
      </c>
      <c r="AX44" s="10">
        <v>347871000</v>
      </c>
      <c r="AY44" s="10"/>
      <c r="AZ44" s="10">
        <v>0</v>
      </c>
      <c r="BA44" s="10">
        <v>80430000</v>
      </c>
      <c r="BB44" s="10">
        <v>0.24</v>
      </c>
      <c r="BC44" s="10">
        <v>1017055000</v>
      </c>
      <c r="BD44" s="10">
        <v>328132000</v>
      </c>
      <c r="BE44" s="10">
        <v>1345187000</v>
      </c>
      <c r="BF44" s="10"/>
      <c r="BG44" s="10"/>
      <c r="BH44" s="10"/>
      <c r="BI44" s="10"/>
      <c r="BK44" s="10"/>
      <c r="BL44" s="10"/>
      <c r="BM44" s="10"/>
      <c r="BN44" s="41">
        <v>2023</v>
      </c>
      <c r="BO44" s="10"/>
      <c r="BP44" s="10"/>
      <c r="BQ44" s="10"/>
      <c r="BR44" s="10"/>
      <c r="BS44" s="10"/>
      <c r="BT44" s="10"/>
      <c r="BU44" s="10"/>
      <c r="BV44" s="10"/>
      <c r="BW44" s="10"/>
      <c r="BX44" s="10"/>
      <c r="BY44" t="s">
        <v>653</v>
      </c>
    </row>
    <row r="45" spans="1:77" hidden="1" x14ac:dyDescent="0.35">
      <c r="A45" t="s">
        <v>652</v>
      </c>
      <c r="B45" s="22">
        <v>45230</v>
      </c>
      <c r="C45">
        <v>2023</v>
      </c>
      <c r="D45" t="s">
        <v>214</v>
      </c>
      <c r="E45" t="s">
        <v>213</v>
      </c>
      <c r="F45" s="10"/>
      <c r="G45" s="10">
        <v>49493250</v>
      </c>
      <c r="H45" s="41">
        <v>4.6100000000000003</v>
      </c>
      <c r="I45" s="10"/>
      <c r="J45" s="10"/>
      <c r="K45" s="10"/>
      <c r="L45" s="10">
        <v>49882250</v>
      </c>
      <c r="M45" s="10">
        <v>4.57</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K45" s="10"/>
      <c r="BL45" s="10"/>
      <c r="BM45" s="10"/>
      <c r="BN45" s="41">
        <v>2023</v>
      </c>
      <c r="BO45" s="10"/>
      <c r="BP45" s="10"/>
      <c r="BQ45" s="10"/>
      <c r="BR45" s="10"/>
      <c r="BS45" s="10"/>
      <c r="BT45" s="10"/>
      <c r="BU45" s="10"/>
      <c r="BV45" s="10"/>
      <c r="BW45" s="10"/>
      <c r="BX45" s="10"/>
      <c r="BY45" t="s">
        <v>653</v>
      </c>
    </row>
    <row r="46" spans="1:77" x14ac:dyDescent="0.35">
      <c r="A46" t="s">
        <v>652</v>
      </c>
      <c r="B46" s="22">
        <v>45322</v>
      </c>
      <c r="C46">
        <v>2024</v>
      </c>
      <c r="D46" t="s">
        <v>212</v>
      </c>
      <c r="E46" t="s">
        <v>213</v>
      </c>
      <c r="F46" s="10"/>
      <c r="G46" s="10">
        <v>49582000</v>
      </c>
      <c r="H46" s="41">
        <v>4.4400000000000004</v>
      </c>
      <c r="I46" s="10">
        <v>642037000</v>
      </c>
      <c r="J46" s="10"/>
      <c r="K46" s="10"/>
      <c r="L46" s="10">
        <v>49955000</v>
      </c>
      <c r="M46" s="10">
        <v>4.4000000000000004</v>
      </c>
      <c r="N46" s="10">
        <v>219919000</v>
      </c>
      <c r="O46" s="10">
        <v>271059000</v>
      </c>
      <c r="P46" s="10">
        <v>291889000</v>
      </c>
      <c r="Q46" s="10"/>
      <c r="R46" s="10"/>
      <c r="S46" s="10"/>
      <c r="T46" s="10">
        <v>56988000</v>
      </c>
      <c r="U46" s="10">
        <v>619065000</v>
      </c>
      <c r="V46" s="10"/>
      <c r="W46" s="10"/>
      <c r="X46" s="10"/>
      <c r="Y46" s="10"/>
      <c r="Z46" s="10"/>
      <c r="AA46" s="10">
        <v>219919000</v>
      </c>
      <c r="AB46" s="10">
        <v>219919000</v>
      </c>
      <c r="AC46" s="10">
        <v>219919000</v>
      </c>
      <c r="AD46" s="10">
        <v>219919000</v>
      </c>
      <c r="AE46" s="10">
        <v>219919000</v>
      </c>
      <c r="AF46" s="10">
        <v>219919000</v>
      </c>
      <c r="AG46" s="10"/>
      <c r="AH46" s="10"/>
      <c r="AI46" s="10">
        <v>291889000</v>
      </c>
      <c r="AJ46" s="10">
        <v>219919000</v>
      </c>
      <c r="AK46" s="10">
        <v>348006000</v>
      </c>
      <c r="AL46" s="10">
        <v>271059000</v>
      </c>
      <c r="AM46" s="10">
        <v>1261102000</v>
      </c>
      <c r="AN46" s="10">
        <v>56988000</v>
      </c>
      <c r="AO46" s="10">
        <v>18156000</v>
      </c>
      <c r="AP46" s="10">
        <v>18156000</v>
      </c>
      <c r="AQ46" s="10"/>
      <c r="AR46" s="10"/>
      <c r="AS46" s="10">
        <v>289215000</v>
      </c>
      <c r="AT46" s="10">
        <v>642037000</v>
      </c>
      <c r="AU46" s="10">
        <v>20830000</v>
      </c>
      <c r="AV46" s="10"/>
      <c r="AW46" s="10">
        <v>291018000</v>
      </c>
      <c r="AX46" s="10">
        <v>348006000</v>
      </c>
      <c r="AY46" s="10"/>
      <c r="AZ46" s="10">
        <v>0</v>
      </c>
      <c r="BA46" s="10">
        <v>69296000</v>
      </c>
      <c r="BB46" s="10">
        <v>0.24</v>
      </c>
      <c r="BC46" s="10">
        <v>990043000</v>
      </c>
      <c r="BD46" s="10">
        <v>271059000</v>
      </c>
      <c r="BE46" s="10">
        <v>1261102000</v>
      </c>
      <c r="BF46" s="10"/>
      <c r="BG46" s="10"/>
      <c r="BH46" s="10"/>
      <c r="BI46" s="10"/>
      <c r="BK46" s="10"/>
      <c r="BL46" s="10"/>
      <c r="BM46" s="10"/>
      <c r="BN46" s="41">
        <v>2024</v>
      </c>
      <c r="BO46" s="10"/>
      <c r="BP46" s="10"/>
      <c r="BQ46" s="10"/>
      <c r="BR46" s="10"/>
      <c r="BS46" s="10"/>
      <c r="BT46" s="10"/>
      <c r="BU46" s="10"/>
      <c r="BV46" s="10"/>
      <c r="BW46" s="10"/>
      <c r="BX46" s="10"/>
      <c r="BY46" t="s">
        <v>653</v>
      </c>
    </row>
    <row r="47" spans="1:77" hidden="1" x14ac:dyDescent="0.35">
      <c r="A47" t="s">
        <v>652</v>
      </c>
      <c r="B47" s="22">
        <v>45322</v>
      </c>
      <c r="C47">
        <v>2024</v>
      </c>
      <c r="D47" t="s">
        <v>214</v>
      </c>
      <c r="E47" t="s">
        <v>213</v>
      </c>
      <c r="F47" s="10"/>
      <c r="G47" s="10">
        <v>49582000</v>
      </c>
      <c r="H47" s="41">
        <v>4.4400000000000004</v>
      </c>
      <c r="I47" s="10"/>
      <c r="J47" s="10"/>
      <c r="K47" s="10"/>
      <c r="L47" s="10">
        <v>49955000</v>
      </c>
      <c r="M47" s="10">
        <v>4.4000000000000004</v>
      </c>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K47" s="10"/>
      <c r="BL47" s="10"/>
      <c r="BM47" s="10"/>
      <c r="BN47" s="41">
        <v>2024</v>
      </c>
      <c r="BO47" s="10"/>
      <c r="BP47" s="10"/>
      <c r="BQ47" s="10"/>
      <c r="BR47" s="10"/>
      <c r="BS47" s="10"/>
      <c r="BT47" s="10"/>
      <c r="BU47" s="10"/>
      <c r="BV47" s="10"/>
      <c r="BW47" s="10"/>
      <c r="BX47" s="10"/>
      <c r="BY47" t="s">
        <v>653</v>
      </c>
    </row>
    <row r="48" spans="1:77" hidden="1" x14ac:dyDescent="0.35">
      <c r="A48" t="s">
        <v>652</v>
      </c>
      <c r="B48" s="22">
        <v>45412</v>
      </c>
      <c r="C48">
        <v>2024</v>
      </c>
      <c r="D48" t="s">
        <v>214</v>
      </c>
      <c r="E48" t="s">
        <v>213</v>
      </c>
      <c r="F48" s="10"/>
      <c r="G48" s="10">
        <v>49667250</v>
      </c>
      <c r="H48" s="41">
        <v>4.2699999999999996</v>
      </c>
      <c r="I48" s="10"/>
      <c r="J48" s="10"/>
      <c r="K48" s="10"/>
      <c r="L48" s="10">
        <v>50032750</v>
      </c>
      <c r="M48" s="10">
        <v>4.2300000000000004</v>
      </c>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K48" s="10"/>
      <c r="BL48" s="10"/>
      <c r="BM48" s="10"/>
      <c r="BN48" s="41">
        <v>2024</v>
      </c>
      <c r="BO48" s="10"/>
      <c r="BP48" s="10"/>
      <c r="BQ48" s="10"/>
      <c r="BR48" s="10"/>
      <c r="BS48" s="10"/>
      <c r="BT48" s="10"/>
      <c r="BU48" s="10"/>
      <c r="BV48" s="10"/>
      <c r="BW48" s="10"/>
      <c r="BX48" s="10"/>
      <c r="BY48" t="s">
        <v>653</v>
      </c>
    </row>
    <row r="49" spans="1:77" hidden="1" x14ac:dyDescent="0.35">
      <c r="A49" t="s">
        <v>652</v>
      </c>
      <c r="B49" s="22">
        <v>45504</v>
      </c>
      <c r="C49">
        <v>2024</v>
      </c>
      <c r="D49" t="s">
        <v>214</v>
      </c>
      <c r="E49" t="s">
        <v>213</v>
      </c>
      <c r="F49" s="10"/>
      <c r="G49" s="10">
        <v>49752500</v>
      </c>
      <c r="H49" s="41">
        <v>4.1399999999999997</v>
      </c>
      <c r="I49" s="10">
        <v>630085000</v>
      </c>
      <c r="J49" s="10"/>
      <c r="K49" s="10"/>
      <c r="L49" s="10">
        <v>50119500</v>
      </c>
      <c r="M49" s="10">
        <v>4.0999999999999996</v>
      </c>
      <c r="N49" s="10">
        <v>205441000</v>
      </c>
      <c r="O49" s="10">
        <v>251224000</v>
      </c>
      <c r="P49" s="10">
        <v>273233000</v>
      </c>
      <c r="Q49" s="10"/>
      <c r="R49" s="10"/>
      <c r="S49" s="10"/>
      <c r="T49" s="10">
        <v>58756000</v>
      </c>
      <c r="U49" s="10">
        <v>600627000</v>
      </c>
      <c r="V49" s="10"/>
      <c r="W49" s="10"/>
      <c r="X49" s="10"/>
      <c r="Y49" s="10"/>
      <c r="Z49" s="10"/>
      <c r="AA49" s="10">
        <v>205441000</v>
      </c>
      <c r="AB49" s="10">
        <v>205441000</v>
      </c>
      <c r="AC49" s="10">
        <v>205441000</v>
      </c>
      <c r="AD49" s="10">
        <v>205441000</v>
      </c>
      <c r="AE49" s="10">
        <v>205441000</v>
      </c>
      <c r="AF49" s="10">
        <v>205441000</v>
      </c>
      <c r="AG49" s="10"/>
      <c r="AH49" s="10"/>
      <c r="AI49" s="10">
        <v>273233000</v>
      </c>
      <c r="AJ49" s="10">
        <v>205441000</v>
      </c>
      <c r="AK49" s="10">
        <v>349403000</v>
      </c>
      <c r="AL49" s="10">
        <v>251224000</v>
      </c>
      <c r="AM49" s="10">
        <v>1230712000</v>
      </c>
      <c r="AN49" s="10">
        <v>58756000</v>
      </c>
      <c r="AO49" s="10">
        <v>18811000</v>
      </c>
      <c r="AP49" s="10">
        <v>18811000</v>
      </c>
      <c r="AQ49" s="10"/>
      <c r="AR49" s="10"/>
      <c r="AS49" s="10">
        <v>270035000</v>
      </c>
      <c r="AT49" s="10">
        <v>630085000</v>
      </c>
      <c r="AU49" s="10">
        <v>22009000</v>
      </c>
      <c r="AV49" s="10"/>
      <c r="AW49" s="10">
        <v>290647000</v>
      </c>
      <c r="AX49" s="10">
        <v>349403000</v>
      </c>
      <c r="AY49" s="10"/>
      <c r="AZ49" s="10">
        <v>0</v>
      </c>
      <c r="BA49" s="10">
        <v>64594000</v>
      </c>
      <c r="BB49" s="10">
        <v>0.239206</v>
      </c>
      <c r="BC49" s="10">
        <v>979488000</v>
      </c>
      <c r="BD49" s="10">
        <v>251224000</v>
      </c>
      <c r="BE49" s="10">
        <v>1230712000</v>
      </c>
      <c r="BF49" s="10"/>
      <c r="BG49" s="10"/>
      <c r="BH49" s="10"/>
      <c r="BI49" s="10"/>
      <c r="BK49" s="10"/>
      <c r="BL49" s="10"/>
      <c r="BM49" s="10"/>
      <c r="BN49" s="41">
        <v>2024</v>
      </c>
      <c r="BO49" s="10"/>
      <c r="BP49" s="10"/>
      <c r="BQ49" s="10"/>
      <c r="BR49" s="10"/>
      <c r="BS49" s="10"/>
      <c r="BT49" s="10"/>
      <c r="BU49" s="10"/>
      <c r="BV49" s="10"/>
      <c r="BW49" s="10"/>
      <c r="BX49" s="10"/>
      <c r="BY49" t="s">
        <v>653</v>
      </c>
    </row>
    <row r="50" spans="1:77" x14ac:dyDescent="0.35">
      <c r="A50" t="s">
        <v>654</v>
      </c>
      <c r="B50" s="22">
        <v>43830</v>
      </c>
      <c r="C50">
        <v>2019</v>
      </c>
      <c r="D50" t="s">
        <v>212</v>
      </c>
      <c r="E50" t="s">
        <v>213</v>
      </c>
      <c r="F50" s="10"/>
      <c r="G50" s="10"/>
      <c r="H50" s="41"/>
      <c r="I50" s="10">
        <v>8460000</v>
      </c>
      <c r="J50" s="10"/>
      <c r="K50" s="10"/>
      <c r="L50" s="10"/>
      <c r="M50" s="10"/>
      <c r="N50" s="10"/>
      <c r="O50" s="10"/>
      <c r="P50" s="10"/>
      <c r="Q50" s="10"/>
      <c r="R50" s="10"/>
      <c r="S50" s="10">
        <v>10000</v>
      </c>
      <c r="T50" s="10"/>
      <c r="U50" s="10">
        <v>271607000</v>
      </c>
      <c r="V50" s="10"/>
      <c r="W50" s="10"/>
      <c r="X50" s="10">
        <v>8121000</v>
      </c>
      <c r="Y50" s="10">
        <v>8121000</v>
      </c>
      <c r="Z50" s="10"/>
      <c r="AA50" s="10"/>
      <c r="AB50" s="10"/>
      <c r="AC50" s="10"/>
      <c r="AD50" s="10"/>
      <c r="AE50" s="10"/>
      <c r="AF50" s="10"/>
      <c r="AG50" s="10"/>
      <c r="AH50" s="10"/>
      <c r="AI50" s="10"/>
      <c r="AJ50" s="10"/>
      <c r="AK50" s="10"/>
      <c r="AL50" s="10"/>
      <c r="AM50" s="10"/>
      <c r="AN50" s="10"/>
      <c r="AO50" s="10"/>
      <c r="AP50" s="10"/>
      <c r="AQ50" s="10"/>
      <c r="AR50" s="10"/>
      <c r="AS50" s="10"/>
      <c r="AT50" s="10">
        <v>8460000</v>
      </c>
      <c r="AU50" s="10"/>
      <c r="AV50" s="10"/>
      <c r="AW50" s="10"/>
      <c r="AX50" s="10"/>
      <c r="AY50" s="10"/>
      <c r="AZ50" s="10"/>
      <c r="BA50" s="10"/>
      <c r="BB50" s="10"/>
      <c r="BC50" s="10"/>
      <c r="BD50" s="10"/>
      <c r="BE50" s="10"/>
      <c r="BF50" s="10"/>
      <c r="BG50" s="10"/>
      <c r="BH50" s="10"/>
      <c r="BI50" s="10"/>
      <c r="BJ50">
        <v>6721000</v>
      </c>
      <c r="BK50" s="10"/>
      <c r="BL50" s="10"/>
      <c r="BM50" s="10"/>
      <c r="BN50" s="41">
        <v>2019</v>
      </c>
      <c r="BO50" s="10"/>
      <c r="BP50" s="10"/>
      <c r="BQ50" s="10"/>
      <c r="BR50" s="10"/>
      <c r="BS50" s="10"/>
      <c r="BT50" s="10"/>
      <c r="BU50" s="10"/>
      <c r="BV50" s="10"/>
      <c r="BW50" s="10"/>
      <c r="BX50" s="10"/>
      <c r="BY50" t="s">
        <v>655</v>
      </c>
    </row>
    <row r="51" spans="1:77" x14ac:dyDescent="0.35">
      <c r="A51" t="s">
        <v>654</v>
      </c>
      <c r="B51" s="22">
        <v>44196</v>
      </c>
      <c r="C51">
        <v>2020</v>
      </c>
      <c r="D51" t="s">
        <v>212</v>
      </c>
      <c r="E51" t="s">
        <v>213</v>
      </c>
      <c r="F51" s="10"/>
      <c r="G51" s="10">
        <v>82840000</v>
      </c>
      <c r="H51" s="41">
        <v>1.77</v>
      </c>
      <c r="I51" s="10">
        <v>78357000</v>
      </c>
      <c r="J51" s="10">
        <v>58617000</v>
      </c>
      <c r="K51" s="10">
        <v>58617000</v>
      </c>
      <c r="L51" s="10">
        <v>83856000</v>
      </c>
      <c r="M51" s="10">
        <v>1.75</v>
      </c>
      <c r="N51" s="10">
        <v>146762000</v>
      </c>
      <c r="O51" s="10">
        <v>262367000</v>
      </c>
      <c r="P51" s="10">
        <v>437111000</v>
      </c>
      <c r="Q51" s="10"/>
      <c r="R51" s="10"/>
      <c r="S51" s="10">
        <v>-707000</v>
      </c>
      <c r="T51" s="10"/>
      <c r="U51" s="10">
        <v>813663000</v>
      </c>
      <c r="V51" s="10">
        <v>37873000</v>
      </c>
      <c r="W51" s="10">
        <v>37873000</v>
      </c>
      <c r="X51" s="10">
        <v>4040000</v>
      </c>
      <c r="Y51" s="10">
        <v>4040000</v>
      </c>
      <c r="Z51" s="10">
        <v>2966000</v>
      </c>
      <c r="AA51" s="10">
        <v>146762000</v>
      </c>
      <c r="AB51" s="10">
        <v>146762000</v>
      </c>
      <c r="AC51" s="10">
        <v>239806000</v>
      </c>
      <c r="AD51" s="10">
        <v>146762000</v>
      </c>
      <c r="AE51" s="10">
        <v>242772000</v>
      </c>
      <c r="AF51" s="10">
        <v>143796000</v>
      </c>
      <c r="AG51" s="10">
        <v>-37873000</v>
      </c>
      <c r="AH51" s="10">
        <v>-37873000</v>
      </c>
      <c r="AI51" s="10">
        <v>463378000</v>
      </c>
      <c r="AJ51" s="10">
        <v>261946910</v>
      </c>
      <c r="AK51" s="10">
        <v>230497000</v>
      </c>
      <c r="AL51" s="10">
        <v>285422000</v>
      </c>
      <c r="AM51" s="10">
        <v>515919000</v>
      </c>
      <c r="AN51" s="10"/>
      <c r="AO51" s="10">
        <v>-23055000</v>
      </c>
      <c r="AP51" s="10">
        <v>3212000</v>
      </c>
      <c r="AQ51" s="10"/>
      <c r="AR51" s="10"/>
      <c r="AS51" s="10">
        <v>224494000</v>
      </c>
      <c r="AT51" s="10">
        <v>78357000</v>
      </c>
      <c r="AU51" s="10">
        <v>174744000</v>
      </c>
      <c r="AV51" s="10">
        <v>35080000</v>
      </c>
      <c r="AW51" s="10"/>
      <c r="AX51" s="10">
        <v>136800000</v>
      </c>
      <c r="AY51" s="10">
        <v>-26267000</v>
      </c>
      <c r="AZ51" s="10">
        <v>-7092090</v>
      </c>
      <c r="BA51" s="10">
        <v>-15312000</v>
      </c>
      <c r="BB51" s="10">
        <v>0.27</v>
      </c>
      <c r="BC51" s="10">
        <v>230497000</v>
      </c>
      <c r="BD51" s="10">
        <v>267455000</v>
      </c>
      <c r="BE51" s="10">
        <v>515919000</v>
      </c>
      <c r="BF51" s="10">
        <v>-26267000</v>
      </c>
      <c r="BG51" s="10">
        <v>-26267000</v>
      </c>
      <c r="BH51" s="10"/>
      <c r="BI51" s="10">
        <v>-96010000</v>
      </c>
      <c r="BJ51">
        <v>17918000</v>
      </c>
      <c r="BK51" s="10"/>
      <c r="BL51" s="10"/>
      <c r="BM51" s="10"/>
      <c r="BN51" s="41">
        <v>2020</v>
      </c>
      <c r="BO51" s="10">
        <v>58617000</v>
      </c>
      <c r="BP51" s="10">
        <v>58617000</v>
      </c>
      <c r="BQ51" s="10">
        <v>26267000</v>
      </c>
      <c r="BR51" s="10"/>
      <c r="BS51" s="10"/>
      <c r="BT51" s="10"/>
      <c r="BU51" s="10"/>
      <c r="BV51" s="10"/>
      <c r="BW51" s="10"/>
      <c r="BX51" s="10"/>
      <c r="BY51" t="s">
        <v>655</v>
      </c>
    </row>
    <row r="52" spans="1:77" x14ac:dyDescent="0.35">
      <c r="A52" t="s">
        <v>654</v>
      </c>
      <c r="B52" s="22">
        <v>44561</v>
      </c>
      <c r="C52">
        <v>2021</v>
      </c>
      <c r="D52" t="s">
        <v>212</v>
      </c>
      <c r="E52" t="s">
        <v>213</v>
      </c>
      <c r="F52" s="10"/>
      <c r="G52" s="10">
        <v>104735000</v>
      </c>
      <c r="H52" s="41">
        <v>-0.53</v>
      </c>
      <c r="I52" s="10">
        <v>126758000</v>
      </c>
      <c r="J52" s="10">
        <v>98090000</v>
      </c>
      <c r="K52" s="10">
        <v>98090000</v>
      </c>
      <c r="L52" s="10">
        <v>104735000</v>
      </c>
      <c r="M52" s="10">
        <v>-0.53</v>
      </c>
      <c r="N52" s="10">
        <v>-55457000</v>
      </c>
      <c r="O52" s="10">
        <v>111784000</v>
      </c>
      <c r="P52" s="10">
        <v>338986000</v>
      </c>
      <c r="Q52" s="10"/>
      <c r="R52" s="10"/>
      <c r="S52" s="10"/>
      <c r="T52" s="10"/>
      <c r="U52" s="10">
        <v>750938000</v>
      </c>
      <c r="V52" s="10">
        <v>38973000</v>
      </c>
      <c r="W52" s="10">
        <v>38973000</v>
      </c>
      <c r="X52" s="10"/>
      <c r="Y52" s="10"/>
      <c r="Z52" s="10">
        <v>3456000</v>
      </c>
      <c r="AA52" s="10">
        <v>-55457000</v>
      </c>
      <c r="AB52" s="10">
        <v>-55457000</v>
      </c>
      <c r="AC52" s="10">
        <v>67983000</v>
      </c>
      <c r="AD52" s="10">
        <v>-55457000</v>
      </c>
      <c r="AE52" s="10">
        <v>71439000</v>
      </c>
      <c r="AF52" s="10">
        <v>-58913000</v>
      </c>
      <c r="AG52" s="10">
        <v>-38973000</v>
      </c>
      <c r="AH52" s="10">
        <v>-38973000</v>
      </c>
      <c r="AI52" s="10">
        <v>352270000</v>
      </c>
      <c r="AJ52" s="10">
        <v>83842155.731964007</v>
      </c>
      <c r="AK52" s="10">
        <v>266912000</v>
      </c>
      <c r="AL52" s="10">
        <v>124300000</v>
      </c>
      <c r="AM52" s="10">
        <v>391212000</v>
      </c>
      <c r="AN52" s="10"/>
      <c r="AO52" s="10">
        <v>-12516000</v>
      </c>
      <c r="AP52" s="10">
        <v>768000</v>
      </c>
      <c r="AQ52" s="10"/>
      <c r="AR52" s="10"/>
      <c r="AS52" s="10">
        <v>72811000</v>
      </c>
      <c r="AT52" s="10">
        <v>126758000</v>
      </c>
      <c r="AU52" s="10">
        <v>227202000</v>
      </c>
      <c r="AV52" s="10">
        <v>39608000</v>
      </c>
      <c r="AW52" s="10"/>
      <c r="AX52" s="10">
        <v>129214000</v>
      </c>
      <c r="AY52" s="10">
        <v>-13284000</v>
      </c>
      <c r="AZ52" s="10">
        <v>-880844.26803599996</v>
      </c>
      <c r="BA52" s="10">
        <v>4828000</v>
      </c>
      <c r="BB52" s="10">
        <v>6.6309000000000007E-2</v>
      </c>
      <c r="BC52" s="10">
        <v>266912000</v>
      </c>
      <c r="BD52" s="10">
        <v>119028000</v>
      </c>
      <c r="BE52" s="10">
        <v>391212000</v>
      </c>
      <c r="BF52" s="10">
        <v>-13284000</v>
      </c>
      <c r="BG52" s="10">
        <v>-13284000</v>
      </c>
      <c r="BH52" s="10"/>
      <c r="BI52" s="10">
        <v>-126896000</v>
      </c>
      <c r="BJ52">
        <v>23801000</v>
      </c>
      <c r="BK52" s="10"/>
      <c r="BL52" s="10"/>
      <c r="BM52" s="10"/>
      <c r="BN52" s="41">
        <v>2021</v>
      </c>
      <c r="BO52" s="10">
        <v>98090000</v>
      </c>
      <c r="BP52" s="10">
        <v>98090000</v>
      </c>
      <c r="BQ52" s="10">
        <v>13284000</v>
      </c>
      <c r="BR52" s="10"/>
      <c r="BS52" s="10"/>
      <c r="BT52" s="10"/>
      <c r="BU52" s="10"/>
      <c r="BV52" s="10"/>
      <c r="BW52" s="10"/>
      <c r="BX52" s="10"/>
      <c r="BY52" t="s">
        <v>655</v>
      </c>
    </row>
    <row r="53" spans="1:77" x14ac:dyDescent="0.35">
      <c r="A53" t="s">
        <v>654</v>
      </c>
      <c r="B53" s="22">
        <v>44926</v>
      </c>
      <c r="C53">
        <v>2022</v>
      </c>
      <c r="D53" t="s">
        <v>212</v>
      </c>
      <c r="E53" t="s">
        <v>213</v>
      </c>
      <c r="F53" s="10"/>
      <c r="G53" s="10">
        <v>104336000</v>
      </c>
      <c r="H53" s="41">
        <v>-2.84</v>
      </c>
      <c r="I53" s="10"/>
      <c r="J53" s="10">
        <v>97077000</v>
      </c>
      <c r="K53" s="10">
        <v>97077000</v>
      </c>
      <c r="L53" s="10">
        <v>107580000</v>
      </c>
      <c r="M53" s="10">
        <v>-2.84</v>
      </c>
      <c r="N53" s="10">
        <v>-295880000</v>
      </c>
      <c r="O53" s="10">
        <v>155107000</v>
      </c>
      <c r="P53" s="10">
        <v>315494000</v>
      </c>
      <c r="Q53" s="10"/>
      <c r="R53" s="10"/>
      <c r="S53" s="10"/>
      <c r="T53" s="10"/>
      <c r="U53" s="10"/>
      <c r="V53" s="10">
        <v>45335000</v>
      </c>
      <c r="W53" s="10">
        <v>45335000</v>
      </c>
      <c r="X53" s="10"/>
      <c r="Y53" s="10"/>
      <c r="Z53" s="10">
        <v>2706000</v>
      </c>
      <c r="AA53" s="10">
        <v>-295880000</v>
      </c>
      <c r="AB53" s="10">
        <v>-295880000</v>
      </c>
      <c r="AC53" s="10">
        <v>138392000</v>
      </c>
      <c r="AD53" s="10">
        <v>-295880000</v>
      </c>
      <c r="AE53" s="10">
        <v>141098000</v>
      </c>
      <c r="AF53" s="10">
        <v>-298586000</v>
      </c>
      <c r="AG53" s="10">
        <v>-45335000</v>
      </c>
      <c r="AH53" s="10">
        <v>-45335000</v>
      </c>
      <c r="AI53" s="10">
        <v>324081000</v>
      </c>
      <c r="AJ53" s="10">
        <v>147881730</v>
      </c>
      <c r="AK53" s="10">
        <v>277286000</v>
      </c>
      <c r="AL53" s="10">
        <v>161647000</v>
      </c>
      <c r="AM53" s="10">
        <v>438933000</v>
      </c>
      <c r="AN53" s="10"/>
      <c r="AO53" s="10">
        <v>-6540000</v>
      </c>
      <c r="AP53" s="10">
        <v>2047000</v>
      </c>
      <c r="AQ53" s="10"/>
      <c r="AR53" s="10"/>
      <c r="AS53" s="10">
        <v>109772000</v>
      </c>
      <c r="AT53" s="10"/>
      <c r="AU53" s="10">
        <v>160387000</v>
      </c>
      <c r="AV53" s="10">
        <v>44579000</v>
      </c>
      <c r="AW53" s="10"/>
      <c r="AX53" s="10">
        <v>135630000</v>
      </c>
      <c r="AY53" s="10">
        <v>-8587000</v>
      </c>
      <c r="AZ53" s="10">
        <v>-1803270</v>
      </c>
      <c r="BA53" s="10">
        <v>-28620000</v>
      </c>
      <c r="BB53" s="10">
        <v>0.21</v>
      </c>
      <c r="BC53" s="10">
        <v>277286000</v>
      </c>
      <c r="BD53" s="10">
        <v>153060000</v>
      </c>
      <c r="BE53" s="10">
        <v>438933000</v>
      </c>
      <c r="BF53" s="10">
        <v>-8587000</v>
      </c>
      <c r="BG53" s="10">
        <v>-8587000</v>
      </c>
      <c r="BH53" s="10"/>
      <c r="BI53" s="10">
        <v>-436978000</v>
      </c>
      <c r="BK53" s="10"/>
      <c r="BL53" s="10"/>
      <c r="BM53" s="10"/>
      <c r="BN53" s="41">
        <v>2022</v>
      </c>
      <c r="BO53" s="10">
        <v>97077000</v>
      </c>
      <c r="BP53" s="10">
        <v>97077000</v>
      </c>
      <c r="BQ53" s="10">
        <v>8587000</v>
      </c>
      <c r="BR53" s="10"/>
      <c r="BS53" s="10"/>
      <c r="BT53" s="10"/>
      <c r="BU53" s="10"/>
      <c r="BV53" s="10"/>
      <c r="BW53" s="10"/>
      <c r="BX53" s="10"/>
      <c r="BY53" t="s">
        <v>655</v>
      </c>
    </row>
    <row r="54" spans="1:77" hidden="1" x14ac:dyDescent="0.35">
      <c r="A54" t="s">
        <v>654</v>
      </c>
      <c r="B54" s="22">
        <v>45199</v>
      </c>
      <c r="C54">
        <v>2023</v>
      </c>
      <c r="D54" t="s">
        <v>214</v>
      </c>
      <c r="E54" t="s">
        <v>213</v>
      </c>
      <c r="F54" s="10"/>
      <c r="G54" s="10">
        <v>106028000</v>
      </c>
      <c r="H54" s="41">
        <v>-2.94</v>
      </c>
      <c r="I54" s="10"/>
      <c r="J54" s="10"/>
      <c r="K54" s="10"/>
      <c r="L54" s="10">
        <v>112938750</v>
      </c>
      <c r="M54" s="10">
        <v>-2.96</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K54" s="10"/>
      <c r="BL54" s="10"/>
      <c r="BM54" s="10"/>
      <c r="BN54" s="41">
        <v>2023</v>
      </c>
      <c r="BO54" s="10"/>
      <c r="BP54" s="10"/>
      <c r="BQ54" s="10"/>
      <c r="BR54" s="10"/>
      <c r="BS54" s="10"/>
      <c r="BT54" s="10"/>
      <c r="BU54" s="10"/>
      <c r="BV54" s="10"/>
      <c r="BW54" s="10"/>
      <c r="BX54" s="10"/>
      <c r="BY54" t="s">
        <v>655</v>
      </c>
    </row>
    <row r="55" spans="1:77" x14ac:dyDescent="0.35">
      <c r="A55" t="s">
        <v>654</v>
      </c>
      <c r="B55" s="22">
        <v>45291</v>
      </c>
      <c r="C55">
        <v>2023</v>
      </c>
      <c r="D55" t="s">
        <v>212</v>
      </c>
      <c r="E55" t="s">
        <v>213</v>
      </c>
      <c r="F55" s="10"/>
      <c r="G55" s="10">
        <v>106554000</v>
      </c>
      <c r="H55" s="41">
        <v>0.63</v>
      </c>
      <c r="I55" s="10"/>
      <c r="J55" s="10">
        <v>93735000</v>
      </c>
      <c r="K55" s="10">
        <v>93735000</v>
      </c>
      <c r="L55" s="10">
        <v>112849000</v>
      </c>
      <c r="M55" s="10">
        <v>0.6</v>
      </c>
      <c r="N55" s="10">
        <v>67372000</v>
      </c>
      <c r="O55" s="10">
        <v>142550000</v>
      </c>
      <c r="P55" s="10">
        <v>237824000</v>
      </c>
      <c r="Q55" s="10"/>
      <c r="R55" s="10"/>
      <c r="S55" s="10"/>
      <c r="T55" s="10"/>
      <c r="U55" s="10"/>
      <c r="V55" s="10">
        <v>62574000</v>
      </c>
      <c r="W55" s="10">
        <v>62574000</v>
      </c>
      <c r="X55" s="10"/>
      <c r="Y55" s="10"/>
      <c r="Z55" s="10">
        <v>0</v>
      </c>
      <c r="AA55" s="10">
        <v>67372000</v>
      </c>
      <c r="AB55" s="10">
        <v>67372000</v>
      </c>
      <c r="AC55" s="10">
        <v>67372000</v>
      </c>
      <c r="AD55" s="10">
        <v>67372000</v>
      </c>
      <c r="AE55" s="10">
        <v>67372000</v>
      </c>
      <c r="AF55" s="10">
        <v>67372000</v>
      </c>
      <c r="AG55" s="10">
        <v>-62574000</v>
      </c>
      <c r="AH55" s="10">
        <v>-62574000</v>
      </c>
      <c r="AI55" s="10">
        <v>247157000</v>
      </c>
      <c r="AJ55" s="10">
        <v>75230386</v>
      </c>
      <c r="AK55" s="10">
        <v>243225000</v>
      </c>
      <c r="AL55" s="10">
        <v>145563000</v>
      </c>
      <c r="AM55" s="10">
        <v>388788000</v>
      </c>
      <c r="AN55" s="10"/>
      <c r="AO55" s="10">
        <v>-3013000</v>
      </c>
      <c r="AP55" s="10">
        <v>6320000</v>
      </c>
      <c r="AQ55" s="10"/>
      <c r="AR55" s="10"/>
      <c r="AS55" s="10">
        <v>79976000</v>
      </c>
      <c r="AT55" s="10"/>
      <c r="AU55" s="10">
        <v>95274000</v>
      </c>
      <c r="AV55" s="10">
        <v>54264000</v>
      </c>
      <c r="AW55" s="10"/>
      <c r="AX55" s="10">
        <v>95226000</v>
      </c>
      <c r="AY55" s="10">
        <v>-9333000</v>
      </c>
      <c r="AZ55" s="10">
        <v>-1474614</v>
      </c>
      <c r="BA55" s="10">
        <v>12604000</v>
      </c>
      <c r="BB55" s="10">
        <v>0.158</v>
      </c>
      <c r="BC55" s="10">
        <v>243225000</v>
      </c>
      <c r="BD55" s="10">
        <v>136230000</v>
      </c>
      <c r="BE55" s="10">
        <v>388788000</v>
      </c>
      <c r="BF55" s="10">
        <v>-9333000</v>
      </c>
      <c r="BG55" s="10">
        <v>-9333000</v>
      </c>
      <c r="BH55" s="10"/>
      <c r="BI55" s="10">
        <v>0</v>
      </c>
      <c r="BK55" s="10"/>
      <c r="BL55" s="10"/>
      <c r="BM55" s="10"/>
      <c r="BN55" s="41">
        <v>2023</v>
      </c>
      <c r="BO55" s="10">
        <v>93735000</v>
      </c>
      <c r="BP55" s="10">
        <v>93735000</v>
      </c>
      <c r="BQ55" s="10">
        <v>9333000</v>
      </c>
      <c r="BR55" s="10"/>
      <c r="BS55" s="10"/>
      <c r="BT55" s="10"/>
      <c r="BU55" s="10"/>
      <c r="BV55" s="10"/>
      <c r="BW55" s="10"/>
      <c r="BX55" s="10"/>
      <c r="BY55" t="s">
        <v>655</v>
      </c>
    </row>
    <row r="56" spans="1:77" hidden="1" x14ac:dyDescent="0.35">
      <c r="A56" t="s">
        <v>654</v>
      </c>
      <c r="B56" s="22">
        <v>45291</v>
      </c>
      <c r="C56">
        <v>2023</v>
      </c>
      <c r="D56" t="s">
        <v>214</v>
      </c>
      <c r="E56" t="s">
        <v>213</v>
      </c>
      <c r="F56" s="10"/>
      <c r="G56" s="10">
        <v>106554000</v>
      </c>
      <c r="H56" s="41">
        <v>0.63</v>
      </c>
      <c r="I56" s="10"/>
      <c r="J56" s="10"/>
      <c r="K56" s="10"/>
      <c r="L56" s="10">
        <v>112849000</v>
      </c>
      <c r="M56" s="10">
        <v>0.6</v>
      </c>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K56" s="10"/>
      <c r="BL56" s="10"/>
      <c r="BM56" s="10"/>
      <c r="BN56" s="41">
        <v>2023</v>
      </c>
      <c r="BO56" s="10"/>
      <c r="BP56" s="10"/>
      <c r="BQ56" s="10"/>
      <c r="BR56" s="10"/>
      <c r="BS56" s="10"/>
      <c r="BT56" s="10"/>
      <c r="BU56" s="10"/>
      <c r="BV56" s="10"/>
      <c r="BW56" s="10"/>
      <c r="BX56" s="10"/>
      <c r="BY56" t="s">
        <v>655</v>
      </c>
    </row>
    <row r="57" spans="1:77" hidden="1" x14ac:dyDescent="0.35">
      <c r="A57" t="s">
        <v>654</v>
      </c>
      <c r="B57" s="22">
        <v>45382</v>
      </c>
      <c r="C57">
        <v>2024</v>
      </c>
      <c r="D57" t="s">
        <v>214</v>
      </c>
      <c r="E57" t="s">
        <v>213</v>
      </c>
      <c r="F57" s="10"/>
      <c r="G57" s="10">
        <v>107099000</v>
      </c>
      <c r="H57" s="41">
        <v>0.37</v>
      </c>
      <c r="I57" s="10"/>
      <c r="J57" s="10"/>
      <c r="K57" s="10"/>
      <c r="L57" s="10">
        <v>112731500</v>
      </c>
      <c r="M57" s="10">
        <v>0.35</v>
      </c>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K57" s="10"/>
      <c r="BL57" s="10"/>
      <c r="BM57" s="10"/>
      <c r="BN57" s="41">
        <v>2024</v>
      </c>
      <c r="BO57" s="10"/>
      <c r="BP57" s="10"/>
      <c r="BQ57" s="10"/>
      <c r="BR57" s="10"/>
      <c r="BS57" s="10"/>
      <c r="BT57" s="10"/>
      <c r="BU57" s="10"/>
      <c r="BV57" s="10"/>
      <c r="BW57" s="10"/>
      <c r="BX57" s="10"/>
      <c r="BY57" t="s">
        <v>655</v>
      </c>
    </row>
    <row r="58" spans="1:77" hidden="1" x14ac:dyDescent="0.35">
      <c r="A58" t="s">
        <v>654</v>
      </c>
      <c r="B58" s="22">
        <v>45473</v>
      </c>
      <c r="C58">
        <v>2024</v>
      </c>
      <c r="D58" t="s">
        <v>214</v>
      </c>
      <c r="E58" t="s">
        <v>213</v>
      </c>
      <c r="F58" s="10"/>
      <c r="G58" s="10">
        <v>107648500</v>
      </c>
      <c r="H58" s="41">
        <v>0.43</v>
      </c>
      <c r="I58" s="10"/>
      <c r="J58" s="10">
        <v>89583000</v>
      </c>
      <c r="K58" s="10">
        <v>89583000</v>
      </c>
      <c r="L58" s="10">
        <v>112675000</v>
      </c>
      <c r="M58" s="10">
        <v>0.41</v>
      </c>
      <c r="N58" s="10">
        <v>46213000</v>
      </c>
      <c r="O58" s="10">
        <v>111848000</v>
      </c>
      <c r="P58" s="10">
        <v>203211000</v>
      </c>
      <c r="Q58" s="10"/>
      <c r="R58" s="10"/>
      <c r="S58" s="10"/>
      <c r="T58" s="10"/>
      <c r="U58" s="10"/>
      <c r="V58" s="10">
        <v>58567000</v>
      </c>
      <c r="W58" s="10">
        <v>58567000</v>
      </c>
      <c r="X58" s="10"/>
      <c r="Y58" s="10"/>
      <c r="Z58" s="10"/>
      <c r="AA58" s="10">
        <v>46213000</v>
      </c>
      <c r="AB58" s="10">
        <v>46213000</v>
      </c>
      <c r="AC58" s="10">
        <v>46213000</v>
      </c>
      <c r="AD58" s="10">
        <v>46213000</v>
      </c>
      <c r="AE58" s="10">
        <v>46213000</v>
      </c>
      <c r="AF58" s="10">
        <v>46213000</v>
      </c>
      <c r="AG58" s="10">
        <v>-58567000</v>
      </c>
      <c r="AH58" s="10">
        <v>-58567000</v>
      </c>
      <c r="AI58" s="10">
        <v>215233000</v>
      </c>
      <c r="AJ58" s="10">
        <v>56640219.571704999</v>
      </c>
      <c r="AK58" s="10">
        <v>241060000</v>
      </c>
      <c r="AL58" s="10">
        <v>117959000</v>
      </c>
      <c r="AM58" s="10">
        <v>359019000</v>
      </c>
      <c r="AN58" s="10"/>
      <c r="AO58" s="10">
        <v>-6111000</v>
      </c>
      <c r="AP58" s="10">
        <v>5911000</v>
      </c>
      <c r="AQ58" s="10"/>
      <c r="AR58" s="10"/>
      <c r="AS58" s="10">
        <v>53281000</v>
      </c>
      <c r="AT58" s="10"/>
      <c r="AU58" s="10">
        <v>91363000</v>
      </c>
      <c r="AV58" s="10">
        <v>56861000</v>
      </c>
      <c r="AW58" s="10"/>
      <c r="AX58" s="10">
        <v>94616000</v>
      </c>
      <c r="AY58" s="10">
        <v>-12022000</v>
      </c>
      <c r="AZ58" s="10">
        <v>-1594780.428295</v>
      </c>
      <c r="BA58" s="10">
        <v>7068000</v>
      </c>
      <c r="BB58" s="10">
        <v>0.132655</v>
      </c>
      <c r="BC58" s="10">
        <v>241060000</v>
      </c>
      <c r="BD58" s="10">
        <v>106390000</v>
      </c>
      <c r="BE58" s="10">
        <v>359019000</v>
      </c>
      <c r="BF58" s="10">
        <v>-12022000</v>
      </c>
      <c r="BG58" s="10">
        <v>-12022000</v>
      </c>
      <c r="BH58" s="10"/>
      <c r="BI58" s="10"/>
      <c r="BK58" s="10"/>
      <c r="BL58" s="10"/>
      <c r="BM58" s="10"/>
      <c r="BN58" s="41">
        <v>2024</v>
      </c>
      <c r="BO58" s="10">
        <v>89583000</v>
      </c>
      <c r="BP58" s="10">
        <v>89583000</v>
      </c>
      <c r="BQ58" s="10">
        <v>12022000</v>
      </c>
      <c r="BR58" s="10"/>
      <c r="BS58" s="10"/>
      <c r="BT58" s="10"/>
      <c r="BU58" s="10"/>
      <c r="BV58" s="10"/>
      <c r="BW58" s="10"/>
      <c r="BX58" s="10"/>
      <c r="BY58" t="s">
        <v>655</v>
      </c>
    </row>
    <row r="59" spans="1:77" x14ac:dyDescent="0.35">
      <c r="A59" t="s">
        <v>656</v>
      </c>
      <c r="B59" s="22">
        <v>44316</v>
      </c>
      <c r="C59">
        <v>2021</v>
      </c>
      <c r="D59" t="s">
        <v>212</v>
      </c>
      <c r="E59" t="s">
        <v>213</v>
      </c>
      <c r="F59" s="10"/>
      <c r="G59" s="10">
        <v>19094440</v>
      </c>
      <c r="H59" s="41">
        <v>-2.42</v>
      </c>
      <c r="I59" s="10"/>
      <c r="J59" s="10"/>
      <c r="K59" s="10"/>
      <c r="L59" s="10">
        <v>19094440</v>
      </c>
      <c r="M59" s="10">
        <v>-2.42</v>
      </c>
      <c r="N59" s="10">
        <v>-46244000</v>
      </c>
      <c r="O59" s="10">
        <v>-57923000</v>
      </c>
      <c r="P59" s="10">
        <v>-57386000</v>
      </c>
      <c r="Q59" s="10"/>
      <c r="R59" s="10"/>
      <c r="S59" s="10">
        <v>847000</v>
      </c>
      <c r="T59" s="10">
        <v>16637000</v>
      </c>
      <c r="U59" s="10"/>
      <c r="V59" s="10"/>
      <c r="W59" s="10"/>
      <c r="X59" s="10">
        <v>903000</v>
      </c>
      <c r="Y59" s="10">
        <v>903000</v>
      </c>
      <c r="Z59" s="10"/>
      <c r="AA59" s="10">
        <v>-46244000</v>
      </c>
      <c r="AB59" s="10">
        <v>-46244000</v>
      </c>
      <c r="AC59" s="10">
        <v>-46244000</v>
      </c>
      <c r="AD59" s="10">
        <v>-46244000</v>
      </c>
      <c r="AE59" s="10">
        <v>-46244000</v>
      </c>
      <c r="AF59" s="10">
        <v>-46244000</v>
      </c>
      <c r="AG59" s="10">
        <v>903000</v>
      </c>
      <c r="AH59" s="10">
        <v>903000</v>
      </c>
      <c r="AI59" s="10">
        <v>-58233000</v>
      </c>
      <c r="AJ59" s="10">
        <v>-47091000</v>
      </c>
      <c r="AK59" s="10">
        <v>57923000</v>
      </c>
      <c r="AL59" s="10">
        <v>-57923000</v>
      </c>
      <c r="AM59" s="10">
        <v>0</v>
      </c>
      <c r="AN59" s="10">
        <v>16637000</v>
      </c>
      <c r="AO59" s="10">
        <v>10776000</v>
      </c>
      <c r="AP59" s="10">
        <v>9929000</v>
      </c>
      <c r="AQ59" s="10"/>
      <c r="AR59" s="10"/>
      <c r="AS59" s="10">
        <v>-46244000</v>
      </c>
      <c r="AT59" s="10"/>
      <c r="AU59" s="10">
        <v>537000</v>
      </c>
      <c r="AV59" s="10">
        <v>41286000</v>
      </c>
      <c r="AW59" s="10"/>
      <c r="AX59" s="10">
        <v>16637000</v>
      </c>
      <c r="AY59" s="10"/>
      <c r="AZ59" s="10">
        <v>0</v>
      </c>
      <c r="BA59" s="10">
        <v>0</v>
      </c>
      <c r="BB59" s="10">
        <v>0</v>
      </c>
      <c r="BC59" s="10">
        <v>57923000</v>
      </c>
      <c r="BD59" s="10">
        <v>-57923000</v>
      </c>
      <c r="BE59" s="10">
        <v>0</v>
      </c>
      <c r="BF59" s="10">
        <v>847000</v>
      </c>
      <c r="BG59" s="10">
        <v>847000</v>
      </c>
      <c r="BH59" s="10"/>
      <c r="BI59" s="10"/>
      <c r="BK59" s="10"/>
      <c r="BL59" s="10"/>
      <c r="BM59" s="10"/>
      <c r="BN59" s="41">
        <v>2021</v>
      </c>
      <c r="BO59" s="10"/>
      <c r="BP59" s="10"/>
      <c r="BQ59" s="10"/>
      <c r="BR59" s="10"/>
      <c r="BS59" s="10"/>
      <c r="BT59" s="10"/>
      <c r="BU59" s="10"/>
      <c r="BV59" s="10"/>
      <c r="BW59" s="10"/>
      <c r="BX59" s="10"/>
      <c r="BY59" t="s">
        <v>657</v>
      </c>
    </row>
    <row r="60" spans="1:77" x14ac:dyDescent="0.35">
      <c r="A60" t="s">
        <v>656</v>
      </c>
      <c r="B60" s="22">
        <v>44681</v>
      </c>
      <c r="C60">
        <v>2022</v>
      </c>
      <c r="D60" t="s">
        <v>212</v>
      </c>
      <c r="E60" t="s">
        <v>213</v>
      </c>
      <c r="F60" s="10"/>
      <c r="G60" s="10">
        <v>24473092</v>
      </c>
      <c r="H60" s="41">
        <v>-3.36</v>
      </c>
      <c r="I60" s="10"/>
      <c r="J60" s="10"/>
      <c r="K60" s="10"/>
      <c r="L60" s="10">
        <v>24473092</v>
      </c>
      <c r="M60" s="10">
        <v>-3.36</v>
      </c>
      <c r="N60" s="10">
        <v>-82339000</v>
      </c>
      <c r="O60" s="10">
        <v>-81310000</v>
      </c>
      <c r="P60" s="10">
        <v>-80746000</v>
      </c>
      <c r="Q60" s="10"/>
      <c r="R60" s="10"/>
      <c r="S60" s="10">
        <v>-2118000</v>
      </c>
      <c r="T60" s="10">
        <v>26446000</v>
      </c>
      <c r="U60" s="10"/>
      <c r="V60" s="10"/>
      <c r="W60" s="10"/>
      <c r="X60" s="10">
        <v>1090000</v>
      </c>
      <c r="Y60" s="10">
        <v>1090000</v>
      </c>
      <c r="Z60" s="10"/>
      <c r="AA60" s="10">
        <v>-82339000</v>
      </c>
      <c r="AB60" s="10">
        <v>-82339000</v>
      </c>
      <c r="AC60" s="10">
        <v>-82339000</v>
      </c>
      <c r="AD60" s="10">
        <v>-82339000</v>
      </c>
      <c r="AE60" s="10">
        <v>-82339000</v>
      </c>
      <c r="AF60" s="10">
        <v>-82339000</v>
      </c>
      <c r="AG60" s="10">
        <v>1090000</v>
      </c>
      <c r="AH60" s="10">
        <v>1090000</v>
      </c>
      <c r="AI60" s="10">
        <v>-78628000</v>
      </c>
      <c r="AJ60" s="10">
        <v>-80221000</v>
      </c>
      <c r="AK60" s="10">
        <v>81310000</v>
      </c>
      <c r="AL60" s="10">
        <v>-81310000</v>
      </c>
      <c r="AM60" s="10">
        <v>0</v>
      </c>
      <c r="AN60" s="10">
        <v>26446000</v>
      </c>
      <c r="AO60" s="10">
        <v>-2119000</v>
      </c>
      <c r="AP60" s="10">
        <v>-1000</v>
      </c>
      <c r="AQ60" s="10"/>
      <c r="AR60" s="10"/>
      <c r="AS60" s="10">
        <v>-82339000</v>
      </c>
      <c r="AT60" s="10"/>
      <c r="AU60" s="10">
        <v>564000</v>
      </c>
      <c r="AV60" s="10">
        <v>70167000</v>
      </c>
      <c r="AW60" s="10"/>
      <c r="AX60" s="10">
        <v>26446000</v>
      </c>
      <c r="AY60" s="10"/>
      <c r="AZ60" s="10">
        <v>0</v>
      </c>
      <c r="BA60" s="10">
        <v>0</v>
      </c>
      <c r="BB60" s="10">
        <v>0</v>
      </c>
      <c r="BC60" s="10">
        <v>81310000</v>
      </c>
      <c r="BD60" s="10">
        <v>-96613000</v>
      </c>
      <c r="BE60" s="10">
        <v>0</v>
      </c>
      <c r="BF60" s="10">
        <v>-2118000</v>
      </c>
      <c r="BG60" s="10">
        <v>-2118000</v>
      </c>
      <c r="BH60" s="10"/>
      <c r="BI60" s="10"/>
      <c r="BK60" s="10"/>
      <c r="BL60" s="10"/>
      <c r="BM60" s="10"/>
      <c r="BN60" s="41">
        <v>2022</v>
      </c>
      <c r="BO60" s="10"/>
      <c r="BP60" s="10"/>
      <c r="BQ60" s="10"/>
      <c r="BR60" s="10">
        <v>-15303000</v>
      </c>
      <c r="BS60" s="10"/>
      <c r="BT60" s="10"/>
      <c r="BU60" s="10"/>
      <c r="BV60" s="10"/>
      <c r="BW60" s="10"/>
      <c r="BX60" s="10"/>
      <c r="BY60" t="s">
        <v>657</v>
      </c>
    </row>
    <row r="61" spans="1:77" x14ac:dyDescent="0.35">
      <c r="A61" t="s">
        <v>656</v>
      </c>
      <c r="B61" s="22">
        <v>45046</v>
      </c>
      <c r="C61">
        <v>2023</v>
      </c>
      <c r="D61" t="s">
        <v>212</v>
      </c>
      <c r="E61" t="s">
        <v>213</v>
      </c>
      <c r="F61" s="10"/>
      <c r="G61" s="10">
        <v>27890846</v>
      </c>
      <c r="H61" s="41">
        <v>-3.33</v>
      </c>
      <c r="I61" s="10"/>
      <c r="J61" s="10"/>
      <c r="K61" s="10"/>
      <c r="L61" s="10">
        <v>27890846</v>
      </c>
      <c r="M61" s="10">
        <v>-3.33</v>
      </c>
      <c r="N61" s="10">
        <v>-92907000</v>
      </c>
      <c r="O61" s="10">
        <v>-95086000</v>
      </c>
      <c r="P61" s="10">
        <v>-94368000</v>
      </c>
      <c r="Q61" s="10"/>
      <c r="R61" s="10"/>
      <c r="S61" s="10">
        <v>-49000</v>
      </c>
      <c r="T61" s="10">
        <v>30595000</v>
      </c>
      <c r="U61" s="10"/>
      <c r="V61" s="10"/>
      <c r="W61" s="10"/>
      <c r="X61" s="10">
        <v>2232000</v>
      </c>
      <c r="Y61" s="10">
        <v>2232000</v>
      </c>
      <c r="Z61" s="10"/>
      <c r="AA61" s="10">
        <v>-92907000</v>
      </c>
      <c r="AB61" s="10">
        <v>-92907000</v>
      </c>
      <c r="AC61" s="10">
        <v>-92907000</v>
      </c>
      <c r="AD61" s="10">
        <v>-92907000</v>
      </c>
      <c r="AE61" s="10">
        <v>-92907000</v>
      </c>
      <c r="AF61" s="10">
        <v>-92907000</v>
      </c>
      <c r="AG61" s="10">
        <v>2232000</v>
      </c>
      <c r="AH61" s="10">
        <v>2232000</v>
      </c>
      <c r="AI61" s="10">
        <v>-94319000</v>
      </c>
      <c r="AJ61" s="10">
        <v>-92858000</v>
      </c>
      <c r="AK61" s="10">
        <v>95086000</v>
      </c>
      <c r="AL61" s="10">
        <v>-95086000</v>
      </c>
      <c r="AM61" s="10">
        <v>0</v>
      </c>
      <c r="AN61" s="10">
        <v>30595000</v>
      </c>
      <c r="AO61" s="10">
        <v>-53000</v>
      </c>
      <c r="AP61" s="10">
        <v>-4000</v>
      </c>
      <c r="AQ61" s="10"/>
      <c r="AR61" s="10"/>
      <c r="AS61" s="10">
        <v>-92907000</v>
      </c>
      <c r="AT61" s="10"/>
      <c r="AU61" s="10">
        <v>718000</v>
      </c>
      <c r="AV61" s="10">
        <v>80276000</v>
      </c>
      <c r="AW61" s="10"/>
      <c r="AX61" s="10">
        <v>30595000</v>
      </c>
      <c r="AY61" s="10"/>
      <c r="AZ61" s="10">
        <v>0</v>
      </c>
      <c r="BA61" s="10">
        <v>0</v>
      </c>
      <c r="BB61" s="10">
        <v>0</v>
      </c>
      <c r="BC61" s="10">
        <v>95086000</v>
      </c>
      <c r="BD61" s="10">
        <v>-110871000</v>
      </c>
      <c r="BE61" s="10">
        <v>0</v>
      </c>
      <c r="BF61" s="10">
        <v>-49000</v>
      </c>
      <c r="BG61" s="10">
        <v>-49000</v>
      </c>
      <c r="BH61" s="10"/>
      <c r="BI61" s="10"/>
      <c r="BK61" s="10"/>
      <c r="BL61" s="10"/>
      <c r="BM61" s="10"/>
      <c r="BN61" s="41">
        <v>2023</v>
      </c>
      <c r="BO61" s="10"/>
      <c r="BP61" s="10"/>
      <c r="BQ61" s="10"/>
      <c r="BR61" s="10">
        <v>-15785000</v>
      </c>
      <c r="BS61" s="10"/>
      <c r="BT61" s="10"/>
      <c r="BU61" s="10"/>
      <c r="BV61" s="10"/>
      <c r="BW61" s="10"/>
      <c r="BX61" s="10"/>
      <c r="BY61" t="s">
        <v>657</v>
      </c>
    </row>
    <row r="62" spans="1:77" hidden="1" x14ac:dyDescent="0.35">
      <c r="A62" t="s">
        <v>656</v>
      </c>
      <c r="B62" s="22">
        <v>45230</v>
      </c>
      <c r="C62">
        <v>2023</v>
      </c>
      <c r="D62" t="s">
        <v>214</v>
      </c>
      <c r="E62" t="s">
        <v>213</v>
      </c>
      <c r="F62" s="10"/>
      <c r="G62" s="10">
        <v>32847728</v>
      </c>
      <c r="H62" s="41">
        <v>-3.03</v>
      </c>
      <c r="I62" s="10"/>
      <c r="J62" s="10"/>
      <c r="K62" s="10"/>
      <c r="L62" s="10">
        <v>32847728</v>
      </c>
      <c r="M62" s="10">
        <v>-3.03</v>
      </c>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K62" s="10"/>
      <c r="BL62" s="10"/>
      <c r="BM62" s="10"/>
      <c r="BN62" s="41">
        <v>2023</v>
      </c>
      <c r="BO62" s="10"/>
      <c r="BP62" s="10"/>
      <c r="BQ62" s="10"/>
      <c r="BR62" s="10"/>
      <c r="BS62" s="10"/>
      <c r="BT62" s="10"/>
      <c r="BU62" s="10"/>
      <c r="BV62" s="10"/>
      <c r="BW62" s="10"/>
      <c r="BX62" s="10"/>
      <c r="BY62" t="s">
        <v>657</v>
      </c>
    </row>
    <row r="63" spans="1:77" hidden="1" x14ac:dyDescent="0.35">
      <c r="A63" t="s">
        <v>656</v>
      </c>
      <c r="B63" s="22">
        <v>45322</v>
      </c>
      <c r="C63">
        <v>2024</v>
      </c>
      <c r="D63" t="s">
        <v>214</v>
      </c>
      <c r="E63" t="s">
        <v>213</v>
      </c>
      <c r="F63" s="10"/>
      <c r="G63" s="10">
        <v>34458959</v>
      </c>
      <c r="H63" s="41">
        <v>-3.12</v>
      </c>
      <c r="I63" s="10"/>
      <c r="J63" s="10"/>
      <c r="K63" s="10"/>
      <c r="L63" s="10">
        <v>34458959</v>
      </c>
      <c r="M63" s="10">
        <v>-3.12</v>
      </c>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K63" s="10"/>
      <c r="BL63" s="10"/>
      <c r="BM63" s="10"/>
      <c r="BN63" s="41">
        <v>2024</v>
      </c>
      <c r="BO63" s="10"/>
      <c r="BP63" s="10"/>
      <c r="BQ63" s="10"/>
      <c r="BR63" s="10"/>
      <c r="BS63" s="10"/>
      <c r="BT63" s="10"/>
      <c r="BU63" s="10"/>
      <c r="BV63" s="10"/>
      <c r="BW63" s="10"/>
      <c r="BX63" s="10"/>
      <c r="BY63" t="s">
        <v>657</v>
      </c>
    </row>
    <row r="64" spans="1:77" x14ac:dyDescent="0.35">
      <c r="A64" t="s">
        <v>656</v>
      </c>
      <c r="B64" s="22">
        <v>45412</v>
      </c>
      <c r="C64">
        <v>2024</v>
      </c>
      <c r="D64" t="s">
        <v>212</v>
      </c>
      <c r="E64" t="s">
        <v>213</v>
      </c>
      <c r="F64" s="10"/>
      <c r="G64" s="10">
        <v>36786575</v>
      </c>
      <c r="H64" s="41">
        <v>-3.44</v>
      </c>
      <c r="I64" s="10"/>
      <c r="J64" s="10"/>
      <c r="K64" s="10"/>
      <c r="L64" s="10">
        <v>36786575</v>
      </c>
      <c r="M64" s="10">
        <v>-3.44</v>
      </c>
      <c r="N64" s="10">
        <v>-126644000</v>
      </c>
      <c r="O64" s="10">
        <v>-131993000</v>
      </c>
      <c r="P64" s="10">
        <v>-131177000</v>
      </c>
      <c r="Q64" s="10"/>
      <c r="R64" s="10"/>
      <c r="S64" s="10">
        <v>1463000</v>
      </c>
      <c r="T64" s="10">
        <v>54278000</v>
      </c>
      <c r="U64" s="10"/>
      <c r="V64" s="10"/>
      <c r="W64" s="10"/>
      <c r="X64" s="10">
        <v>3896000</v>
      </c>
      <c r="Y64" s="10">
        <v>3896000</v>
      </c>
      <c r="Z64" s="10"/>
      <c r="AA64" s="10">
        <v>-126644000</v>
      </c>
      <c r="AB64" s="10">
        <v>-126644000</v>
      </c>
      <c r="AC64" s="10">
        <v>-126644000</v>
      </c>
      <c r="AD64" s="10">
        <v>-126644000</v>
      </c>
      <c r="AE64" s="10">
        <v>-126644000</v>
      </c>
      <c r="AF64" s="10">
        <v>-126644000</v>
      </c>
      <c r="AG64" s="10">
        <v>3896000</v>
      </c>
      <c r="AH64" s="10">
        <v>3896000</v>
      </c>
      <c r="AI64" s="10">
        <v>-132640000</v>
      </c>
      <c r="AJ64" s="10">
        <v>-128107000</v>
      </c>
      <c r="AK64" s="10">
        <v>131993000</v>
      </c>
      <c r="AL64" s="10">
        <v>-131993000</v>
      </c>
      <c r="AM64" s="10">
        <v>0</v>
      </c>
      <c r="AN64" s="10">
        <v>54278000</v>
      </c>
      <c r="AO64" s="10">
        <v>1453000</v>
      </c>
      <c r="AP64" s="10">
        <v>-10000</v>
      </c>
      <c r="AQ64" s="10"/>
      <c r="AR64" s="10"/>
      <c r="AS64" s="10">
        <v>-126644000</v>
      </c>
      <c r="AT64" s="10"/>
      <c r="AU64" s="10">
        <v>816000</v>
      </c>
      <c r="AV64" s="10">
        <v>86167000</v>
      </c>
      <c r="AW64" s="10"/>
      <c r="AX64" s="10">
        <v>54278000</v>
      </c>
      <c r="AY64" s="10"/>
      <c r="AZ64" s="10">
        <v>0</v>
      </c>
      <c r="BA64" s="10">
        <v>0</v>
      </c>
      <c r="BB64" s="10">
        <v>0</v>
      </c>
      <c r="BC64" s="10">
        <v>131993000</v>
      </c>
      <c r="BD64" s="10">
        <v>-140445000</v>
      </c>
      <c r="BE64" s="10">
        <v>0</v>
      </c>
      <c r="BF64" s="10">
        <v>1463000</v>
      </c>
      <c r="BG64" s="10">
        <v>1463000</v>
      </c>
      <c r="BH64" s="10"/>
      <c r="BI64" s="10"/>
      <c r="BK64" s="10"/>
      <c r="BL64" s="10"/>
      <c r="BM64" s="10"/>
      <c r="BN64" s="41">
        <v>2024</v>
      </c>
      <c r="BO64" s="10"/>
      <c r="BP64" s="10"/>
      <c r="BQ64" s="10"/>
      <c r="BR64" s="10">
        <v>-8452000</v>
      </c>
      <c r="BS64" s="10"/>
      <c r="BT64" s="10"/>
      <c r="BU64" s="10"/>
      <c r="BV64" s="10"/>
      <c r="BW64" s="10"/>
      <c r="BX64" s="10"/>
      <c r="BY64" t="s">
        <v>657</v>
      </c>
    </row>
    <row r="65" spans="1:77" hidden="1" x14ac:dyDescent="0.35">
      <c r="A65" t="s">
        <v>656</v>
      </c>
      <c r="B65" s="22">
        <v>45412</v>
      </c>
      <c r="C65">
        <v>2024</v>
      </c>
      <c r="D65" t="s">
        <v>214</v>
      </c>
      <c r="E65" t="s">
        <v>213</v>
      </c>
      <c r="F65" s="10"/>
      <c r="G65" s="10">
        <v>36786575</v>
      </c>
      <c r="H65" s="41">
        <v>-3.44</v>
      </c>
      <c r="I65" s="10"/>
      <c r="J65" s="10"/>
      <c r="K65" s="10"/>
      <c r="L65" s="10">
        <v>36786575</v>
      </c>
      <c r="M65" s="10">
        <v>-3.44</v>
      </c>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K65" s="10"/>
      <c r="BL65" s="10"/>
      <c r="BM65" s="10"/>
      <c r="BN65" s="41">
        <v>2024</v>
      </c>
      <c r="BO65" s="10"/>
      <c r="BP65" s="10"/>
      <c r="BQ65" s="10"/>
      <c r="BR65" s="10"/>
      <c r="BS65" s="10"/>
      <c r="BT65" s="10"/>
      <c r="BU65" s="10"/>
      <c r="BV65" s="10"/>
      <c r="BW65" s="10"/>
      <c r="BX65" s="10"/>
      <c r="BY65" t="s">
        <v>657</v>
      </c>
    </row>
    <row r="66" spans="1:77" hidden="1" x14ac:dyDescent="0.35">
      <c r="A66" t="s">
        <v>656</v>
      </c>
      <c r="B66" s="22">
        <v>45504</v>
      </c>
      <c r="C66">
        <v>2024</v>
      </c>
      <c r="D66" t="s">
        <v>214</v>
      </c>
      <c r="E66" t="s">
        <v>213</v>
      </c>
      <c r="F66" s="10"/>
      <c r="G66" s="10">
        <v>39741263</v>
      </c>
      <c r="H66" s="41">
        <v>-3.57</v>
      </c>
      <c r="I66" s="10"/>
      <c r="J66" s="10"/>
      <c r="K66" s="10"/>
      <c r="L66" s="10">
        <v>39741263</v>
      </c>
      <c r="M66" s="10">
        <v>-3.57</v>
      </c>
      <c r="N66" s="10">
        <v>-141770000</v>
      </c>
      <c r="O66" s="10">
        <v>-147115000</v>
      </c>
      <c r="P66" s="10">
        <v>-146268000</v>
      </c>
      <c r="Q66" s="10"/>
      <c r="R66" s="10"/>
      <c r="S66" s="10">
        <v>1521000</v>
      </c>
      <c r="T66" s="10">
        <v>62093000</v>
      </c>
      <c r="U66" s="10"/>
      <c r="V66" s="10"/>
      <c r="W66" s="10"/>
      <c r="X66" s="10">
        <v>4665000</v>
      </c>
      <c r="Y66" s="10">
        <v>4665000</v>
      </c>
      <c r="Z66" s="10"/>
      <c r="AA66" s="10">
        <v>-141770000</v>
      </c>
      <c r="AB66" s="10">
        <v>-141770000</v>
      </c>
      <c r="AC66" s="10">
        <v>-141770000</v>
      </c>
      <c r="AD66" s="10">
        <v>-141770000</v>
      </c>
      <c r="AE66" s="10">
        <v>-141770000</v>
      </c>
      <c r="AF66" s="10">
        <v>-141770000</v>
      </c>
      <c r="AG66" s="10">
        <v>4665000</v>
      </c>
      <c r="AH66" s="10">
        <v>4665000</v>
      </c>
      <c r="AI66" s="10">
        <v>-147789000</v>
      </c>
      <c r="AJ66" s="10">
        <v>-143291000</v>
      </c>
      <c r="AK66" s="10">
        <v>147115000</v>
      </c>
      <c r="AL66" s="10">
        <v>-147115000</v>
      </c>
      <c r="AM66" s="10">
        <v>0</v>
      </c>
      <c r="AN66" s="10">
        <v>62093000</v>
      </c>
      <c r="AO66" s="10">
        <v>680000</v>
      </c>
      <c r="AP66" s="10">
        <v>-841000</v>
      </c>
      <c r="AQ66" s="10"/>
      <c r="AR66" s="10"/>
      <c r="AS66" s="10">
        <v>-141770000</v>
      </c>
      <c r="AT66" s="10"/>
      <c r="AU66" s="10">
        <v>847000</v>
      </c>
      <c r="AV66" s="10">
        <v>93474000</v>
      </c>
      <c r="AW66" s="10"/>
      <c r="AX66" s="10">
        <v>62093000</v>
      </c>
      <c r="AY66" s="10"/>
      <c r="AZ66" s="10">
        <v>0</v>
      </c>
      <c r="BA66" s="10"/>
      <c r="BB66" s="10">
        <v>0</v>
      </c>
      <c r="BC66" s="10">
        <v>147115000</v>
      </c>
      <c r="BD66" s="10">
        <v>-155567000</v>
      </c>
      <c r="BE66" s="10">
        <v>0</v>
      </c>
      <c r="BF66" s="10">
        <v>1521000</v>
      </c>
      <c r="BG66" s="10">
        <v>1521000</v>
      </c>
      <c r="BH66" s="10"/>
      <c r="BI66" s="10"/>
      <c r="BK66" s="10"/>
      <c r="BL66" s="10"/>
      <c r="BM66" s="10"/>
      <c r="BN66" s="41">
        <v>2024</v>
      </c>
      <c r="BO66" s="10"/>
      <c r="BP66" s="10"/>
      <c r="BQ66" s="10"/>
      <c r="BR66" s="10"/>
      <c r="BS66" s="10"/>
      <c r="BT66" s="10"/>
      <c r="BU66" s="10"/>
      <c r="BV66" s="10"/>
      <c r="BW66" s="10"/>
      <c r="BX66" s="10"/>
      <c r="BY66" t="s">
        <v>657</v>
      </c>
    </row>
    <row r="67" spans="1:77" x14ac:dyDescent="0.35">
      <c r="A67" t="s">
        <v>658</v>
      </c>
      <c r="B67" s="22">
        <v>44196</v>
      </c>
      <c r="C67">
        <v>2020</v>
      </c>
      <c r="D67" t="s">
        <v>212</v>
      </c>
      <c r="E67" t="s">
        <v>213</v>
      </c>
      <c r="F67" s="10"/>
      <c r="G67" s="10">
        <v>9327000</v>
      </c>
      <c r="H67" s="41">
        <v>1.8</v>
      </c>
      <c r="I67" s="10">
        <v>43615000</v>
      </c>
      <c r="J67" s="10">
        <v>11143000</v>
      </c>
      <c r="K67" s="10">
        <v>11143000</v>
      </c>
      <c r="L67" s="10">
        <v>9369000</v>
      </c>
      <c r="M67" s="10">
        <v>1.79</v>
      </c>
      <c r="N67" s="10">
        <v>16817000</v>
      </c>
      <c r="O67" s="10">
        <v>30120000</v>
      </c>
      <c r="P67" s="10">
        <v>41263000</v>
      </c>
      <c r="Q67" s="10"/>
      <c r="R67" s="10"/>
      <c r="S67" s="10"/>
      <c r="T67" s="10"/>
      <c r="U67" s="10">
        <v>44526000</v>
      </c>
      <c r="V67" s="10">
        <v>7619000</v>
      </c>
      <c r="W67" s="10">
        <v>7619000</v>
      </c>
      <c r="X67" s="10"/>
      <c r="Y67" s="10"/>
      <c r="Z67" s="10"/>
      <c r="AA67" s="10">
        <v>16817000</v>
      </c>
      <c r="AB67" s="10">
        <v>16817000</v>
      </c>
      <c r="AC67" s="10">
        <v>16817000</v>
      </c>
      <c r="AD67" s="10">
        <v>16817000</v>
      </c>
      <c r="AE67" s="10">
        <v>16817000</v>
      </c>
      <c r="AF67" s="10">
        <v>16817000</v>
      </c>
      <c r="AG67" s="10">
        <v>-7619000</v>
      </c>
      <c r="AH67" s="10">
        <v>-7619000</v>
      </c>
      <c r="AI67" s="10">
        <v>40093000</v>
      </c>
      <c r="AJ67" s="10">
        <v>15943010</v>
      </c>
      <c r="AK67" s="10">
        <v>16547000</v>
      </c>
      <c r="AL67" s="10">
        <v>27979000</v>
      </c>
      <c r="AM67" s="10">
        <v>88141000</v>
      </c>
      <c r="AN67" s="10"/>
      <c r="AO67" s="10">
        <v>2141000</v>
      </c>
      <c r="AP67" s="10">
        <v>971000</v>
      </c>
      <c r="AQ67" s="10"/>
      <c r="AR67" s="10"/>
      <c r="AS67" s="10">
        <v>22501000</v>
      </c>
      <c r="AT67" s="10">
        <v>43615000</v>
      </c>
      <c r="AU67" s="10">
        <v>11143000</v>
      </c>
      <c r="AV67" s="10"/>
      <c r="AW67" s="10"/>
      <c r="AX67" s="10"/>
      <c r="AY67" s="10">
        <v>1170000</v>
      </c>
      <c r="AZ67" s="10">
        <v>296010</v>
      </c>
      <c r="BA67" s="10">
        <v>5684000</v>
      </c>
      <c r="BB67" s="10">
        <v>0.253</v>
      </c>
      <c r="BC67" s="10">
        <v>60162000</v>
      </c>
      <c r="BD67" s="10">
        <v>22295000</v>
      </c>
      <c r="BE67" s="10">
        <v>88141000</v>
      </c>
      <c r="BF67" s="10">
        <v>1170000</v>
      </c>
      <c r="BG67" s="10">
        <v>1170000</v>
      </c>
      <c r="BH67" s="10"/>
      <c r="BI67" s="10"/>
      <c r="BK67" s="10"/>
      <c r="BL67" s="10"/>
      <c r="BM67" s="10"/>
      <c r="BN67" s="41">
        <v>2020</v>
      </c>
      <c r="BO67" s="10"/>
      <c r="BP67" s="10"/>
      <c r="BQ67" s="10">
        <v>-1170000</v>
      </c>
      <c r="BR67" s="10">
        <v>5404000</v>
      </c>
      <c r="BS67" s="10"/>
      <c r="BT67" s="10"/>
      <c r="BU67" s="10"/>
      <c r="BV67" s="10"/>
      <c r="BW67" s="10"/>
      <c r="BX67" s="10"/>
      <c r="BY67" t="s">
        <v>659</v>
      </c>
    </row>
    <row r="68" spans="1:77" x14ac:dyDescent="0.35">
      <c r="A68" t="s">
        <v>658</v>
      </c>
      <c r="B68" s="22">
        <v>44561</v>
      </c>
      <c r="C68">
        <v>2021</v>
      </c>
      <c r="D68" t="s">
        <v>212</v>
      </c>
      <c r="E68" t="s">
        <v>213</v>
      </c>
      <c r="F68" s="10"/>
      <c r="G68" s="10">
        <v>9394000</v>
      </c>
      <c r="H68" s="41">
        <v>1.79</v>
      </c>
      <c r="I68" s="10">
        <v>45356000</v>
      </c>
      <c r="J68" s="10">
        <v>11885000</v>
      </c>
      <c r="K68" s="10">
        <v>11885000</v>
      </c>
      <c r="L68" s="10">
        <v>9426000</v>
      </c>
      <c r="M68" s="10">
        <v>1.79</v>
      </c>
      <c r="N68" s="10">
        <v>16827000</v>
      </c>
      <c r="O68" s="10">
        <v>30156000</v>
      </c>
      <c r="P68" s="10">
        <v>42041000</v>
      </c>
      <c r="Q68" s="10"/>
      <c r="R68" s="10"/>
      <c r="S68" s="10"/>
      <c r="T68" s="10"/>
      <c r="U68" s="10">
        <v>45503000</v>
      </c>
      <c r="V68" s="10">
        <v>7592000</v>
      </c>
      <c r="W68" s="10">
        <v>7592000</v>
      </c>
      <c r="X68" s="10"/>
      <c r="Y68" s="10"/>
      <c r="Z68" s="10"/>
      <c r="AA68" s="10">
        <v>16827000</v>
      </c>
      <c r="AB68" s="10">
        <v>16827000</v>
      </c>
      <c r="AC68" s="10">
        <v>16827000</v>
      </c>
      <c r="AD68" s="10">
        <v>16827000</v>
      </c>
      <c r="AE68" s="10">
        <v>16827000</v>
      </c>
      <c r="AF68" s="10">
        <v>16827000</v>
      </c>
      <c r="AG68" s="10">
        <v>-7592000</v>
      </c>
      <c r="AH68" s="10">
        <v>-7592000</v>
      </c>
      <c r="AI68" s="10">
        <v>41218000</v>
      </c>
      <c r="AJ68" s="10">
        <v>16213042</v>
      </c>
      <c r="AK68" s="10">
        <v>17472000</v>
      </c>
      <c r="AL68" s="10">
        <v>28031000</v>
      </c>
      <c r="AM68" s="10">
        <v>90859000</v>
      </c>
      <c r="AN68" s="10"/>
      <c r="AO68" s="10">
        <v>2125000</v>
      </c>
      <c r="AP68" s="10">
        <v>1302000</v>
      </c>
      <c r="AQ68" s="10"/>
      <c r="AR68" s="10"/>
      <c r="AS68" s="10">
        <v>22564000</v>
      </c>
      <c r="AT68" s="10">
        <v>45356000</v>
      </c>
      <c r="AU68" s="10">
        <v>11885000</v>
      </c>
      <c r="AV68" s="10"/>
      <c r="AW68" s="10"/>
      <c r="AX68" s="10"/>
      <c r="AY68" s="10">
        <v>823000</v>
      </c>
      <c r="AZ68" s="10">
        <v>209042</v>
      </c>
      <c r="BA68" s="10">
        <v>5737000</v>
      </c>
      <c r="BB68" s="10">
        <v>0.254</v>
      </c>
      <c r="BC68" s="10">
        <v>62828000</v>
      </c>
      <c r="BD68" s="10">
        <v>22294000</v>
      </c>
      <c r="BE68" s="10">
        <v>90859000</v>
      </c>
      <c r="BF68" s="10">
        <v>823000</v>
      </c>
      <c r="BG68" s="10">
        <v>823000</v>
      </c>
      <c r="BH68" s="10"/>
      <c r="BI68" s="10"/>
      <c r="BK68" s="10"/>
      <c r="BL68" s="10"/>
      <c r="BM68" s="10"/>
      <c r="BN68" s="41">
        <v>2021</v>
      </c>
      <c r="BO68" s="10"/>
      <c r="BP68" s="10"/>
      <c r="BQ68" s="10">
        <v>-823000</v>
      </c>
      <c r="BR68" s="10">
        <v>5587000</v>
      </c>
      <c r="BS68" s="10"/>
      <c r="BT68" s="10"/>
      <c r="BU68" s="10"/>
      <c r="BV68" s="10"/>
      <c r="BW68" s="10"/>
      <c r="BX68" s="10"/>
      <c r="BY68" t="s">
        <v>659</v>
      </c>
    </row>
    <row r="69" spans="1:77" x14ac:dyDescent="0.35">
      <c r="A69" t="s">
        <v>658</v>
      </c>
      <c r="B69" s="22">
        <v>44926</v>
      </c>
      <c r="C69">
        <v>2022</v>
      </c>
      <c r="D69" t="s">
        <v>212</v>
      </c>
      <c r="E69" t="s">
        <v>213</v>
      </c>
      <c r="F69" s="10"/>
      <c r="G69" s="10">
        <v>9462000</v>
      </c>
      <c r="H69" s="41">
        <v>1.9</v>
      </c>
      <c r="I69" s="10">
        <v>50622000</v>
      </c>
      <c r="J69" s="10">
        <v>12620000</v>
      </c>
      <c r="K69" s="10">
        <v>12620000</v>
      </c>
      <c r="L69" s="10">
        <v>9481000</v>
      </c>
      <c r="M69" s="10">
        <v>1.9</v>
      </c>
      <c r="N69" s="10">
        <v>17998000</v>
      </c>
      <c r="O69" s="10">
        <v>32378000</v>
      </c>
      <c r="P69" s="10">
        <v>44998000</v>
      </c>
      <c r="Q69" s="10"/>
      <c r="R69" s="10"/>
      <c r="S69" s="10"/>
      <c r="T69" s="10"/>
      <c r="U69" s="10">
        <v>48275000</v>
      </c>
      <c r="V69" s="10">
        <v>8502000</v>
      </c>
      <c r="W69" s="10">
        <v>8502000</v>
      </c>
      <c r="X69" s="10"/>
      <c r="Y69" s="10"/>
      <c r="Z69" s="10"/>
      <c r="AA69" s="10">
        <v>17998000</v>
      </c>
      <c r="AB69" s="10">
        <v>17998000</v>
      </c>
      <c r="AC69" s="10">
        <v>17998000</v>
      </c>
      <c r="AD69" s="10">
        <v>17998000</v>
      </c>
      <c r="AE69" s="10">
        <v>17998000</v>
      </c>
      <c r="AF69" s="10">
        <v>17998000</v>
      </c>
      <c r="AG69" s="10">
        <v>-8502000</v>
      </c>
      <c r="AH69" s="10">
        <v>-8502000</v>
      </c>
      <c r="AI69" s="10">
        <v>43669000</v>
      </c>
      <c r="AJ69" s="10">
        <v>16995934</v>
      </c>
      <c r="AK69" s="10">
        <v>18491000</v>
      </c>
      <c r="AL69" s="10">
        <v>29784000</v>
      </c>
      <c r="AM69" s="10">
        <v>98897000</v>
      </c>
      <c r="AN69" s="10"/>
      <c r="AO69" s="10">
        <v>2594000</v>
      </c>
      <c r="AP69" s="10">
        <v>1265000</v>
      </c>
      <c r="AQ69" s="10"/>
      <c r="AR69" s="10"/>
      <c r="AS69" s="10">
        <v>23876000</v>
      </c>
      <c r="AT69" s="10">
        <v>50622000</v>
      </c>
      <c r="AU69" s="10">
        <v>12620000</v>
      </c>
      <c r="AV69" s="10"/>
      <c r="AW69" s="10"/>
      <c r="AX69" s="10"/>
      <c r="AY69" s="10">
        <v>1329000</v>
      </c>
      <c r="AZ69" s="10">
        <v>326934</v>
      </c>
      <c r="BA69" s="10">
        <v>5878000</v>
      </c>
      <c r="BB69" s="10">
        <v>0.246</v>
      </c>
      <c r="BC69" s="10">
        <v>69113000</v>
      </c>
      <c r="BD69" s="10">
        <v>23906000</v>
      </c>
      <c r="BE69" s="10">
        <v>98897000</v>
      </c>
      <c r="BF69" s="10">
        <v>1329000</v>
      </c>
      <c r="BG69" s="10">
        <v>1329000</v>
      </c>
      <c r="BH69" s="10"/>
      <c r="BI69" s="10"/>
      <c r="BK69" s="10"/>
      <c r="BL69" s="10"/>
      <c r="BM69" s="10"/>
      <c r="BN69" s="41">
        <v>2022</v>
      </c>
      <c r="BO69" s="10"/>
      <c r="BP69" s="10"/>
      <c r="BQ69" s="10">
        <v>-1329000</v>
      </c>
      <c r="BR69" s="10">
        <v>5871000</v>
      </c>
      <c r="BS69" s="10"/>
      <c r="BT69" s="10"/>
      <c r="BU69" s="10"/>
      <c r="BV69" s="10"/>
      <c r="BW69" s="10"/>
      <c r="BX69" s="10"/>
      <c r="BY69" t="s">
        <v>659</v>
      </c>
    </row>
    <row r="70" spans="1:77" hidden="1" x14ac:dyDescent="0.35">
      <c r="A70" t="s">
        <v>658</v>
      </c>
      <c r="B70" s="22">
        <v>45199</v>
      </c>
      <c r="C70">
        <v>2023</v>
      </c>
      <c r="D70" t="s">
        <v>214</v>
      </c>
      <c r="E70" t="s">
        <v>213</v>
      </c>
      <c r="F70" s="10"/>
      <c r="G70" s="10">
        <v>9820500</v>
      </c>
      <c r="H70" s="41">
        <v>1.57</v>
      </c>
      <c r="I70" s="10"/>
      <c r="J70" s="10"/>
      <c r="K70" s="10"/>
      <c r="L70" s="10">
        <v>9826000</v>
      </c>
      <c r="M70" s="10">
        <v>1.57</v>
      </c>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K70" s="10"/>
      <c r="BL70" s="10"/>
      <c r="BM70" s="10"/>
      <c r="BN70" s="41">
        <v>2023</v>
      </c>
      <c r="BO70" s="10"/>
      <c r="BP70" s="10"/>
      <c r="BQ70" s="10"/>
      <c r="BR70" s="10"/>
      <c r="BS70" s="10"/>
      <c r="BT70" s="10"/>
      <c r="BU70" s="10"/>
      <c r="BV70" s="10"/>
      <c r="BW70" s="10"/>
      <c r="BX70" s="10"/>
      <c r="BY70" t="s">
        <v>659</v>
      </c>
    </row>
    <row r="71" spans="1:77" x14ac:dyDescent="0.35">
      <c r="A71" t="s">
        <v>658</v>
      </c>
      <c r="B71" s="22">
        <v>45291</v>
      </c>
      <c r="C71">
        <v>2023</v>
      </c>
      <c r="D71" t="s">
        <v>212</v>
      </c>
      <c r="E71" t="s">
        <v>213</v>
      </c>
      <c r="F71" s="10"/>
      <c r="G71" s="10">
        <v>10018000</v>
      </c>
      <c r="H71" s="41">
        <v>1.67</v>
      </c>
      <c r="I71" s="10">
        <v>50633000</v>
      </c>
      <c r="J71" s="10">
        <v>13335000</v>
      </c>
      <c r="K71" s="10">
        <v>13335000</v>
      </c>
      <c r="L71" s="10">
        <v>10022000</v>
      </c>
      <c r="M71" s="10">
        <v>1.67</v>
      </c>
      <c r="N71" s="10">
        <v>16699000</v>
      </c>
      <c r="O71" s="10">
        <v>32203000</v>
      </c>
      <c r="P71" s="10">
        <v>45538000</v>
      </c>
      <c r="Q71" s="10"/>
      <c r="R71" s="10"/>
      <c r="S71" s="10"/>
      <c r="T71" s="10"/>
      <c r="U71" s="10">
        <v>48228000</v>
      </c>
      <c r="V71" s="10">
        <v>9156000</v>
      </c>
      <c r="W71" s="10">
        <v>9156000</v>
      </c>
      <c r="X71" s="10"/>
      <c r="Y71" s="10"/>
      <c r="Z71" s="10"/>
      <c r="AA71" s="10">
        <v>16699000</v>
      </c>
      <c r="AB71" s="10">
        <v>16699000</v>
      </c>
      <c r="AC71" s="10">
        <v>16699000</v>
      </c>
      <c r="AD71" s="10">
        <v>16699000</v>
      </c>
      <c r="AE71" s="10">
        <v>16699000</v>
      </c>
      <c r="AF71" s="10">
        <v>16699000</v>
      </c>
      <c r="AG71" s="10">
        <v>-9156000</v>
      </c>
      <c r="AH71" s="10">
        <v>-9156000</v>
      </c>
      <c r="AI71" s="10">
        <v>43536000</v>
      </c>
      <c r="AJ71" s="10">
        <v>15249552</v>
      </c>
      <c r="AK71" s="10">
        <v>19434000</v>
      </c>
      <c r="AL71" s="10">
        <v>28794000</v>
      </c>
      <c r="AM71" s="10">
        <v>98861000</v>
      </c>
      <c r="AN71" s="10"/>
      <c r="AO71" s="10">
        <v>3409000</v>
      </c>
      <c r="AP71" s="10">
        <v>1407000</v>
      </c>
      <c r="AQ71" s="10"/>
      <c r="AR71" s="10"/>
      <c r="AS71" s="10">
        <v>23047000</v>
      </c>
      <c r="AT71" s="10">
        <v>50633000</v>
      </c>
      <c r="AU71" s="10">
        <v>13335000</v>
      </c>
      <c r="AV71" s="10"/>
      <c r="AW71" s="10"/>
      <c r="AX71" s="10"/>
      <c r="AY71" s="10">
        <v>2002000</v>
      </c>
      <c r="AZ71" s="10">
        <v>552552</v>
      </c>
      <c r="BA71" s="10">
        <v>6348000</v>
      </c>
      <c r="BB71" s="10">
        <v>0.27600000000000002</v>
      </c>
      <c r="BC71" s="10">
        <v>70067000</v>
      </c>
      <c r="BD71" s="10">
        <v>22446000</v>
      </c>
      <c r="BE71" s="10">
        <v>98861000</v>
      </c>
      <c r="BF71" s="10">
        <v>2002000</v>
      </c>
      <c r="BG71" s="10">
        <v>2002000</v>
      </c>
      <c r="BH71" s="10"/>
      <c r="BI71" s="10"/>
      <c r="BK71" s="10"/>
      <c r="BL71" s="10"/>
      <c r="BM71" s="10"/>
      <c r="BN71" s="41">
        <v>2023</v>
      </c>
      <c r="BO71" s="10"/>
      <c r="BP71" s="10"/>
      <c r="BQ71" s="10">
        <v>-2002000</v>
      </c>
      <c r="BR71" s="10">
        <v>6099000</v>
      </c>
      <c r="BS71" s="10"/>
      <c r="BT71" s="10"/>
      <c r="BU71" s="10"/>
      <c r="BV71" s="10"/>
      <c r="BW71" s="10"/>
      <c r="BX71" s="10"/>
      <c r="BY71" t="s">
        <v>659</v>
      </c>
    </row>
    <row r="72" spans="1:77" hidden="1" x14ac:dyDescent="0.35">
      <c r="A72" t="s">
        <v>658</v>
      </c>
      <c r="B72" s="22">
        <v>45291</v>
      </c>
      <c r="C72">
        <v>2023</v>
      </c>
      <c r="D72" t="s">
        <v>214</v>
      </c>
      <c r="E72" t="s">
        <v>213</v>
      </c>
      <c r="F72" s="10"/>
      <c r="G72" s="10">
        <v>10018000</v>
      </c>
      <c r="H72" s="41">
        <v>1.67</v>
      </c>
      <c r="I72" s="10"/>
      <c r="J72" s="10"/>
      <c r="K72" s="10"/>
      <c r="L72" s="10">
        <v>10022000</v>
      </c>
      <c r="M72" s="10">
        <v>1.67</v>
      </c>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K72" s="10"/>
      <c r="BL72" s="10"/>
      <c r="BM72" s="10"/>
      <c r="BN72" s="41">
        <v>2023</v>
      </c>
      <c r="BO72" s="10"/>
      <c r="BP72" s="10"/>
      <c r="BQ72" s="10"/>
      <c r="BR72" s="10"/>
      <c r="BS72" s="10"/>
      <c r="BT72" s="10"/>
      <c r="BU72" s="10"/>
      <c r="BV72" s="10"/>
      <c r="BW72" s="10"/>
      <c r="BX72" s="10"/>
      <c r="BY72" t="s">
        <v>659</v>
      </c>
    </row>
    <row r="73" spans="1:77" hidden="1" x14ac:dyDescent="0.35">
      <c r="A73" t="s">
        <v>658</v>
      </c>
      <c r="B73" s="22">
        <v>45382</v>
      </c>
      <c r="C73">
        <v>2024</v>
      </c>
      <c r="D73" t="s">
        <v>214</v>
      </c>
      <c r="E73" t="s">
        <v>213</v>
      </c>
      <c r="F73" s="10"/>
      <c r="G73" s="10">
        <v>10213750</v>
      </c>
      <c r="H73" s="41">
        <v>1.71</v>
      </c>
      <c r="I73" s="10"/>
      <c r="J73" s="10"/>
      <c r="K73" s="10"/>
      <c r="L73" s="10">
        <v>10217250</v>
      </c>
      <c r="M73" s="10">
        <v>1.71</v>
      </c>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K73" s="10"/>
      <c r="BL73" s="10"/>
      <c r="BM73" s="10"/>
      <c r="BN73" s="41">
        <v>2024</v>
      </c>
      <c r="BO73" s="10"/>
      <c r="BP73" s="10"/>
      <c r="BQ73" s="10"/>
      <c r="BR73" s="10"/>
      <c r="BS73" s="10"/>
      <c r="BT73" s="10"/>
      <c r="BU73" s="10"/>
      <c r="BV73" s="10"/>
      <c r="BW73" s="10"/>
      <c r="BX73" s="10"/>
      <c r="BY73" t="s">
        <v>659</v>
      </c>
    </row>
    <row r="74" spans="1:77" hidden="1" x14ac:dyDescent="0.35">
      <c r="A74" t="s">
        <v>658</v>
      </c>
      <c r="B74" s="22">
        <v>45473</v>
      </c>
      <c r="C74">
        <v>2024</v>
      </c>
      <c r="D74" t="s">
        <v>214</v>
      </c>
      <c r="E74" t="s">
        <v>213</v>
      </c>
      <c r="F74" s="10"/>
      <c r="G74" s="10">
        <v>10287000</v>
      </c>
      <c r="H74" s="41">
        <v>1.78</v>
      </c>
      <c r="I74" s="10">
        <v>51925000</v>
      </c>
      <c r="J74" s="10">
        <v>13785000</v>
      </c>
      <c r="K74" s="10">
        <v>13785000</v>
      </c>
      <c r="L74" s="10">
        <v>10290000</v>
      </c>
      <c r="M74" s="10">
        <v>1.78</v>
      </c>
      <c r="N74" s="10">
        <v>18287000</v>
      </c>
      <c r="O74" s="10">
        <v>34096000</v>
      </c>
      <c r="P74" s="10">
        <v>47881000</v>
      </c>
      <c r="Q74" s="10"/>
      <c r="R74" s="10"/>
      <c r="S74" s="10"/>
      <c r="T74" s="10"/>
      <c r="U74" s="10">
        <v>51150000</v>
      </c>
      <c r="V74" s="10">
        <v>8740000</v>
      </c>
      <c r="W74" s="10">
        <v>8740000</v>
      </c>
      <c r="X74" s="10"/>
      <c r="Y74" s="10"/>
      <c r="Z74" s="10"/>
      <c r="AA74" s="10">
        <v>18287000</v>
      </c>
      <c r="AB74" s="10">
        <v>18287000</v>
      </c>
      <c r="AC74" s="10">
        <v>18287000</v>
      </c>
      <c r="AD74" s="10">
        <v>18287000</v>
      </c>
      <c r="AE74" s="10">
        <v>18287000</v>
      </c>
      <c r="AF74" s="10">
        <v>18287000</v>
      </c>
      <c r="AG74" s="10">
        <v>-8740000</v>
      </c>
      <c r="AH74" s="10">
        <v>-8740000</v>
      </c>
      <c r="AI74" s="10">
        <v>46272000</v>
      </c>
      <c r="AJ74" s="10">
        <v>17126573.158227</v>
      </c>
      <c r="AK74" s="10">
        <v>19987000</v>
      </c>
      <c r="AL74" s="10">
        <v>31163000</v>
      </c>
      <c r="AM74" s="10">
        <v>103075000</v>
      </c>
      <c r="AN74" s="10"/>
      <c r="AO74" s="10">
        <v>2933000</v>
      </c>
      <c r="AP74" s="10">
        <v>1324000</v>
      </c>
      <c r="AQ74" s="10"/>
      <c r="AR74" s="10"/>
      <c r="AS74" s="10">
        <v>25356000</v>
      </c>
      <c r="AT74" s="10">
        <v>51925000</v>
      </c>
      <c r="AU74" s="10">
        <v>13785000</v>
      </c>
      <c r="AV74" s="10"/>
      <c r="AW74" s="10"/>
      <c r="AX74" s="10"/>
      <c r="AY74" s="10">
        <v>1609000</v>
      </c>
      <c r="AZ74" s="10">
        <v>448573.15822699998</v>
      </c>
      <c r="BA74" s="10">
        <v>7069000</v>
      </c>
      <c r="BB74" s="10">
        <v>0.27878999999999998</v>
      </c>
      <c r="BC74" s="10">
        <v>71912000</v>
      </c>
      <c r="BD74" s="10">
        <v>24094000</v>
      </c>
      <c r="BE74" s="10">
        <v>103075000</v>
      </c>
      <c r="BF74" s="10">
        <v>1609000</v>
      </c>
      <c r="BG74" s="10">
        <v>1609000</v>
      </c>
      <c r="BH74" s="10"/>
      <c r="BI74" s="10"/>
      <c r="BK74" s="10"/>
      <c r="BL74" s="10"/>
      <c r="BM74" s="10"/>
      <c r="BN74" s="41">
        <v>2024</v>
      </c>
      <c r="BO74" s="10"/>
      <c r="BP74" s="10"/>
      <c r="BQ74" s="10">
        <v>-1609000</v>
      </c>
      <c r="BR74" s="10">
        <v>6202000</v>
      </c>
      <c r="BS74" s="10"/>
      <c r="BT74" s="10"/>
      <c r="BU74" s="10"/>
      <c r="BV74" s="10"/>
      <c r="BW74" s="10"/>
      <c r="BX74" s="10"/>
      <c r="BY74" t="s">
        <v>659</v>
      </c>
    </row>
    <row r="75" spans="1:77" x14ac:dyDescent="0.35">
      <c r="A75" t="s">
        <v>660</v>
      </c>
      <c r="B75" s="22">
        <v>43830</v>
      </c>
      <c r="C75">
        <v>2019</v>
      </c>
      <c r="D75" t="s">
        <v>212</v>
      </c>
      <c r="E75" t="s">
        <v>213</v>
      </c>
      <c r="F75" s="10"/>
      <c r="G75" s="10"/>
      <c r="H75" s="41"/>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v>168969000</v>
      </c>
      <c r="AZ75" s="10"/>
      <c r="BA75" s="10"/>
      <c r="BB75" s="10"/>
      <c r="BC75" s="10"/>
      <c r="BD75" s="10"/>
      <c r="BE75" s="10"/>
      <c r="BF75" s="10">
        <v>168969000</v>
      </c>
      <c r="BG75" s="10">
        <v>168969000</v>
      </c>
      <c r="BH75" s="10"/>
      <c r="BI75" s="10"/>
      <c r="BK75" s="10"/>
      <c r="BL75" s="10"/>
      <c r="BM75" s="10"/>
      <c r="BN75" s="41">
        <v>2019</v>
      </c>
      <c r="BO75" s="10"/>
      <c r="BP75" s="10"/>
      <c r="BQ75" s="10">
        <v>-168969000</v>
      </c>
      <c r="BR75" s="10"/>
      <c r="BS75" s="10"/>
      <c r="BT75" s="10"/>
      <c r="BU75" s="10"/>
      <c r="BV75" s="10"/>
      <c r="BW75" s="10"/>
      <c r="BX75" s="10"/>
      <c r="BY75" t="s">
        <v>661</v>
      </c>
    </row>
    <row r="76" spans="1:77" hidden="1" x14ac:dyDescent="0.35">
      <c r="A76" t="s">
        <v>660</v>
      </c>
      <c r="B76" s="22">
        <v>43830</v>
      </c>
      <c r="C76">
        <v>2019</v>
      </c>
      <c r="D76" t="s">
        <v>214</v>
      </c>
      <c r="E76" t="s">
        <v>213</v>
      </c>
      <c r="F76" s="10"/>
      <c r="G76" s="10"/>
      <c r="H76" s="41"/>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K76" s="10"/>
      <c r="BL76" s="10"/>
      <c r="BM76" s="10"/>
      <c r="BN76" s="41">
        <v>2019</v>
      </c>
      <c r="BO76" s="10"/>
      <c r="BP76" s="10"/>
      <c r="BQ76" s="10">
        <v>-168969000</v>
      </c>
      <c r="BR76" s="10"/>
      <c r="BS76" s="10"/>
      <c r="BT76" s="10"/>
      <c r="BU76" s="10"/>
      <c r="BV76" s="10"/>
      <c r="BW76" s="10"/>
      <c r="BX76" s="10"/>
      <c r="BY76" t="s">
        <v>661</v>
      </c>
    </row>
    <row r="77" spans="1:77" x14ac:dyDescent="0.35">
      <c r="A77" t="s">
        <v>660</v>
      </c>
      <c r="B77" s="22">
        <v>44196</v>
      </c>
      <c r="C77">
        <v>2020</v>
      </c>
      <c r="D77" t="s">
        <v>212</v>
      </c>
      <c r="E77" t="s">
        <v>213</v>
      </c>
      <c r="F77" s="10"/>
      <c r="G77" s="10">
        <v>59657000</v>
      </c>
      <c r="H77" s="41">
        <v>1.19</v>
      </c>
      <c r="I77" s="10">
        <v>244728000</v>
      </c>
      <c r="J77" s="10"/>
      <c r="K77" s="10"/>
      <c r="L77" s="10">
        <v>60845000</v>
      </c>
      <c r="M77" s="10">
        <v>1.17</v>
      </c>
      <c r="N77" s="10">
        <v>71176000</v>
      </c>
      <c r="O77" s="10">
        <v>70487000</v>
      </c>
      <c r="P77" s="10">
        <v>98589000</v>
      </c>
      <c r="Q77" s="10"/>
      <c r="R77" s="10"/>
      <c r="S77" s="10"/>
      <c r="T77" s="10">
        <v>36895000</v>
      </c>
      <c r="U77" s="10">
        <v>243590000</v>
      </c>
      <c r="V77" s="10"/>
      <c r="W77" s="10"/>
      <c r="X77" s="10"/>
      <c r="Y77" s="10"/>
      <c r="Z77" s="10"/>
      <c r="AA77" s="10">
        <v>71176000</v>
      </c>
      <c r="AB77" s="10">
        <v>71176000</v>
      </c>
      <c r="AC77" s="10">
        <v>71176000</v>
      </c>
      <c r="AD77" s="10">
        <v>71176000</v>
      </c>
      <c r="AE77" s="10">
        <v>71176000</v>
      </c>
      <c r="AF77" s="10">
        <v>71176000</v>
      </c>
      <c r="AG77" s="10"/>
      <c r="AH77" s="10"/>
      <c r="AI77" s="10">
        <v>98589000</v>
      </c>
      <c r="AJ77" s="10">
        <v>71176000</v>
      </c>
      <c r="AK77" s="10">
        <v>173103000</v>
      </c>
      <c r="AL77" s="10">
        <v>70487000</v>
      </c>
      <c r="AM77" s="10">
        <v>488318000</v>
      </c>
      <c r="AN77" s="10">
        <v>36895000</v>
      </c>
      <c r="AO77" s="10">
        <v>4764000</v>
      </c>
      <c r="AP77" s="10">
        <v>4764000</v>
      </c>
      <c r="AQ77" s="10"/>
      <c r="AR77" s="10"/>
      <c r="AS77" s="10">
        <v>75251000</v>
      </c>
      <c r="AT77" s="10">
        <v>244728000</v>
      </c>
      <c r="AU77" s="10">
        <v>28102000</v>
      </c>
      <c r="AV77" s="10">
        <v>81711000</v>
      </c>
      <c r="AW77" s="10">
        <v>54497000</v>
      </c>
      <c r="AX77" s="10">
        <v>91392000</v>
      </c>
      <c r="AY77" s="10">
        <v>0</v>
      </c>
      <c r="AZ77" s="10">
        <v>0</v>
      </c>
      <c r="BA77" s="10">
        <v>4075000</v>
      </c>
      <c r="BB77" s="10">
        <v>5.3999999999999999E-2</v>
      </c>
      <c r="BC77" s="10">
        <v>417831000</v>
      </c>
      <c r="BD77" s="10">
        <v>70487000</v>
      </c>
      <c r="BE77" s="10">
        <v>488318000</v>
      </c>
      <c r="BF77" s="10">
        <v>0</v>
      </c>
      <c r="BG77" s="10">
        <v>0</v>
      </c>
      <c r="BH77" s="10"/>
      <c r="BI77" s="10"/>
      <c r="BK77" s="10"/>
      <c r="BL77" s="10"/>
      <c r="BM77" s="10"/>
      <c r="BN77" s="41">
        <v>2020</v>
      </c>
      <c r="BO77" s="10"/>
      <c r="BP77" s="10"/>
      <c r="BQ77" s="10"/>
      <c r="BR77" s="10"/>
      <c r="BS77" s="10"/>
      <c r="BT77" s="10"/>
      <c r="BU77" s="10"/>
      <c r="BV77" s="10"/>
      <c r="BW77" s="10"/>
      <c r="BX77" s="10"/>
      <c r="BY77" t="s">
        <v>661</v>
      </c>
    </row>
    <row r="78" spans="1:77" x14ac:dyDescent="0.35">
      <c r="A78" t="s">
        <v>660</v>
      </c>
      <c r="B78" s="22">
        <v>44561</v>
      </c>
      <c r="C78">
        <v>2021</v>
      </c>
      <c r="D78" t="s">
        <v>212</v>
      </c>
      <c r="E78" t="s">
        <v>213</v>
      </c>
      <c r="F78" s="10"/>
      <c r="G78" s="10">
        <v>60327000</v>
      </c>
      <c r="H78" s="41">
        <v>2.73</v>
      </c>
      <c r="I78" s="10">
        <v>342638000</v>
      </c>
      <c r="J78" s="10"/>
      <c r="K78" s="10"/>
      <c r="L78" s="10">
        <v>61467000</v>
      </c>
      <c r="M78" s="10">
        <v>2.67</v>
      </c>
      <c r="N78" s="10">
        <v>164413000</v>
      </c>
      <c r="O78" s="10">
        <v>175058000</v>
      </c>
      <c r="P78" s="10">
        <v>210006000</v>
      </c>
      <c r="Q78" s="10"/>
      <c r="R78" s="10"/>
      <c r="S78" s="10"/>
      <c r="T78" s="10">
        <v>39840000</v>
      </c>
      <c r="U78" s="10">
        <v>360639000</v>
      </c>
      <c r="V78" s="10"/>
      <c r="W78" s="10"/>
      <c r="X78" s="10"/>
      <c r="Y78" s="10"/>
      <c r="Z78" s="10"/>
      <c r="AA78" s="10">
        <v>164413000</v>
      </c>
      <c r="AB78" s="10">
        <v>164413000</v>
      </c>
      <c r="AC78" s="10">
        <v>164413000</v>
      </c>
      <c r="AD78" s="10">
        <v>164413000</v>
      </c>
      <c r="AE78" s="10">
        <v>164413000</v>
      </c>
      <c r="AF78" s="10">
        <v>164413000</v>
      </c>
      <c r="AG78" s="10"/>
      <c r="AH78" s="10"/>
      <c r="AI78" s="10">
        <v>210006000</v>
      </c>
      <c r="AJ78" s="10">
        <v>164413000</v>
      </c>
      <c r="AK78" s="10">
        <v>185581000</v>
      </c>
      <c r="AL78" s="10">
        <v>175058000</v>
      </c>
      <c r="AM78" s="10">
        <v>703277000</v>
      </c>
      <c r="AN78" s="10">
        <v>39840000</v>
      </c>
      <c r="AO78" s="10">
        <v>1077000</v>
      </c>
      <c r="AP78" s="10">
        <v>1077000</v>
      </c>
      <c r="AQ78" s="10"/>
      <c r="AR78" s="10"/>
      <c r="AS78" s="10">
        <v>176135000</v>
      </c>
      <c r="AT78" s="10">
        <v>342638000</v>
      </c>
      <c r="AU78" s="10">
        <v>34948000</v>
      </c>
      <c r="AV78" s="10">
        <v>84933000</v>
      </c>
      <c r="AW78" s="10">
        <v>60808000</v>
      </c>
      <c r="AX78" s="10">
        <v>100648000</v>
      </c>
      <c r="AY78" s="10">
        <v>0</v>
      </c>
      <c r="AZ78" s="10">
        <v>0</v>
      </c>
      <c r="BA78" s="10">
        <v>11722000</v>
      </c>
      <c r="BB78" s="10">
        <v>6.7000000000000004E-2</v>
      </c>
      <c r="BC78" s="10">
        <v>528219000</v>
      </c>
      <c r="BD78" s="10">
        <v>175058000</v>
      </c>
      <c r="BE78" s="10">
        <v>703277000</v>
      </c>
      <c r="BF78" s="10">
        <v>0</v>
      </c>
      <c r="BG78" s="10">
        <v>0</v>
      </c>
      <c r="BH78" s="10"/>
      <c r="BI78" s="10"/>
      <c r="BK78" s="10"/>
      <c r="BL78" s="10"/>
      <c r="BM78" s="10"/>
      <c r="BN78" s="41">
        <v>2021</v>
      </c>
      <c r="BO78" s="10"/>
      <c r="BP78" s="10"/>
      <c r="BQ78" s="10"/>
      <c r="BR78" s="10"/>
      <c r="BS78" s="10"/>
      <c r="BT78" s="10"/>
      <c r="BU78" s="10"/>
      <c r="BV78" s="10"/>
      <c r="BW78" s="10"/>
      <c r="BX78" s="10"/>
      <c r="BY78" t="s">
        <v>661</v>
      </c>
    </row>
    <row r="79" spans="1:77" hidden="1" x14ac:dyDescent="0.35">
      <c r="A79" t="s">
        <v>660</v>
      </c>
      <c r="B79" s="22">
        <v>44561</v>
      </c>
      <c r="C79">
        <v>2021</v>
      </c>
      <c r="D79" t="s">
        <v>214</v>
      </c>
      <c r="E79" t="s">
        <v>213</v>
      </c>
      <c r="F79" s="10"/>
      <c r="G79" s="10">
        <v>60327000</v>
      </c>
      <c r="H79" s="41">
        <v>2.73</v>
      </c>
      <c r="I79" s="10"/>
      <c r="J79" s="10"/>
      <c r="K79" s="10"/>
      <c r="L79" s="10">
        <v>61467000</v>
      </c>
      <c r="M79" s="10">
        <v>2.67</v>
      </c>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K79" s="10"/>
      <c r="BL79" s="10"/>
      <c r="BM79" s="10"/>
      <c r="BN79" s="41">
        <v>2021</v>
      </c>
      <c r="BO79" s="10"/>
      <c r="BP79" s="10"/>
      <c r="BQ79" s="10"/>
      <c r="BR79" s="10"/>
      <c r="BS79" s="10"/>
      <c r="BT79" s="10"/>
      <c r="BU79" s="10"/>
      <c r="BV79" s="10"/>
      <c r="BW79" s="10"/>
      <c r="BX79" s="10"/>
      <c r="BY79" t="s">
        <v>661</v>
      </c>
    </row>
    <row r="80" spans="1:77" x14ac:dyDescent="0.35">
      <c r="A80" t="s">
        <v>660</v>
      </c>
      <c r="B80" s="22">
        <v>44926</v>
      </c>
      <c r="C80">
        <v>2022</v>
      </c>
      <c r="D80" t="s">
        <v>212</v>
      </c>
      <c r="E80" t="s">
        <v>213</v>
      </c>
      <c r="F80" s="10"/>
      <c r="G80" s="10">
        <v>57801000</v>
      </c>
      <c r="H80" s="41">
        <v>2.96</v>
      </c>
      <c r="I80" s="10">
        <v>284231000</v>
      </c>
      <c r="J80" s="10"/>
      <c r="K80" s="10"/>
      <c r="L80" s="10">
        <v>58371000</v>
      </c>
      <c r="M80" s="10">
        <v>2.93</v>
      </c>
      <c r="N80" s="10">
        <v>170851000</v>
      </c>
      <c r="O80" s="10">
        <v>180412000</v>
      </c>
      <c r="P80" s="10">
        <v>217757000</v>
      </c>
      <c r="Q80" s="10"/>
      <c r="R80" s="10"/>
      <c r="S80" s="10"/>
      <c r="T80" s="10">
        <v>28897000</v>
      </c>
      <c r="U80" s="10">
        <v>366907000</v>
      </c>
      <c r="V80" s="10"/>
      <c r="W80" s="10"/>
      <c r="X80" s="10"/>
      <c r="Y80" s="10"/>
      <c r="Z80" s="10"/>
      <c r="AA80" s="10">
        <v>170851000</v>
      </c>
      <c r="AB80" s="10">
        <v>170851000</v>
      </c>
      <c r="AC80" s="10">
        <v>170851000</v>
      </c>
      <c r="AD80" s="10">
        <v>170851000</v>
      </c>
      <c r="AE80" s="10">
        <v>170851000</v>
      </c>
      <c r="AF80" s="10">
        <v>170851000</v>
      </c>
      <c r="AG80" s="10"/>
      <c r="AH80" s="10"/>
      <c r="AI80" s="10">
        <v>217757000</v>
      </c>
      <c r="AJ80" s="10">
        <v>170851000</v>
      </c>
      <c r="AK80" s="10">
        <v>186495000</v>
      </c>
      <c r="AL80" s="10">
        <v>180412000</v>
      </c>
      <c r="AM80" s="10">
        <v>651138000</v>
      </c>
      <c r="AN80" s="10">
        <v>28897000</v>
      </c>
      <c r="AO80" s="10">
        <v>3014000</v>
      </c>
      <c r="AP80" s="10">
        <v>3014000</v>
      </c>
      <c r="AQ80" s="10">
        <v>1130000</v>
      </c>
      <c r="AR80" s="10"/>
      <c r="AS80" s="10">
        <v>183426000</v>
      </c>
      <c r="AT80" s="10">
        <v>284231000</v>
      </c>
      <c r="AU80" s="10">
        <v>37345000</v>
      </c>
      <c r="AV80" s="10">
        <v>93894000</v>
      </c>
      <c r="AW80" s="10">
        <v>62574000</v>
      </c>
      <c r="AX80" s="10">
        <v>91471000</v>
      </c>
      <c r="AY80" s="10">
        <v>-1130000</v>
      </c>
      <c r="AZ80" s="10">
        <v>0</v>
      </c>
      <c r="BA80" s="10">
        <v>12575000</v>
      </c>
      <c r="BB80" s="10">
        <v>6.9000000000000006E-2</v>
      </c>
      <c r="BC80" s="10">
        <v>470726000</v>
      </c>
      <c r="BD80" s="10">
        <v>180412000</v>
      </c>
      <c r="BE80" s="10">
        <v>651138000</v>
      </c>
      <c r="BF80" s="10">
        <v>-1130000</v>
      </c>
      <c r="BG80" s="10">
        <v>-1130000</v>
      </c>
      <c r="BH80" s="10"/>
      <c r="BI80" s="10"/>
      <c r="BK80" s="10"/>
      <c r="BL80" s="10"/>
      <c r="BM80" s="10"/>
      <c r="BN80" s="41">
        <v>2022</v>
      </c>
      <c r="BO80" s="10"/>
      <c r="BP80" s="10"/>
      <c r="BQ80" s="10">
        <v>1130000</v>
      </c>
      <c r="BR80" s="10"/>
      <c r="BS80" s="10"/>
      <c r="BT80" s="10"/>
      <c r="BU80" s="10"/>
      <c r="BV80" s="10"/>
      <c r="BW80" s="10"/>
      <c r="BX80" s="10"/>
      <c r="BY80" t="s">
        <v>661</v>
      </c>
    </row>
    <row r="81" spans="1:77" hidden="1" x14ac:dyDescent="0.35">
      <c r="A81" t="s">
        <v>660</v>
      </c>
      <c r="B81" s="22">
        <v>45199</v>
      </c>
      <c r="C81">
        <v>2023</v>
      </c>
      <c r="D81" t="s">
        <v>214</v>
      </c>
      <c r="E81" t="s">
        <v>213</v>
      </c>
      <c r="F81" s="10"/>
      <c r="G81" s="10">
        <v>57233250</v>
      </c>
      <c r="H81" s="41">
        <v>1.1299999999999999</v>
      </c>
      <c r="I81" s="10"/>
      <c r="J81" s="10"/>
      <c r="K81" s="10"/>
      <c r="L81" s="10">
        <v>57678000</v>
      </c>
      <c r="M81" s="10">
        <v>1.1299999999999999</v>
      </c>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K81" s="10"/>
      <c r="BL81" s="10"/>
      <c r="BM81" s="10"/>
      <c r="BN81" s="41">
        <v>2023</v>
      </c>
      <c r="BO81" s="10"/>
      <c r="BP81" s="10"/>
      <c r="BQ81" s="10"/>
      <c r="BR81" s="10"/>
      <c r="BS81" s="10"/>
      <c r="BT81" s="10"/>
      <c r="BU81" s="10"/>
      <c r="BV81" s="10"/>
      <c r="BW81" s="10"/>
      <c r="BX81" s="10"/>
      <c r="BY81" t="s">
        <v>661</v>
      </c>
    </row>
    <row r="82" spans="1:77" x14ac:dyDescent="0.35">
      <c r="A82" t="s">
        <v>660</v>
      </c>
      <c r="B82" s="22">
        <v>45291</v>
      </c>
      <c r="C82">
        <v>2023</v>
      </c>
      <c r="D82" t="s">
        <v>212</v>
      </c>
      <c r="E82" t="s">
        <v>213</v>
      </c>
      <c r="F82" s="10"/>
      <c r="G82" s="10">
        <v>57195000</v>
      </c>
      <c r="H82" s="41">
        <v>0.97</v>
      </c>
      <c r="I82" s="10">
        <v>215582000</v>
      </c>
      <c r="J82" s="10"/>
      <c r="K82" s="10"/>
      <c r="L82" s="10">
        <v>57622000</v>
      </c>
      <c r="M82" s="10">
        <v>0.97</v>
      </c>
      <c r="N82" s="10">
        <v>55735000</v>
      </c>
      <c r="O82" s="10">
        <v>35059000</v>
      </c>
      <c r="P82" s="10">
        <v>72435000</v>
      </c>
      <c r="Q82" s="10"/>
      <c r="R82" s="10"/>
      <c r="S82" s="10"/>
      <c r="T82" s="10">
        <v>33232000</v>
      </c>
      <c r="U82" s="10">
        <v>228956000</v>
      </c>
      <c r="V82" s="10"/>
      <c r="W82" s="10"/>
      <c r="X82" s="10"/>
      <c r="Y82" s="10"/>
      <c r="Z82" s="10"/>
      <c r="AA82" s="10">
        <v>55735000</v>
      </c>
      <c r="AB82" s="10">
        <v>55735000</v>
      </c>
      <c r="AC82" s="10">
        <v>55735000</v>
      </c>
      <c r="AD82" s="10">
        <v>55735000</v>
      </c>
      <c r="AE82" s="10">
        <v>55735000</v>
      </c>
      <c r="AF82" s="10">
        <v>55735000</v>
      </c>
      <c r="AG82" s="10"/>
      <c r="AH82" s="10"/>
      <c r="AI82" s="10">
        <v>72435000</v>
      </c>
      <c r="AJ82" s="10">
        <v>55735000</v>
      </c>
      <c r="AK82" s="10">
        <v>193897000</v>
      </c>
      <c r="AL82" s="10">
        <v>35059000</v>
      </c>
      <c r="AM82" s="10">
        <v>444538000</v>
      </c>
      <c r="AN82" s="10">
        <v>33232000</v>
      </c>
      <c r="AO82" s="10">
        <v>10848000</v>
      </c>
      <c r="AP82" s="10">
        <v>10848000</v>
      </c>
      <c r="AQ82" s="10"/>
      <c r="AR82" s="10"/>
      <c r="AS82" s="10">
        <v>45907000</v>
      </c>
      <c r="AT82" s="10">
        <v>215582000</v>
      </c>
      <c r="AU82" s="10">
        <v>37376000</v>
      </c>
      <c r="AV82" s="10">
        <v>96067000</v>
      </c>
      <c r="AW82" s="10">
        <v>64598000</v>
      </c>
      <c r="AX82" s="10">
        <v>97830000</v>
      </c>
      <c r="AY82" s="10"/>
      <c r="AZ82" s="10">
        <v>0</v>
      </c>
      <c r="BA82" s="10">
        <v>-9828000</v>
      </c>
      <c r="BB82" s="10">
        <v>0.21</v>
      </c>
      <c r="BC82" s="10">
        <v>409479000</v>
      </c>
      <c r="BD82" s="10">
        <v>35059000</v>
      </c>
      <c r="BE82" s="10">
        <v>444538000</v>
      </c>
      <c r="BF82" s="10"/>
      <c r="BG82" s="10"/>
      <c r="BH82" s="10"/>
      <c r="BI82" s="10"/>
      <c r="BK82" s="10"/>
      <c r="BL82" s="10"/>
      <c r="BM82" s="10"/>
      <c r="BN82" s="41">
        <v>2023</v>
      </c>
      <c r="BO82" s="10"/>
      <c r="BP82" s="10"/>
      <c r="BQ82" s="10"/>
      <c r="BR82" s="10"/>
      <c r="BS82" s="10"/>
      <c r="BT82" s="10"/>
      <c r="BU82" s="10"/>
      <c r="BV82" s="10"/>
      <c r="BW82" s="10"/>
      <c r="BX82" s="10"/>
      <c r="BY82" t="s">
        <v>661</v>
      </c>
    </row>
    <row r="83" spans="1:77" hidden="1" x14ac:dyDescent="0.35">
      <c r="A83" t="s">
        <v>660</v>
      </c>
      <c r="B83" s="22">
        <v>45291</v>
      </c>
      <c r="C83">
        <v>2023</v>
      </c>
      <c r="D83" t="s">
        <v>214</v>
      </c>
      <c r="E83" t="s">
        <v>213</v>
      </c>
      <c r="F83" s="10"/>
      <c r="G83" s="10">
        <v>57195000</v>
      </c>
      <c r="H83" s="41">
        <v>0.97</v>
      </c>
      <c r="I83" s="10"/>
      <c r="J83" s="10"/>
      <c r="K83" s="10"/>
      <c r="L83" s="10">
        <v>57622000</v>
      </c>
      <c r="M83" s="10">
        <v>0.97</v>
      </c>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K83" s="10"/>
      <c r="BL83" s="10"/>
      <c r="BM83" s="10"/>
      <c r="BN83" s="41">
        <v>2023</v>
      </c>
      <c r="BO83" s="10"/>
      <c r="BP83" s="10"/>
      <c r="BQ83" s="10"/>
      <c r="BR83" s="10"/>
      <c r="BS83" s="10"/>
      <c r="BT83" s="10"/>
      <c r="BU83" s="10"/>
      <c r="BV83" s="10"/>
      <c r="BW83" s="10"/>
      <c r="BX83" s="10"/>
      <c r="BY83" t="s">
        <v>661</v>
      </c>
    </row>
    <row r="84" spans="1:77" hidden="1" x14ac:dyDescent="0.35">
      <c r="A84" t="s">
        <v>660</v>
      </c>
      <c r="B84" s="22">
        <v>45382</v>
      </c>
      <c r="C84">
        <v>2024</v>
      </c>
      <c r="D84" t="s">
        <v>214</v>
      </c>
      <c r="E84" t="s">
        <v>213</v>
      </c>
      <c r="F84" s="10"/>
      <c r="G84" s="10">
        <v>57127000</v>
      </c>
      <c r="H84" s="41">
        <v>0.92</v>
      </c>
      <c r="I84" s="10"/>
      <c r="J84" s="10"/>
      <c r="K84" s="10"/>
      <c r="L84" s="10">
        <v>57510250</v>
      </c>
      <c r="M84" s="10">
        <v>0.92</v>
      </c>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K84" s="10"/>
      <c r="BL84" s="10"/>
      <c r="BM84" s="10"/>
      <c r="BN84" s="41">
        <v>2024</v>
      </c>
      <c r="BO84" s="10"/>
      <c r="BP84" s="10"/>
      <c r="BQ84" s="10"/>
      <c r="BR84" s="10"/>
      <c r="BS84" s="10"/>
      <c r="BT84" s="10"/>
      <c r="BU84" s="10"/>
      <c r="BV84" s="10"/>
      <c r="BW84" s="10"/>
      <c r="BX84" s="10"/>
      <c r="BY84" t="s">
        <v>661</v>
      </c>
    </row>
    <row r="85" spans="1:77" hidden="1" x14ac:dyDescent="0.35">
      <c r="A85" t="s">
        <v>660</v>
      </c>
      <c r="B85" s="22">
        <v>45473</v>
      </c>
      <c r="C85">
        <v>2024</v>
      </c>
      <c r="D85" t="s">
        <v>214</v>
      </c>
      <c r="E85" t="s">
        <v>213</v>
      </c>
      <c r="F85" s="10"/>
      <c r="G85" s="10">
        <v>56983000</v>
      </c>
      <c r="H85" s="41">
        <v>0.74</v>
      </c>
      <c r="I85" s="10">
        <v>196438000</v>
      </c>
      <c r="J85" s="10"/>
      <c r="K85" s="10"/>
      <c r="L85" s="10">
        <v>57347000</v>
      </c>
      <c r="M85" s="10">
        <v>0.74</v>
      </c>
      <c r="N85" s="10">
        <v>42870000</v>
      </c>
      <c r="O85" s="10">
        <v>19089000</v>
      </c>
      <c r="P85" s="10">
        <v>55695000</v>
      </c>
      <c r="Q85" s="10"/>
      <c r="R85" s="10"/>
      <c r="S85" s="10"/>
      <c r="T85" s="10">
        <v>35065000</v>
      </c>
      <c r="U85" s="10">
        <v>216466000</v>
      </c>
      <c r="V85" s="10"/>
      <c r="W85" s="10"/>
      <c r="X85" s="10"/>
      <c r="Y85" s="10"/>
      <c r="Z85" s="10"/>
      <c r="AA85" s="10">
        <v>42870000</v>
      </c>
      <c r="AB85" s="10">
        <v>42870000</v>
      </c>
      <c r="AC85" s="10">
        <v>42870000</v>
      </c>
      <c r="AD85" s="10">
        <v>42870000</v>
      </c>
      <c r="AE85" s="10">
        <v>42870000</v>
      </c>
      <c r="AF85" s="10">
        <v>42870000</v>
      </c>
      <c r="AG85" s="10"/>
      <c r="AH85" s="10"/>
      <c r="AI85" s="10">
        <v>55695000</v>
      </c>
      <c r="AJ85" s="10">
        <v>42870000</v>
      </c>
      <c r="AK85" s="10">
        <v>197377000</v>
      </c>
      <c r="AL85" s="10">
        <v>19089000</v>
      </c>
      <c r="AM85" s="10">
        <v>412904000</v>
      </c>
      <c r="AN85" s="10">
        <v>35065000</v>
      </c>
      <c r="AO85" s="10">
        <v>13111000</v>
      </c>
      <c r="AP85" s="10">
        <v>13111000</v>
      </c>
      <c r="AQ85" s="10"/>
      <c r="AR85" s="10"/>
      <c r="AS85" s="10">
        <v>32200000</v>
      </c>
      <c r="AT85" s="10">
        <v>196438000</v>
      </c>
      <c r="AU85" s="10">
        <v>36606000</v>
      </c>
      <c r="AV85" s="10">
        <v>96841000</v>
      </c>
      <c r="AW85" s="10">
        <v>65471000</v>
      </c>
      <c r="AX85" s="10">
        <v>100536000</v>
      </c>
      <c r="AY85" s="10"/>
      <c r="AZ85" s="10">
        <v>0</v>
      </c>
      <c r="BA85" s="10">
        <v>-10670000</v>
      </c>
      <c r="BB85" s="10">
        <v>0.21</v>
      </c>
      <c r="BC85" s="10">
        <v>393815000</v>
      </c>
      <c r="BD85" s="10">
        <v>19089000</v>
      </c>
      <c r="BE85" s="10">
        <v>412904000</v>
      </c>
      <c r="BF85" s="10"/>
      <c r="BG85" s="10"/>
      <c r="BH85" s="10"/>
      <c r="BI85" s="10"/>
      <c r="BK85" s="10"/>
      <c r="BL85" s="10"/>
      <c r="BM85" s="10"/>
      <c r="BN85" s="41">
        <v>2024</v>
      </c>
      <c r="BO85" s="10"/>
      <c r="BP85" s="10"/>
      <c r="BQ85" s="10"/>
      <c r="BR85" s="10"/>
      <c r="BS85" s="10"/>
      <c r="BT85" s="10"/>
      <c r="BU85" s="10"/>
      <c r="BV85" s="10"/>
      <c r="BW85" s="10"/>
      <c r="BX85" s="10"/>
      <c r="BY85" t="s">
        <v>661</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34D6-7A27-41A5-855B-EE21BCCCE347}">
  <sheetPr>
    <tabColor theme="7" tint="0.79998168889431442"/>
  </sheetPr>
  <dimension ref="A1:ED52"/>
  <sheetViews>
    <sheetView showGridLines="0" zoomScaleNormal="100" workbookViewId="0">
      <selection activeCell="F1" sqref="F1"/>
    </sheetView>
  </sheetViews>
  <sheetFormatPr defaultRowHeight="14.5" x14ac:dyDescent="0.35"/>
  <cols>
    <col min="1" max="1" width="14.6328125" bestFit="1" customWidth="1"/>
    <col min="2" max="2" width="10.90625" bestFit="1" customWidth="1"/>
    <col min="3" max="3" width="6.81640625" bestFit="1" customWidth="1"/>
    <col min="4" max="4" width="12.54296875" bestFit="1" customWidth="1"/>
    <col min="5" max="5" width="14.54296875" bestFit="1" customWidth="1"/>
    <col min="6" max="6" width="18.6328125" style="10" bestFit="1" customWidth="1"/>
    <col min="7" max="7" width="21" style="10" bestFit="1" customWidth="1"/>
    <col min="8" max="8" width="26.26953125" style="10" bestFit="1" customWidth="1"/>
    <col min="9" max="9" width="24.36328125" style="10" bestFit="1" customWidth="1"/>
    <col min="10" max="10" width="40.1796875" style="10" bestFit="1" customWidth="1"/>
    <col min="11" max="11" width="26.36328125" style="10" bestFit="1" customWidth="1"/>
    <col min="12" max="12" width="26.26953125" style="10" bestFit="1" customWidth="1"/>
    <col min="13" max="13" width="27.81640625" style="10" bestFit="1" customWidth="1"/>
    <col min="14" max="14" width="24.54296875" style="10" bestFit="1" customWidth="1"/>
    <col min="15" max="15" width="14.7265625" style="10" bestFit="1" customWidth="1"/>
    <col min="16" max="16" width="25.6328125" style="10" bestFit="1" customWidth="1"/>
    <col min="17" max="17" width="45.36328125" style="10" bestFit="1" customWidth="1"/>
    <col min="18" max="18" width="16.6328125" style="10" bestFit="1" customWidth="1"/>
    <col min="19" max="19" width="22" style="10" bestFit="1" customWidth="1"/>
    <col min="20" max="20" width="24.26953125" style="10" bestFit="1" customWidth="1"/>
    <col min="21" max="21" width="25.54296875" style="10" bestFit="1" customWidth="1"/>
    <col min="22" max="22" width="16.26953125" style="10" bestFit="1" customWidth="1"/>
    <col min="23" max="23" width="30.26953125" style="10" bestFit="1" customWidth="1"/>
    <col min="24" max="24" width="14.90625" style="10" bestFit="1" customWidth="1"/>
    <col min="25" max="25" width="37.90625" style="10" bestFit="1" customWidth="1"/>
    <col min="26" max="26" width="18.6328125" style="10" bestFit="1" customWidth="1"/>
    <col min="27" max="27" width="19.54296875" style="10" bestFit="1" customWidth="1"/>
    <col min="28" max="28" width="40.08984375" style="10" bestFit="1" customWidth="1"/>
    <col min="29" max="29" width="12" style="10" bestFit="1" customWidth="1"/>
    <col min="30" max="30" width="33" style="10" hidden="1" customWidth="1"/>
    <col min="31" max="31" width="24.6328125" style="10" hidden="1" customWidth="1"/>
    <col min="32" max="32" width="18.1796875" style="10" hidden="1" customWidth="1"/>
    <col min="33" max="33" width="25.90625" style="10" bestFit="1" customWidth="1"/>
    <col min="34" max="34" width="20.1796875" style="10" bestFit="1" customWidth="1"/>
    <col min="35" max="35" width="17.6328125" style="10" bestFit="1" customWidth="1"/>
    <col min="36" max="36" width="18.1796875" style="10" hidden="1" customWidth="1"/>
    <col min="37" max="37" width="27.1796875" style="10" hidden="1" customWidth="1"/>
    <col min="38" max="38" width="26.26953125" style="10" bestFit="1" customWidth="1"/>
    <col min="39" max="39" width="24.26953125" style="10" bestFit="1" customWidth="1"/>
    <col min="40" max="40" width="12" style="10" bestFit="1" customWidth="1"/>
    <col min="41" max="41" width="32.1796875" style="10" bestFit="1" customWidth="1"/>
    <col min="42" max="42" width="16.81640625" style="10" bestFit="1" customWidth="1"/>
    <col min="43" max="43" width="39.81640625" style="10" bestFit="1" customWidth="1"/>
    <col min="44" max="44" width="27.81640625" style="10" bestFit="1" customWidth="1"/>
    <col min="45" max="45" width="21.36328125" style="10" bestFit="1" customWidth="1"/>
    <col min="46" max="46" width="30.54296875" style="10" bestFit="1" customWidth="1"/>
    <col min="47" max="47" width="18.26953125" style="10" bestFit="1" customWidth="1"/>
    <col min="48" max="49" width="12" style="10" bestFit="1" customWidth="1"/>
    <col min="50" max="50" width="19.90625" style="10" bestFit="1" customWidth="1"/>
    <col min="51" max="51" width="29.81640625" style="10" bestFit="1" customWidth="1"/>
    <col min="52" max="52" width="34.6328125" style="10" bestFit="1" customWidth="1"/>
    <col min="53" max="53" width="28.36328125" style="10" bestFit="1" customWidth="1"/>
    <col min="54" max="54" width="24.36328125" style="10" bestFit="1" customWidth="1"/>
    <col min="55" max="55" width="21.26953125" style="10" bestFit="1" customWidth="1"/>
    <col min="56" max="56" width="25.453125" style="10" bestFit="1" customWidth="1"/>
    <col min="57" max="57" width="23.7265625" style="10" bestFit="1" customWidth="1"/>
    <col min="58" max="58" width="25.54296875" style="10" bestFit="1" customWidth="1"/>
    <col min="59" max="59" width="23.1796875" style="10" bestFit="1" customWidth="1"/>
    <col min="60" max="60" width="24.81640625" style="10" bestFit="1" customWidth="1"/>
    <col min="61" max="61" width="27.1796875" style="10" bestFit="1" customWidth="1"/>
    <col min="62" max="62" width="15.90625" style="10" bestFit="1" customWidth="1"/>
    <col min="63" max="63" width="18.08984375" style="10" bestFit="1" customWidth="1"/>
    <col min="64" max="64" width="19" style="10" bestFit="1" customWidth="1"/>
    <col min="65" max="65" width="28.90625" style="10" bestFit="1" customWidth="1"/>
    <col min="66" max="66" width="11.7265625" style="10" bestFit="1" customWidth="1"/>
    <col min="67" max="67" width="29.90625" style="10" bestFit="1" customWidth="1"/>
    <col min="68" max="68" width="50" style="10" bestFit="1" customWidth="1"/>
    <col min="69" max="69" width="37.26953125" style="10" bestFit="1" customWidth="1"/>
    <col min="70" max="70" width="16.26953125" style="10" bestFit="1" customWidth="1"/>
    <col min="71" max="71" width="13.08984375" style="10" bestFit="1" customWidth="1"/>
    <col min="72" max="72" width="14" style="10" bestFit="1" customWidth="1"/>
    <col min="73" max="73" width="16.90625" style="10" bestFit="1" customWidth="1"/>
    <col min="74" max="74" width="19" style="10" bestFit="1" customWidth="1"/>
    <col min="75" max="75" width="14.453125" style="10" bestFit="1" customWidth="1"/>
    <col min="76" max="76" width="20.6328125" style="10" bestFit="1" customWidth="1"/>
    <col min="77" max="77" width="20.54296875" style="10" bestFit="1" customWidth="1"/>
    <col min="78" max="78" width="14" style="10" bestFit="1" customWidth="1"/>
    <col min="79" max="79" width="20.26953125" style="10" bestFit="1" customWidth="1"/>
    <col min="80" max="80" width="12.7265625" style="10" bestFit="1" customWidth="1"/>
    <col min="81" max="81" width="32.90625" style="10" bestFit="1" customWidth="1"/>
    <col min="82" max="82" width="33.6328125" style="10" bestFit="1" customWidth="1"/>
    <col min="83" max="83" width="24.1796875" style="10" bestFit="1" customWidth="1"/>
    <col min="84" max="84" width="43.81640625" style="10" bestFit="1" customWidth="1"/>
    <col min="85" max="85" width="18.1796875" style="10" bestFit="1" customWidth="1"/>
    <col min="86" max="86" width="35" style="10" bestFit="1" customWidth="1"/>
    <col min="87" max="87" width="17.36328125" style="10" bestFit="1" customWidth="1"/>
    <col min="88" max="88" width="26.26953125" style="10" bestFit="1" customWidth="1"/>
    <col min="89" max="89" width="25.7265625" style="10" bestFit="1" customWidth="1"/>
    <col min="90" max="90" width="19.54296875" style="10" bestFit="1" customWidth="1"/>
    <col min="91" max="91" width="16.7265625" style="10" bestFit="1" customWidth="1"/>
    <col min="92" max="92" width="12.453125" style="10" bestFit="1" customWidth="1"/>
    <col min="93" max="93" width="27.453125" style="10" bestFit="1" customWidth="1"/>
    <col min="94" max="94" width="32.26953125" style="10" bestFit="1" customWidth="1"/>
    <col min="95" max="95" width="53.36328125" style="10" bestFit="1" customWidth="1"/>
    <col min="96" max="96" width="16.81640625" style="10" bestFit="1" customWidth="1"/>
    <col min="97" max="97" width="15.90625" style="10" bestFit="1" customWidth="1"/>
    <col min="98" max="98" width="17.08984375" style="10" bestFit="1" customWidth="1"/>
    <col min="99" max="99" width="18.08984375" style="10" bestFit="1" customWidth="1"/>
    <col min="100" max="100" width="15.7265625" style="10" bestFit="1" customWidth="1"/>
    <col min="101" max="101" width="17.453125" style="10" bestFit="1" customWidth="1"/>
    <col min="102" max="102" width="23.08984375" style="10" bestFit="1" customWidth="1"/>
    <col min="103" max="103" width="29.26953125" style="10" bestFit="1" customWidth="1"/>
    <col min="104" max="104" width="19.36328125" style="10" bestFit="1" customWidth="1"/>
    <col min="105" max="105" width="25.54296875" style="10" bestFit="1" customWidth="1"/>
    <col min="106" max="106" width="29.54296875" style="10" bestFit="1" customWidth="1"/>
    <col min="107" max="107" width="22.453125" style="10" bestFit="1" customWidth="1"/>
    <col min="108" max="108" width="19.26953125" style="10" bestFit="1" customWidth="1"/>
    <col min="109" max="109" width="38.7265625" style="10" bestFit="1" customWidth="1"/>
    <col min="110" max="110" width="33.26953125" style="10" bestFit="1" customWidth="1"/>
    <col min="111" max="111" width="30.81640625" style="10" bestFit="1" customWidth="1"/>
    <col min="112" max="112" width="10.6328125" style="10" bestFit="1" customWidth="1"/>
    <col min="113" max="113" width="14.81640625" style="10" bestFit="1" customWidth="1"/>
    <col min="114" max="114" width="27.08984375" style="10" bestFit="1" customWidth="1"/>
    <col min="115" max="115" width="25" style="10" bestFit="1" customWidth="1"/>
    <col min="116" max="116" width="17" style="10" bestFit="1" customWidth="1"/>
    <col min="117" max="117" width="24.26953125" style="10" bestFit="1" customWidth="1"/>
    <col min="118" max="118" width="16.26953125" style="10" bestFit="1" customWidth="1"/>
    <col min="119" max="119" width="20.81640625" style="10" bestFit="1" customWidth="1"/>
    <col min="120" max="120" width="23.81640625" style="10" bestFit="1" customWidth="1"/>
    <col min="121" max="121" width="31.08984375" style="10" bestFit="1" customWidth="1"/>
    <col min="122" max="122" width="18.81640625" style="10" bestFit="1" customWidth="1"/>
    <col min="123" max="123" width="19.81640625" style="10" bestFit="1" customWidth="1"/>
    <col min="124" max="124" width="18" style="10" bestFit="1" customWidth="1"/>
    <col min="125" max="125" width="23.90625" style="10" bestFit="1" customWidth="1"/>
    <col min="126" max="126" width="27.54296875" style="10" bestFit="1" customWidth="1"/>
    <col min="127" max="127" width="17.08984375" style="10" bestFit="1" customWidth="1"/>
    <col min="128" max="128" width="46.81640625" bestFit="1" customWidth="1"/>
    <col min="129" max="129" width="32.08984375" bestFit="1" customWidth="1"/>
    <col min="130" max="130" width="29.08984375" bestFit="1" customWidth="1"/>
    <col min="131" max="131" width="26.36328125" bestFit="1" customWidth="1"/>
    <col min="132" max="132" width="21.36328125" bestFit="1" customWidth="1"/>
    <col min="133" max="133" width="34.36328125" bestFit="1" customWidth="1"/>
    <col min="134" max="134" width="8.08984375" bestFit="1" customWidth="1"/>
    <col min="135" max="135" width="26.36328125" bestFit="1" customWidth="1"/>
    <col min="136" max="136" width="21.36328125" bestFit="1" customWidth="1"/>
    <col min="137" max="137" width="34.36328125" bestFit="1" customWidth="1"/>
    <col min="138" max="138" width="8.08984375" bestFit="1" customWidth="1"/>
    <col min="139" max="139" width="26.36328125" bestFit="1" customWidth="1"/>
    <col min="140" max="140" width="21.36328125" bestFit="1" customWidth="1"/>
    <col min="141" max="141" width="34.36328125" bestFit="1" customWidth="1"/>
    <col min="142" max="142" width="8.08984375" bestFit="1" customWidth="1"/>
    <col min="143" max="143" width="34.36328125" bestFit="1" customWidth="1"/>
    <col min="144" max="144" width="8.08984375" bestFit="1" customWidth="1"/>
    <col min="145" max="145" width="35.54296875" bestFit="1" customWidth="1"/>
    <col min="146" max="146" width="8.26953125" bestFit="1" customWidth="1"/>
    <col min="147" max="147" width="8.08984375" bestFit="1" customWidth="1"/>
    <col min="148" max="148" width="32.08984375" bestFit="1" customWidth="1"/>
    <col min="149" max="149" width="29.08984375" bestFit="1" customWidth="1"/>
    <col min="150" max="150" width="26.36328125" bestFit="1" customWidth="1"/>
    <col min="151" max="151" width="21.36328125" bestFit="1" customWidth="1"/>
    <col min="152" max="152" width="34.36328125" bestFit="1" customWidth="1"/>
    <col min="153" max="153" width="8.08984375" customWidth="1"/>
    <col min="154" max="154" width="26.36328125" bestFit="1" customWidth="1"/>
    <col min="155" max="155" width="21.36328125" customWidth="1"/>
    <col min="156" max="156" width="34.36328125" bestFit="1" customWidth="1"/>
    <col min="157" max="157" width="8.08984375" bestFit="1" customWidth="1"/>
    <col min="158" max="158" width="34.36328125" bestFit="1" customWidth="1"/>
    <col min="159" max="159" width="8.08984375" bestFit="1" customWidth="1"/>
    <col min="160" max="160" width="26.36328125" bestFit="1" customWidth="1"/>
    <col min="161" max="161" width="21.36328125" bestFit="1" customWidth="1"/>
    <col min="162" max="162" width="34.36328125" bestFit="1" customWidth="1"/>
    <col min="163" max="163" width="8.08984375" customWidth="1"/>
    <col min="164" max="164" width="26.36328125" bestFit="1" customWidth="1"/>
    <col min="165" max="165" width="21.36328125" bestFit="1" customWidth="1"/>
    <col min="166" max="166" width="34.36328125" bestFit="1" customWidth="1"/>
    <col min="167" max="167" width="8.08984375" bestFit="1" customWidth="1"/>
    <col min="168" max="168" width="26.36328125" bestFit="1" customWidth="1"/>
    <col min="169" max="169" width="21.36328125" bestFit="1" customWidth="1"/>
    <col min="170" max="170" width="34.36328125" customWidth="1"/>
    <col min="171" max="172" width="8.08984375" bestFit="1" customWidth="1"/>
    <col min="173" max="173" width="21.36328125" bestFit="1" customWidth="1"/>
    <col min="174" max="174" width="34.36328125" bestFit="1" customWidth="1"/>
    <col min="175" max="175" width="8.08984375" bestFit="1" customWidth="1"/>
    <col min="176" max="176" width="21.36328125" bestFit="1" customWidth="1"/>
    <col min="177" max="177" width="34.36328125" bestFit="1" customWidth="1"/>
    <col min="178" max="178" width="8.08984375" bestFit="1" customWidth="1"/>
    <col min="179" max="179" width="21.36328125" customWidth="1"/>
    <col min="180" max="180" width="34.36328125" bestFit="1" customWidth="1"/>
    <col min="181" max="181" width="8.08984375" bestFit="1" customWidth="1"/>
    <col min="182" max="182" width="34.36328125" bestFit="1" customWidth="1"/>
    <col min="183" max="183" width="8.08984375" bestFit="1" customWidth="1"/>
    <col min="184" max="184" width="26.36328125" bestFit="1" customWidth="1"/>
    <col min="185" max="185" width="21.36328125" bestFit="1" customWidth="1"/>
    <col min="186" max="186" width="34.36328125" bestFit="1" customWidth="1"/>
    <col min="187" max="187" width="8.08984375" bestFit="1" customWidth="1"/>
    <col min="188" max="188" width="35.54296875" bestFit="1" customWidth="1"/>
    <col min="189" max="189" width="8.26953125" bestFit="1" customWidth="1"/>
    <col min="190" max="190" width="35.54296875" bestFit="1" customWidth="1"/>
    <col min="191" max="191" width="8.26953125" customWidth="1"/>
  </cols>
  <sheetData>
    <row r="1" spans="1:134" x14ac:dyDescent="0.35">
      <c r="A1" t="s">
        <v>139</v>
      </c>
      <c r="B1" t="s">
        <v>140</v>
      </c>
      <c r="C1" t="s">
        <v>475</v>
      </c>
      <c r="D1" t="s">
        <v>141</v>
      </c>
      <c r="E1" t="s">
        <v>142</v>
      </c>
      <c r="F1" s="10" t="s">
        <v>215</v>
      </c>
      <c r="G1" s="10" t="s">
        <v>216</v>
      </c>
      <c r="H1" s="10" t="s">
        <v>217</v>
      </c>
      <c r="I1" s="10" t="s">
        <v>218</v>
      </c>
      <c r="J1" s="10" t="s">
        <v>219</v>
      </c>
      <c r="K1" s="10" t="s">
        <v>220</v>
      </c>
      <c r="L1" s="10" t="s">
        <v>221</v>
      </c>
      <c r="M1" s="65" t="s">
        <v>222</v>
      </c>
      <c r="N1" s="10" t="s">
        <v>223</v>
      </c>
      <c r="O1" s="65" t="s">
        <v>224</v>
      </c>
      <c r="P1" s="10" t="s">
        <v>225</v>
      </c>
      <c r="Q1" s="65" t="s">
        <v>226</v>
      </c>
      <c r="R1" s="10" t="s">
        <v>227</v>
      </c>
      <c r="S1" s="65" t="s">
        <v>228</v>
      </c>
      <c r="T1" s="65" t="s">
        <v>229</v>
      </c>
      <c r="U1" s="10" t="s">
        <v>230</v>
      </c>
      <c r="V1" s="10" t="s">
        <v>231</v>
      </c>
      <c r="W1" s="10" t="s">
        <v>232</v>
      </c>
      <c r="X1" s="10" t="s">
        <v>233</v>
      </c>
      <c r="Y1" s="10" t="s">
        <v>234</v>
      </c>
      <c r="Z1" s="10" t="s">
        <v>235</v>
      </c>
      <c r="AA1" s="10" t="s">
        <v>236</v>
      </c>
      <c r="AB1" s="10" t="s">
        <v>237</v>
      </c>
      <c r="AC1" s="65" t="s">
        <v>238</v>
      </c>
      <c r="AD1" s="10" t="s">
        <v>239</v>
      </c>
      <c r="AE1" s="10" t="s">
        <v>240</v>
      </c>
      <c r="AF1" s="10" t="s">
        <v>241</v>
      </c>
      <c r="AG1" s="10" t="s">
        <v>242</v>
      </c>
      <c r="AH1" s="10" t="s">
        <v>243</v>
      </c>
      <c r="AI1" s="10" t="s">
        <v>244</v>
      </c>
      <c r="AJ1" s="65" t="s">
        <v>245</v>
      </c>
      <c r="AK1" s="10" t="s">
        <v>246</v>
      </c>
      <c r="AL1" s="10" t="s">
        <v>247</v>
      </c>
      <c r="AM1" s="65" t="s">
        <v>248</v>
      </c>
      <c r="AN1" s="10" t="s">
        <v>249</v>
      </c>
      <c r="AO1" s="107" t="s">
        <v>250</v>
      </c>
      <c r="AP1" s="107" t="s">
        <v>251</v>
      </c>
      <c r="AQ1" s="65" t="s">
        <v>252</v>
      </c>
      <c r="AR1" s="10" t="s">
        <v>253</v>
      </c>
      <c r="AS1" s="10" t="s">
        <v>254</v>
      </c>
      <c r="AT1" s="10" t="s">
        <v>255</v>
      </c>
      <c r="AU1" s="10" t="s">
        <v>256</v>
      </c>
      <c r="AV1" s="65" t="s">
        <v>257</v>
      </c>
      <c r="AW1" s="65" t="s">
        <v>258</v>
      </c>
      <c r="AX1" s="65" t="s">
        <v>259</v>
      </c>
      <c r="AY1" s="10" t="s">
        <v>260</v>
      </c>
      <c r="AZ1" s="10" t="s">
        <v>261</v>
      </c>
      <c r="BA1" s="10" t="s">
        <v>262</v>
      </c>
      <c r="BB1" s="65" t="s">
        <v>263</v>
      </c>
      <c r="BC1" s="10" t="s">
        <v>264</v>
      </c>
      <c r="BD1" s="65" t="s">
        <v>265</v>
      </c>
      <c r="BE1" s="10" t="s">
        <v>266</v>
      </c>
      <c r="BF1" s="65" t="s">
        <v>267</v>
      </c>
      <c r="BG1" s="65" t="s">
        <v>268</v>
      </c>
      <c r="BH1" s="10" t="s">
        <v>269</v>
      </c>
      <c r="BI1" s="10" t="s">
        <v>270</v>
      </c>
      <c r="BJ1" s="10" t="s">
        <v>271</v>
      </c>
      <c r="BK1" s="65" t="s">
        <v>272</v>
      </c>
      <c r="BL1" s="10" t="s">
        <v>273</v>
      </c>
      <c r="BM1" s="10" t="s">
        <v>274</v>
      </c>
      <c r="BN1" s="65" t="s">
        <v>275</v>
      </c>
      <c r="BO1" s="65" t="s">
        <v>276</v>
      </c>
      <c r="BP1" s="10" t="s">
        <v>277</v>
      </c>
      <c r="BQ1" s="10" t="s">
        <v>278</v>
      </c>
      <c r="BR1" s="65" t="s">
        <v>279</v>
      </c>
      <c r="BS1" s="10" t="s">
        <v>280</v>
      </c>
      <c r="BT1" s="65" t="s">
        <v>281</v>
      </c>
      <c r="BU1" s="10" t="s">
        <v>282</v>
      </c>
      <c r="BV1" s="10" t="s">
        <v>283</v>
      </c>
      <c r="BW1" s="65" t="s">
        <v>284</v>
      </c>
      <c r="BX1" s="65" t="s">
        <v>285</v>
      </c>
      <c r="BY1" s="65" t="s">
        <v>286</v>
      </c>
      <c r="BZ1" s="10" t="s">
        <v>287</v>
      </c>
      <c r="CA1" s="65" t="s">
        <v>288</v>
      </c>
      <c r="CB1" s="10" t="s">
        <v>289</v>
      </c>
      <c r="CC1" s="10" t="s">
        <v>290</v>
      </c>
      <c r="CD1" s="104" t="s">
        <v>291</v>
      </c>
      <c r="CE1" s="65" t="s">
        <v>292</v>
      </c>
      <c r="CF1" s="65" t="s">
        <v>293</v>
      </c>
      <c r="CG1" s="10" t="s">
        <v>294</v>
      </c>
      <c r="CH1" s="10" t="s">
        <v>295</v>
      </c>
      <c r="CI1" s="10" t="s">
        <v>296</v>
      </c>
      <c r="CJ1" s="10" t="s">
        <v>297</v>
      </c>
      <c r="CK1" s="10" t="s">
        <v>298</v>
      </c>
      <c r="CL1" s="65" t="s">
        <v>299</v>
      </c>
      <c r="CM1" s="10" t="s">
        <v>300</v>
      </c>
      <c r="CN1" s="10" t="s">
        <v>39</v>
      </c>
      <c r="CO1" s="10" t="s">
        <v>301</v>
      </c>
      <c r="CP1" s="10" t="s">
        <v>302</v>
      </c>
      <c r="CQ1" s="65" t="s">
        <v>303</v>
      </c>
      <c r="CR1" t="s">
        <v>662</v>
      </c>
      <c r="CS1" s="10" t="s">
        <v>304</v>
      </c>
      <c r="CT1" s="10" t="s">
        <v>305</v>
      </c>
      <c r="CU1" s="10" t="s">
        <v>306</v>
      </c>
      <c r="CV1" s="10" t="s">
        <v>307</v>
      </c>
      <c r="CW1" t="s">
        <v>663</v>
      </c>
      <c r="CX1" s="10" t="s">
        <v>308</v>
      </c>
      <c r="CY1" s="10" t="s">
        <v>309</v>
      </c>
      <c r="CZ1" s="10" t="s">
        <v>310</v>
      </c>
      <c r="DA1" t="s">
        <v>664</v>
      </c>
      <c r="DB1" t="s">
        <v>636</v>
      </c>
      <c r="DC1" s="10" t="s">
        <v>311</v>
      </c>
      <c r="DD1" s="10" t="s">
        <v>312</v>
      </c>
      <c r="DE1" s="10" t="s">
        <v>313</v>
      </c>
      <c r="DF1" t="s">
        <v>665</v>
      </c>
      <c r="DG1" s="10" t="s">
        <v>314</v>
      </c>
      <c r="DH1" t="s">
        <v>623</v>
      </c>
      <c r="DI1" s="10" t="s">
        <v>315</v>
      </c>
      <c r="DJ1" s="10" t="s">
        <v>316</v>
      </c>
      <c r="DK1" s="10" t="s">
        <v>317</v>
      </c>
      <c r="DL1" s="10" t="s">
        <v>318</v>
      </c>
      <c r="DM1" s="65" t="s">
        <v>319</v>
      </c>
      <c r="DN1" s="10" t="s">
        <v>320</v>
      </c>
      <c r="DO1" s="10" t="s">
        <v>321</v>
      </c>
      <c r="DP1" s="10" t="s">
        <v>322</v>
      </c>
      <c r="DQ1" s="10" t="s">
        <v>323</v>
      </c>
      <c r="DR1" s="65" t="s">
        <v>324</v>
      </c>
      <c r="DS1" s="10" t="s">
        <v>325</v>
      </c>
      <c r="DT1" s="10" t="s">
        <v>326</v>
      </c>
      <c r="DU1" s="10" t="s">
        <v>327</v>
      </c>
      <c r="DV1" s="10" t="s">
        <v>328</v>
      </c>
      <c r="DW1" s="10" t="s">
        <v>329</v>
      </c>
      <c r="DX1" s="10" t="s">
        <v>330</v>
      </c>
      <c r="DY1" s="10" t="s">
        <v>331</v>
      </c>
      <c r="DZ1" s="10" t="s">
        <v>332</v>
      </c>
      <c r="EA1" s="10" t="s">
        <v>333</v>
      </c>
      <c r="EB1" s="10" t="s">
        <v>334</v>
      </c>
      <c r="EC1" s="65" t="s">
        <v>335</v>
      </c>
      <c r="ED1" t="s">
        <v>211</v>
      </c>
    </row>
    <row r="2" spans="1:134" x14ac:dyDescent="0.35">
      <c r="A2" t="s">
        <v>642</v>
      </c>
      <c r="B2" s="22">
        <v>43830</v>
      </c>
      <c r="C2">
        <v>2019</v>
      </c>
      <c r="D2" t="s">
        <v>212</v>
      </c>
      <c r="E2" t="s">
        <v>213</v>
      </c>
      <c r="T2" s="10">
        <v>1773000</v>
      </c>
      <c r="AM2" s="10">
        <v>125000</v>
      </c>
      <c r="AN2" s="10">
        <v>4388000</v>
      </c>
      <c r="AT2" s="10">
        <v>8996000</v>
      </c>
      <c r="BI2" s="10">
        <v>26559000</v>
      </c>
      <c r="BR2" s="10">
        <v>10160000</v>
      </c>
      <c r="BS2" s="10">
        <v>0</v>
      </c>
      <c r="CO2" s="10">
        <v>14452000</v>
      </c>
      <c r="CP2" s="10">
        <v>14452000</v>
      </c>
      <c r="CR2"/>
      <c r="CW2"/>
      <c r="DA2"/>
      <c r="DB2" s="41"/>
      <c r="DF2"/>
      <c r="DH2" s="41">
        <v>2019</v>
      </c>
      <c r="DX2" s="10"/>
      <c r="DY2" s="10"/>
      <c r="DZ2" s="10"/>
      <c r="EA2" s="10"/>
      <c r="EB2" s="10"/>
      <c r="EC2" s="10"/>
      <c r="ED2" t="s">
        <v>643</v>
      </c>
    </row>
    <row r="3" spans="1:134" x14ac:dyDescent="0.35">
      <c r="A3" t="s">
        <v>642</v>
      </c>
      <c r="B3" s="22">
        <v>44196</v>
      </c>
      <c r="C3">
        <v>2020</v>
      </c>
      <c r="D3" t="s">
        <v>212</v>
      </c>
      <c r="E3" t="s">
        <v>213</v>
      </c>
      <c r="F3" s="10">
        <v>12520000</v>
      </c>
      <c r="G3" s="10">
        <v>29717000</v>
      </c>
      <c r="H3" s="10">
        <v>-45794000</v>
      </c>
      <c r="I3" s="10">
        <v>273521000</v>
      </c>
      <c r="J3" s="10">
        <v>-1190000</v>
      </c>
      <c r="N3" s="10">
        <v>10009000</v>
      </c>
      <c r="O3" s="10">
        <v>22000</v>
      </c>
      <c r="P3" s="10">
        <v>211962000</v>
      </c>
      <c r="Q3" s="10">
        <v>231219000</v>
      </c>
      <c r="R3" s="10">
        <v>22000</v>
      </c>
      <c r="S3" s="10">
        <v>349623000</v>
      </c>
      <c r="T3" s="10">
        <v>2344000</v>
      </c>
      <c r="U3" s="10">
        <v>27834000</v>
      </c>
      <c r="V3" s="10">
        <v>305697000</v>
      </c>
      <c r="W3" s="10">
        <v>1931000</v>
      </c>
      <c r="Y3" s="10">
        <v>1931000</v>
      </c>
      <c r="Z3" s="10">
        <v>56710000</v>
      </c>
      <c r="AA3" s="10">
        <v>5740000</v>
      </c>
      <c r="AB3" s="10">
        <v>475000</v>
      </c>
      <c r="AC3" s="10">
        <v>33165000</v>
      </c>
      <c r="AD3" s="10">
        <v>101962000</v>
      </c>
      <c r="AE3" s="10">
        <v>30907000</v>
      </c>
      <c r="AF3" s="10">
        <v>82851000</v>
      </c>
      <c r="AH3" s="10">
        <v>1242000</v>
      </c>
      <c r="AJ3" s="10">
        <v>349623000</v>
      </c>
      <c r="AM3" s="10">
        <v>125000</v>
      </c>
      <c r="AN3" s="10">
        <v>4592000</v>
      </c>
      <c r="AO3" s="10">
        <v>8078000</v>
      </c>
      <c r="AQ3" s="10">
        <v>8078000</v>
      </c>
      <c r="AS3" s="10">
        <v>8654000</v>
      </c>
      <c r="AT3" s="10">
        <v>9649000</v>
      </c>
      <c r="AW3" s="10">
        <v>37057000</v>
      </c>
      <c r="AX3" s="10">
        <v>247661000</v>
      </c>
      <c r="AY3" s="10">
        <v>11847000</v>
      </c>
      <c r="AZ3" s="10">
        <v>25000</v>
      </c>
      <c r="BB3" s="10">
        <v>22131447</v>
      </c>
      <c r="BC3" s="10">
        <v>17898000</v>
      </c>
      <c r="BF3" s="10">
        <v>475000</v>
      </c>
      <c r="BG3" s="10">
        <v>68797000</v>
      </c>
      <c r="BH3" s="10">
        <v>2669000</v>
      </c>
      <c r="BI3" s="10">
        <v>26940000</v>
      </c>
      <c r="BK3" s="10">
        <v>66141000</v>
      </c>
      <c r="BM3" s="10">
        <v>19257000</v>
      </c>
      <c r="BN3" s="10">
        <v>14211000</v>
      </c>
      <c r="BO3" s="10">
        <v>42045000</v>
      </c>
      <c r="BR3" s="10">
        <v>17898000</v>
      </c>
      <c r="BS3" s="10">
        <v>0</v>
      </c>
      <c r="BT3" s="10">
        <v>31765000</v>
      </c>
      <c r="BV3" s="10">
        <v>75605000</v>
      </c>
      <c r="BW3" s="10">
        <v>22131447</v>
      </c>
      <c r="BX3" s="10">
        <v>349623000</v>
      </c>
      <c r="BY3" s="10">
        <v>247661000</v>
      </c>
      <c r="BZ3" s="10">
        <v>461852000</v>
      </c>
      <c r="CA3" s="10">
        <v>349623000</v>
      </c>
      <c r="CB3" s="10">
        <v>10009000</v>
      </c>
      <c r="CC3" s="10">
        <v>349623000</v>
      </c>
      <c r="CD3" s="10">
        <v>112229000</v>
      </c>
      <c r="CE3" s="10">
        <v>156155000</v>
      </c>
      <c r="CF3" s="10">
        <v>55519000</v>
      </c>
      <c r="CG3" s="10">
        <v>1691000</v>
      </c>
      <c r="CI3" s="10">
        <v>248987000</v>
      </c>
      <c r="CJ3" s="10">
        <v>6994000</v>
      </c>
      <c r="CK3" s="10">
        <v>6994000</v>
      </c>
      <c r="CM3" s="10">
        <v>3743000</v>
      </c>
      <c r="CN3" s="10">
        <v>24815000</v>
      </c>
      <c r="CO3" s="10">
        <v>14467000</v>
      </c>
      <c r="CP3" s="10">
        <v>14467000</v>
      </c>
      <c r="CR3"/>
      <c r="CS3" s="10">
        <v>22318000</v>
      </c>
      <c r="CU3" s="10">
        <v>159150000</v>
      </c>
      <c r="CV3" s="10">
        <v>52812000</v>
      </c>
      <c r="CW3"/>
      <c r="CY3" s="10">
        <v>11822000</v>
      </c>
      <c r="DA3"/>
      <c r="DB3" s="41"/>
      <c r="DF3"/>
      <c r="DH3" s="41">
        <v>2020</v>
      </c>
      <c r="DT3" s="10">
        <v>2048000</v>
      </c>
      <c r="DX3" s="10"/>
      <c r="DY3" s="10"/>
      <c r="DZ3" s="10"/>
      <c r="EA3" s="10"/>
      <c r="EB3" s="10"/>
      <c r="EC3" s="10">
        <v>-1246000</v>
      </c>
      <c r="ED3" t="s">
        <v>643</v>
      </c>
    </row>
    <row r="4" spans="1:134" x14ac:dyDescent="0.35">
      <c r="A4" t="s">
        <v>642</v>
      </c>
      <c r="B4" s="22">
        <v>44561</v>
      </c>
      <c r="C4">
        <v>2021</v>
      </c>
      <c r="D4" t="s">
        <v>212</v>
      </c>
      <c r="E4" t="s">
        <v>213</v>
      </c>
      <c r="F4" s="10">
        <v>10258000</v>
      </c>
      <c r="G4" s="10">
        <v>24452000</v>
      </c>
      <c r="H4" s="10">
        <v>-51669000</v>
      </c>
      <c r="I4" s="10">
        <v>299463000</v>
      </c>
      <c r="J4" s="10">
        <v>-862000</v>
      </c>
      <c r="N4" s="10">
        <v>26674000</v>
      </c>
      <c r="O4" s="10">
        <v>23000</v>
      </c>
      <c r="P4" s="10">
        <v>235524000</v>
      </c>
      <c r="Q4" s="10">
        <v>245513000</v>
      </c>
      <c r="R4" s="10">
        <v>23000</v>
      </c>
      <c r="S4" s="10">
        <v>370227000</v>
      </c>
      <c r="T4" s="10">
        <v>1639000</v>
      </c>
      <c r="U4" s="10">
        <v>32252000</v>
      </c>
      <c r="V4" s="10">
        <v>329186000</v>
      </c>
      <c r="W4" s="10">
        <v>3393000</v>
      </c>
      <c r="Y4" s="10">
        <v>3393000</v>
      </c>
      <c r="Z4" s="10">
        <v>61512000</v>
      </c>
      <c r="AA4" s="10">
        <v>6480000</v>
      </c>
      <c r="AB4" s="10">
        <v>1469000</v>
      </c>
      <c r="AC4" s="10">
        <v>32979000</v>
      </c>
      <c r="AD4" s="10">
        <v>93126000</v>
      </c>
      <c r="AE4" s="10">
        <v>25314000</v>
      </c>
      <c r="AF4" s="10">
        <v>115507000</v>
      </c>
      <c r="AH4" s="10">
        <v>75000</v>
      </c>
      <c r="AJ4" s="10">
        <v>370227000</v>
      </c>
      <c r="AM4" s="10">
        <v>125000</v>
      </c>
      <c r="AN4" s="10">
        <v>5956000</v>
      </c>
      <c r="AO4" s="10">
        <v>23281000</v>
      </c>
      <c r="AQ4" s="10">
        <v>23281000</v>
      </c>
      <c r="AS4" s="10">
        <v>7246000</v>
      </c>
      <c r="AT4" s="10">
        <v>11752000</v>
      </c>
      <c r="AW4" s="10">
        <v>63838000</v>
      </c>
      <c r="AX4" s="10">
        <v>277101000</v>
      </c>
      <c r="AY4" s="10">
        <v>11861000</v>
      </c>
      <c r="AZ4" s="10">
        <v>0</v>
      </c>
      <c r="BB4" s="10">
        <v>22731586</v>
      </c>
      <c r="BC4" s="10">
        <v>26005000</v>
      </c>
      <c r="BF4" s="10">
        <v>1469000</v>
      </c>
      <c r="BG4" s="10">
        <v>60147000</v>
      </c>
      <c r="BH4" s="10">
        <v>3363000</v>
      </c>
      <c r="BI4" s="10">
        <v>15386000</v>
      </c>
      <c r="BK4" s="10">
        <v>96035000</v>
      </c>
      <c r="BM4" s="10">
        <v>9989000</v>
      </c>
      <c r="BN4" s="10">
        <v>10819000</v>
      </c>
      <c r="BO4" s="10">
        <v>43071000</v>
      </c>
      <c r="BR4" s="10">
        <v>26005000</v>
      </c>
      <c r="BS4" s="10">
        <v>0</v>
      </c>
      <c r="BT4" s="10">
        <v>25795000</v>
      </c>
      <c r="BV4" s="10">
        <v>69272000</v>
      </c>
      <c r="BW4" s="10">
        <v>22731586</v>
      </c>
      <c r="BX4" s="10">
        <v>370227000</v>
      </c>
      <c r="BY4" s="10">
        <v>277101000</v>
      </c>
      <c r="BZ4" s="10">
        <v>489513000</v>
      </c>
      <c r="CA4" s="10">
        <v>370227000</v>
      </c>
      <c r="CB4" s="10">
        <v>26674000</v>
      </c>
      <c r="CC4" s="10">
        <v>370227000</v>
      </c>
      <c r="CD4" s="10">
        <v>119286000</v>
      </c>
      <c r="CE4" s="10">
        <v>160327000</v>
      </c>
      <c r="CF4" s="10">
        <v>57774000</v>
      </c>
      <c r="CG4" s="10">
        <v>561000</v>
      </c>
      <c r="CI4" s="10">
        <v>267674000</v>
      </c>
      <c r="CJ4" s="10">
        <v>8568000</v>
      </c>
      <c r="CK4" s="10">
        <v>8568000</v>
      </c>
      <c r="CM4" s="10">
        <v>12116000</v>
      </c>
      <c r="CN4" s="10">
        <v>31873000</v>
      </c>
      <c r="CO4" s="10">
        <v>0</v>
      </c>
      <c r="CP4" s="10">
        <v>0</v>
      </c>
      <c r="CR4"/>
      <c r="CS4" s="10">
        <v>21909000</v>
      </c>
      <c r="CU4" s="10">
        <v>186707000</v>
      </c>
      <c r="CV4" s="10">
        <v>48817000</v>
      </c>
      <c r="CW4"/>
      <c r="CY4" s="10">
        <v>11861000</v>
      </c>
      <c r="DA4"/>
      <c r="DB4" s="41"/>
      <c r="DF4"/>
      <c r="DH4" s="41">
        <v>2021</v>
      </c>
      <c r="DT4" s="10">
        <v>1343000</v>
      </c>
      <c r="DX4" s="10"/>
      <c r="DY4" s="10"/>
      <c r="DZ4" s="10"/>
      <c r="EA4" s="10"/>
      <c r="EB4" s="10"/>
      <c r="EC4" s="10">
        <v>-2152000</v>
      </c>
      <c r="ED4" t="s">
        <v>643</v>
      </c>
    </row>
    <row r="5" spans="1:134" x14ac:dyDescent="0.35">
      <c r="A5" t="s">
        <v>642</v>
      </c>
      <c r="B5" s="22">
        <v>44926</v>
      </c>
      <c r="C5">
        <v>2022</v>
      </c>
      <c r="D5" t="s">
        <v>212</v>
      </c>
      <c r="E5" t="s">
        <v>213</v>
      </c>
      <c r="F5" s="10">
        <v>18237000</v>
      </c>
      <c r="G5" s="10">
        <v>62725000</v>
      </c>
      <c r="H5" s="10">
        <v>-51844000</v>
      </c>
      <c r="I5" s="10">
        <v>312126000</v>
      </c>
      <c r="J5" s="10">
        <v>-560000</v>
      </c>
      <c r="N5" s="10">
        <v>23279000</v>
      </c>
      <c r="O5" s="10">
        <v>23000</v>
      </c>
      <c r="P5" s="10">
        <v>187014000</v>
      </c>
      <c r="Q5" s="10">
        <v>187014000</v>
      </c>
      <c r="R5" s="10">
        <v>23000</v>
      </c>
      <c r="S5" s="10">
        <v>297406000</v>
      </c>
      <c r="T5" s="10">
        <v>2930000</v>
      </c>
      <c r="U5" s="10">
        <v>26435000</v>
      </c>
      <c r="V5" s="10">
        <v>304645000</v>
      </c>
      <c r="W5" s="10">
        <v>3515000</v>
      </c>
      <c r="Y5" s="10">
        <v>3515000</v>
      </c>
      <c r="Z5" s="10">
        <v>65349000</v>
      </c>
      <c r="AA5" s="10">
        <v>7790000</v>
      </c>
      <c r="AB5" s="10">
        <v>-243000</v>
      </c>
      <c r="AC5" s="10">
        <v>32852000</v>
      </c>
      <c r="AD5" s="10">
        <v>33029000</v>
      </c>
      <c r="AE5" s="10">
        <v>63285000</v>
      </c>
      <c r="AF5" s="10">
        <v>116766000</v>
      </c>
      <c r="AH5" s="10">
        <v>0</v>
      </c>
      <c r="AJ5" s="10">
        <v>297406000</v>
      </c>
      <c r="AM5" s="10">
        <v>125000</v>
      </c>
      <c r="AN5" s="10">
        <v>6126000</v>
      </c>
      <c r="AO5" s="10">
        <v>19764000</v>
      </c>
      <c r="AQ5" s="10">
        <v>19764000</v>
      </c>
      <c r="AS5" s="10">
        <v>12123000</v>
      </c>
      <c r="AT5" s="10">
        <v>12756000</v>
      </c>
      <c r="AW5" s="10">
        <v>64922000</v>
      </c>
      <c r="AX5" s="10">
        <v>264377000</v>
      </c>
      <c r="AY5" s="10">
        <v>10399000</v>
      </c>
      <c r="AZ5" s="10">
        <v>0</v>
      </c>
      <c r="BB5" s="10">
        <v>22941643</v>
      </c>
      <c r="BC5" s="10">
        <v>19187000</v>
      </c>
      <c r="BF5" s="10">
        <v>-243000</v>
      </c>
      <c r="BG5" s="10">
        <v>177000</v>
      </c>
      <c r="BH5" s="10">
        <v>2445000</v>
      </c>
      <c r="BK5" s="10">
        <v>116766000</v>
      </c>
      <c r="BM5" s="10">
        <v>0</v>
      </c>
      <c r="BN5" s="10">
        <v>18729000</v>
      </c>
      <c r="BO5" s="10">
        <v>45164000</v>
      </c>
      <c r="BS5" s="10">
        <v>0</v>
      </c>
      <c r="BT5" s="10">
        <v>64351000</v>
      </c>
      <c r="BV5" s="10">
        <v>-14500000</v>
      </c>
      <c r="BW5" s="10">
        <v>22941643</v>
      </c>
      <c r="BX5" s="10">
        <v>297406000</v>
      </c>
      <c r="BY5" s="10">
        <v>264377000</v>
      </c>
      <c r="BZ5" s="10">
        <v>405041000</v>
      </c>
      <c r="CA5" s="10">
        <v>297406000</v>
      </c>
      <c r="CB5" s="10">
        <v>23279000</v>
      </c>
      <c r="CC5" s="10">
        <v>297406000</v>
      </c>
      <c r="CD5" s="10">
        <v>107635000</v>
      </c>
      <c r="CE5" s="10">
        <v>100396000</v>
      </c>
      <c r="CF5" s="10">
        <v>42286000</v>
      </c>
      <c r="CG5" s="10">
        <v>492000</v>
      </c>
      <c r="CI5" s="10">
        <v>239296000</v>
      </c>
      <c r="CJ5" s="10">
        <v>8880000</v>
      </c>
      <c r="CK5" s="10">
        <v>8880000</v>
      </c>
      <c r="CM5" s="10">
        <v>9324000</v>
      </c>
      <c r="CN5" s="10">
        <v>34093000</v>
      </c>
      <c r="CR5"/>
      <c r="CS5" s="10">
        <v>26496000</v>
      </c>
      <c r="CU5" s="10">
        <v>159044000</v>
      </c>
      <c r="CV5" s="10">
        <v>27970000</v>
      </c>
      <c r="CW5"/>
      <c r="CY5" s="10">
        <v>10399000</v>
      </c>
      <c r="DA5"/>
      <c r="DB5" s="41"/>
      <c r="DF5"/>
      <c r="DH5" s="41">
        <v>2022</v>
      </c>
      <c r="DT5" s="10">
        <v>1626000</v>
      </c>
      <c r="DX5" s="10"/>
      <c r="DY5" s="10"/>
      <c r="DZ5" s="10"/>
      <c r="EA5" s="10"/>
      <c r="EB5" s="10"/>
      <c r="EC5" s="10">
        <v>-1727000</v>
      </c>
      <c r="ED5" t="s">
        <v>643</v>
      </c>
    </row>
    <row r="6" spans="1:134" x14ac:dyDescent="0.35">
      <c r="A6" t="s">
        <v>642</v>
      </c>
      <c r="B6" s="22">
        <v>45291</v>
      </c>
      <c r="C6">
        <v>2023</v>
      </c>
      <c r="D6" t="s">
        <v>212</v>
      </c>
      <c r="E6" t="s">
        <v>213</v>
      </c>
      <c r="F6" s="10">
        <v>13454000</v>
      </c>
      <c r="G6" s="10">
        <v>42241000</v>
      </c>
      <c r="H6" s="10">
        <v>-47845000</v>
      </c>
      <c r="I6" s="10">
        <v>320513000</v>
      </c>
      <c r="J6" s="10">
        <v>-2820000</v>
      </c>
      <c r="N6" s="10">
        <v>21923000</v>
      </c>
      <c r="O6" s="10">
        <v>23000</v>
      </c>
      <c r="P6" s="10">
        <v>125492000</v>
      </c>
      <c r="Q6" s="10">
        <v>128471000</v>
      </c>
      <c r="R6" s="10">
        <v>23000</v>
      </c>
      <c r="S6" s="10">
        <v>204812000</v>
      </c>
      <c r="U6" s="10">
        <v>27282000</v>
      </c>
      <c r="V6" s="10">
        <v>207067000</v>
      </c>
      <c r="W6" s="10">
        <v>3653000</v>
      </c>
      <c r="Y6" s="10">
        <v>3653000</v>
      </c>
      <c r="Z6" s="10">
        <v>72496000</v>
      </c>
      <c r="AA6" s="10">
        <v>9628000</v>
      </c>
      <c r="AB6" s="10">
        <v>1225000</v>
      </c>
      <c r="AC6" s="10">
        <v>10057000</v>
      </c>
      <c r="AD6" s="10">
        <v>44648000</v>
      </c>
      <c r="AE6" s="10">
        <v>45061000</v>
      </c>
      <c r="AF6" s="10">
        <v>118499000</v>
      </c>
      <c r="AH6" s="10">
        <v>27000</v>
      </c>
      <c r="AJ6" s="10">
        <v>204812000</v>
      </c>
      <c r="AO6" s="10">
        <v>18270000</v>
      </c>
      <c r="AQ6" s="10">
        <v>18270000</v>
      </c>
      <c r="AS6" s="10">
        <v>13850000</v>
      </c>
      <c r="AW6" s="10">
        <v>70654000</v>
      </c>
      <c r="AX6" s="10">
        <v>160164000</v>
      </c>
      <c r="AY6" s="10">
        <v>16766000</v>
      </c>
      <c r="AZ6" s="10">
        <v>8539000</v>
      </c>
      <c r="BB6" s="10">
        <v>22941643</v>
      </c>
      <c r="BC6" s="10">
        <v>13846000</v>
      </c>
      <c r="BE6" s="10">
        <v>10000000</v>
      </c>
      <c r="BF6" s="10">
        <v>1225000</v>
      </c>
      <c r="BG6" s="10">
        <v>34591000</v>
      </c>
      <c r="BH6" s="10">
        <v>3825000</v>
      </c>
      <c r="BK6" s="10">
        <v>118499000</v>
      </c>
      <c r="BM6" s="10">
        <v>2979000</v>
      </c>
      <c r="BN6" s="10">
        <v>13953000</v>
      </c>
      <c r="BO6" s="10">
        <v>41235000</v>
      </c>
      <c r="BT6" s="10">
        <v>42910000</v>
      </c>
      <c r="BV6" s="10">
        <v>-116949000</v>
      </c>
      <c r="BW6" s="10">
        <v>22941643</v>
      </c>
      <c r="BX6" s="10">
        <v>204812000</v>
      </c>
      <c r="BY6" s="10">
        <v>160164000</v>
      </c>
      <c r="BZ6" s="10">
        <v>326194000</v>
      </c>
      <c r="CA6" s="10">
        <v>204812000</v>
      </c>
      <c r="CB6" s="10">
        <v>21923000</v>
      </c>
      <c r="CC6" s="10">
        <v>204812000</v>
      </c>
      <c r="CD6" s="10">
        <v>121382000</v>
      </c>
      <c r="CE6" s="10">
        <v>119127000</v>
      </c>
      <c r="CF6" s="10">
        <v>48886000</v>
      </c>
      <c r="CG6" s="10">
        <v>499000</v>
      </c>
      <c r="CI6" s="10">
        <v>134571000</v>
      </c>
      <c r="CJ6" s="10">
        <v>7980000</v>
      </c>
      <c r="CK6" s="10">
        <v>7980000</v>
      </c>
      <c r="CM6" s="10">
        <v>6871000</v>
      </c>
      <c r="CN6" s="10">
        <v>21840000</v>
      </c>
      <c r="CR6"/>
      <c r="CS6" s="10">
        <v>18036000</v>
      </c>
      <c r="CU6" s="10">
        <v>112881000</v>
      </c>
      <c r="CV6" s="10">
        <v>12611000</v>
      </c>
      <c r="CW6"/>
      <c r="CY6" s="10">
        <v>8227000</v>
      </c>
      <c r="DA6"/>
      <c r="DB6" s="41"/>
      <c r="DF6"/>
      <c r="DH6" s="41">
        <v>2023</v>
      </c>
      <c r="DT6" s="10">
        <v>669000</v>
      </c>
      <c r="DX6" s="10"/>
      <c r="DY6" s="10"/>
      <c r="DZ6" s="10"/>
      <c r="EA6" s="10"/>
      <c r="EB6" s="10"/>
      <c r="EC6" s="10">
        <v>-3067000</v>
      </c>
      <c r="ED6" t="s">
        <v>643</v>
      </c>
    </row>
    <row r="7" spans="1:134" x14ac:dyDescent="0.35">
      <c r="A7" t="s">
        <v>644</v>
      </c>
      <c r="B7" s="22">
        <v>43830</v>
      </c>
      <c r="C7">
        <v>2019</v>
      </c>
      <c r="D7" t="s">
        <v>212</v>
      </c>
      <c r="E7" t="s">
        <v>213</v>
      </c>
      <c r="AL7" s="10">
        <v>11973000</v>
      </c>
      <c r="BQ7" s="10">
        <v>0</v>
      </c>
      <c r="BR7" s="10">
        <v>6431000</v>
      </c>
      <c r="BT7" s="10">
        <v>35000</v>
      </c>
      <c r="CJ7" s="10">
        <v>0</v>
      </c>
      <c r="CR7"/>
      <c r="CW7"/>
      <c r="DA7"/>
      <c r="DB7" s="41"/>
      <c r="DF7"/>
      <c r="DH7" s="41">
        <v>2019</v>
      </c>
      <c r="DT7" s="10">
        <v>35000</v>
      </c>
      <c r="DX7" s="10"/>
      <c r="DY7" s="10"/>
      <c r="DZ7" s="10"/>
      <c r="EA7" s="10"/>
      <c r="EB7" s="10"/>
      <c r="EC7" s="10"/>
      <c r="ED7" t="s">
        <v>645</v>
      </c>
    </row>
    <row r="8" spans="1:134" x14ac:dyDescent="0.35">
      <c r="A8" t="s">
        <v>644</v>
      </c>
      <c r="B8" s="22">
        <v>44196</v>
      </c>
      <c r="C8">
        <v>2020</v>
      </c>
      <c r="D8" t="s">
        <v>212</v>
      </c>
      <c r="E8" t="s">
        <v>213</v>
      </c>
      <c r="F8" s="10">
        <v>7924000</v>
      </c>
      <c r="H8" s="10">
        <v>-2289000</v>
      </c>
      <c r="I8" s="10">
        <v>570030000</v>
      </c>
      <c r="N8" s="10">
        <v>12244000</v>
      </c>
      <c r="O8" s="10">
        <v>319000</v>
      </c>
      <c r="P8" s="10">
        <v>241080000</v>
      </c>
      <c r="Q8" s="10">
        <v>366269000</v>
      </c>
      <c r="R8" s="10">
        <v>319000</v>
      </c>
      <c r="S8" s="10">
        <v>381815000</v>
      </c>
      <c r="T8" s="10">
        <v>17925000</v>
      </c>
      <c r="U8" s="10">
        <v>1724000</v>
      </c>
      <c r="V8" s="10">
        <v>373272000</v>
      </c>
      <c r="W8" s="10">
        <v>2667000</v>
      </c>
      <c r="Y8" s="10">
        <v>2667000</v>
      </c>
      <c r="Z8" s="10">
        <v>17240000</v>
      </c>
      <c r="AB8" s="10">
        <v>26000</v>
      </c>
      <c r="AF8" s="10">
        <v>37101000</v>
      </c>
      <c r="AJ8" s="10">
        <v>381815000</v>
      </c>
      <c r="AL8" s="10">
        <v>0</v>
      </c>
      <c r="AN8" s="10">
        <v>253000</v>
      </c>
      <c r="AO8" s="10">
        <v>9577000</v>
      </c>
      <c r="AQ8" s="10">
        <v>9577000</v>
      </c>
      <c r="AT8" s="10">
        <v>212000</v>
      </c>
      <c r="AW8" s="10">
        <v>34812000</v>
      </c>
      <c r="AX8" s="10">
        <v>381815000</v>
      </c>
      <c r="BB8" s="10">
        <v>31974136</v>
      </c>
      <c r="BC8" s="10">
        <v>7003000</v>
      </c>
      <c r="BH8" s="10">
        <v>548000</v>
      </c>
      <c r="BK8" s="10">
        <v>18711000</v>
      </c>
      <c r="BM8" s="10">
        <v>125189000</v>
      </c>
      <c r="BN8" s="10">
        <v>7924000</v>
      </c>
      <c r="BO8" s="10">
        <v>9648000</v>
      </c>
      <c r="BP8" s="10">
        <v>4925000</v>
      </c>
      <c r="BR8" s="10">
        <v>7003000</v>
      </c>
      <c r="BS8" s="10">
        <v>0</v>
      </c>
      <c r="BT8" s="10">
        <v>0</v>
      </c>
      <c r="BU8" s="10">
        <v>0</v>
      </c>
      <c r="BV8" s="10">
        <v>-188560000</v>
      </c>
      <c r="BW8" s="10">
        <v>31974136</v>
      </c>
      <c r="BX8" s="10">
        <v>381815000</v>
      </c>
      <c r="BY8" s="10">
        <v>381815000</v>
      </c>
      <c r="BZ8" s="10">
        <v>408632000</v>
      </c>
      <c r="CA8" s="10">
        <v>381815000</v>
      </c>
      <c r="CB8" s="10">
        <v>12244000</v>
      </c>
      <c r="CC8" s="10">
        <v>381815000</v>
      </c>
      <c r="CD8" s="10">
        <v>26817000</v>
      </c>
      <c r="CE8" s="10">
        <v>35360000</v>
      </c>
      <c r="CF8" s="10">
        <v>9577000</v>
      </c>
      <c r="CI8" s="10">
        <v>356032000</v>
      </c>
      <c r="CR8"/>
      <c r="CW8"/>
      <c r="DA8"/>
      <c r="DB8" s="41"/>
      <c r="DF8"/>
      <c r="DH8" s="41">
        <v>2020</v>
      </c>
      <c r="DL8" s="10">
        <v>0</v>
      </c>
      <c r="DT8" s="10">
        <v>0</v>
      </c>
      <c r="DX8" s="10"/>
      <c r="DY8" s="10"/>
      <c r="DZ8" s="10"/>
      <c r="EA8" s="10"/>
      <c r="EB8" s="10"/>
      <c r="EC8" s="10"/>
      <c r="ED8" t="s">
        <v>645</v>
      </c>
    </row>
    <row r="9" spans="1:134" x14ac:dyDescent="0.35">
      <c r="A9" t="s">
        <v>644</v>
      </c>
      <c r="B9" s="22">
        <v>44561</v>
      </c>
      <c r="C9">
        <v>2021</v>
      </c>
      <c r="D9" t="s">
        <v>212</v>
      </c>
      <c r="E9" t="s">
        <v>213</v>
      </c>
      <c r="F9" s="10">
        <v>5584000</v>
      </c>
      <c r="H9" s="10">
        <v>-6553000</v>
      </c>
      <c r="I9" s="10">
        <v>598373000</v>
      </c>
      <c r="N9" s="10">
        <v>28759000</v>
      </c>
      <c r="O9" s="10">
        <v>325000</v>
      </c>
      <c r="P9" s="10">
        <v>133334000</v>
      </c>
      <c r="Q9" s="10">
        <v>229542000</v>
      </c>
      <c r="R9" s="10">
        <v>325000</v>
      </c>
      <c r="S9" s="10">
        <v>244908000</v>
      </c>
      <c r="T9" s="10">
        <v>2531000</v>
      </c>
      <c r="U9" s="10">
        <v>12128000</v>
      </c>
      <c r="V9" s="10">
        <v>240747000</v>
      </c>
      <c r="W9" s="10">
        <v>3320000</v>
      </c>
      <c r="Y9" s="10">
        <v>3320000</v>
      </c>
      <c r="Z9" s="10">
        <v>27780000</v>
      </c>
      <c r="AB9" s="10">
        <v>-66000</v>
      </c>
      <c r="AF9" s="10">
        <v>62897000</v>
      </c>
      <c r="AJ9" s="10">
        <v>244908000</v>
      </c>
      <c r="AN9" s="10">
        <v>14172000</v>
      </c>
      <c r="AO9" s="10">
        <v>25439000</v>
      </c>
      <c r="AQ9" s="10">
        <v>25439000</v>
      </c>
      <c r="AT9" s="10">
        <v>518000</v>
      </c>
      <c r="AW9" s="10">
        <v>56344000</v>
      </c>
      <c r="AX9" s="10">
        <v>244908000</v>
      </c>
      <c r="AY9" s="10">
        <v>0</v>
      </c>
      <c r="BB9" s="10">
        <v>32498023</v>
      </c>
      <c r="BC9" s="10">
        <v>10504000</v>
      </c>
      <c r="BF9" s="10">
        <v>-66000</v>
      </c>
      <c r="BH9" s="10">
        <v>1036000</v>
      </c>
      <c r="BK9" s="10">
        <v>45676000</v>
      </c>
      <c r="BM9" s="10">
        <v>96208000</v>
      </c>
      <c r="BN9" s="10">
        <v>5584000</v>
      </c>
      <c r="BO9" s="10">
        <v>17712000</v>
      </c>
      <c r="BP9" s="10">
        <v>6748000</v>
      </c>
      <c r="BR9" s="10">
        <v>10504000</v>
      </c>
      <c r="BS9" s="10">
        <v>0</v>
      </c>
      <c r="BU9" s="10">
        <v>701000</v>
      </c>
      <c r="BV9" s="10">
        <v>-353724000</v>
      </c>
      <c r="BW9" s="10">
        <v>32498023</v>
      </c>
      <c r="BX9" s="10">
        <v>244908000</v>
      </c>
      <c r="BY9" s="10">
        <v>244908000</v>
      </c>
      <c r="BZ9" s="10">
        <v>298127000</v>
      </c>
      <c r="CA9" s="10">
        <v>244908000</v>
      </c>
      <c r="CB9" s="10">
        <v>28759000</v>
      </c>
      <c r="CC9" s="10">
        <v>244908000</v>
      </c>
      <c r="CD9" s="10">
        <v>53219000</v>
      </c>
      <c r="CE9" s="10">
        <v>57380000</v>
      </c>
      <c r="CF9" s="10">
        <v>25439000</v>
      </c>
      <c r="CI9" s="10">
        <v>212967000</v>
      </c>
      <c r="CJ9" s="10">
        <v>0</v>
      </c>
      <c r="CK9" s="10">
        <v>0</v>
      </c>
      <c r="CR9"/>
      <c r="CW9"/>
      <c r="CY9" s="10">
        <v>0</v>
      </c>
      <c r="DA9"/>
      <c r="DB9" s="41"/>
      <c r="DF9"/>
      <c r="DH9" s="41">
        <v>2021</v>
      </c>
      <c r="DL9" s="10">
        <v>0</v>
      </c>
      <c r="DX9" s="10"/>
      <c r="DY9" s="10"/>
      <c r="DZ9" s="10"/>
      <c r="EA9" s="10"/>
      <c r="EB9" s="10"/>
      <c r="EC9" s="10"/>
      <c r="ED9" t="s">
        <v>645</v>
      </c>
    </row>
    <row r="10" spans="1:134" x14ac:dyDescent="0.35">
      <c r="A10" t="s">
        <v>644</v>
      </c>
      <c r="B10" s="22">
        <v>44926</v>
      </c>
      <c r="C10">
        <v>2022</v>
      </c>
      <c r="D10" t="s">
        <v>212</v>
      </c>
      <c r="E10" t="s">
        <v>213</v>
      </c>
      <c r="F10" s="10">
        <v>2512000</v>
      </c>
      <c r="H10" s="10">
        <v>-12325000</v>
      </c>
      <c r="I10" s="10">
        <v>862359000</v>
      </c>
      <c r="N10" s="10">
        <v>41172000</v>
      </c>
      <c r="O10" s="10">
        <v>431000</v>
      </c>
      <c r="P10" s="10">
        <v>121231000</v>
      </c>
      <c r="Q10" s="10">
        <v>427162000</v>
      </c>
      <c r="R10" s="10">
        <v>431000</v>
      </c>
      <c r="S10" s="10">
        <v>287263000</v>
      </c>
      <c r="T10" s="10">
        <v>5114000</v>
      </c>
      <c r="U10" s="10">
        <v>22701000</v>
      </c>
      <c r="V10" s="10">
        <v>438421000</v>
      </c>
      <c r="W10" s="10">
        <v>5816000</v>
      </c>
      <c r="Y10" s="10">
        <v>5816000</v>
      </c>
      <c r="Z10" s="10">
        <v>44685000</v>
      </c>
      <c r="AB10" s="10">
        <v>-701000</v>
      </c>
      <c r="AF10" s="10">
        <v>85400000</v>
      </c>
      <c r="AJ10" s="10">
        <v>287263000</v>
      </c>
      <c r="AN10" s="10">
        <v>14433000</v>
      </c>
      <c r="AO10" s="10">
        <v>35356000</v>
      </c>
      <c r="AQ10" s="10">
        <v>35356000</v>
      </c>
      <c r="AT10" s="10">
        <v>631000</v>
      </c>
      <c r="AW10" s="10">
        <v>73075000</v>
      </c>
      <c r="AX10" s="10">
        <v>287263000</v>
      </c>
      <c r="AY10" s="10">
        <v>146195000</v>
      </c>
      <c r="BB10" s="10">
        <v>43082319</v>
      </c>
      <c r="BC10" s="10">
        <v>10570000</v>
      </c>
      <c r="BF10" s="10">
        <v>-701000</v>
      </c>
      <c r="BH10" s="10">
        <v>2003000</v>
      </c>
      <c r="BK10" s="10">
        <v>65222000</v>
      </c>
      <c r="BM10" s="10">
        <v>305931000</v>
      </c>
      <c r="BN10" s="10">
        <v>2512000</v>
      </c>
      <c r="BO10" s="10">
        <v>25213000</v>
      </c>
      <c r="BP10" s="10">
        <v>10920000</v>
      </c>
      <c r="BS10" s="10">
        <v>0</v>
      </c>
      <c r="BU10" s="10">
        <v>689000</v>
      </c>
      <c r="BV10" s="10">
        <v>-574826000</v>
      </c>
      <c r="BW10" s="10">
        <v>43082319</v>
      </c>
      <c r="BX10" s="10">
        <v>287263000</v>
      </c>
      <c r="BY10" s="10">
        <v>287263000</v>
      </c>
      <c r="BZ10" s="10">
        <v>513499000</v>
      </c>
      <c r="CA10" s="10">
        <v>287263000</v>
      </c>
      <c r="CB10" s="10">
        <v>41172000</v>
      </c>
      <c r="CC10" s="10">
        <v>287263000</v>
      </c>
      <c r="CD10" s="10">
        <v>226236000</v>
      </c>
      <c r="CE10" s="10">
        <v>75078000</v>
      </c>
      <c r="CF10" s="10">
        <v>181551000</v>
      </c>
      <c r="CI10" s="10">
        <v>393736000</v>
      </c>
      <c r="CJ10" s="10">
        <v>2736000</v>
      </c>
      <c r="CK10" s="10">
        <v>2736000</v>
      </c>
      <c r="CR10"/>
      <c r="CW10"/>
      <c r="CY10" s="10">
        <v>146195000</v>
      </c>
      <c r="DA10"/>
      <c r="DB10" s="41"/>
      <c r="DF10"/>
      <c r="DH10" s="41">
        <v>2022</v>
      </c>
      <c r="DL10" s="10">
        <v>0</v>
      </c>
      <c r="DX10" s="10"/>
      <c r="DY10" s="10"/>
      <c r="DZ10" s="10"/>
      <c r="EA10" s="10"/>
      <c r="EB10" s="10"/>
      <c r="EC10" s="10"/>
      <c r="ED10" t="s">
        <v>645</v>
      </c>
    </row>
    <row r="11" spans="1:134" x14ac:dyDescent="0.35">
      <c r="A11" t="s">
        <v>644</v>
      </c>
      <c r="B11" s="22">
        <v>45291</v>
      </c>
      <c r="C11">
        <v>2023</v>
      </c>
      <c r="D11" t="s">
        <v>212</v>
      </c>
      <c r="E11" t="s">
        <v>213</v>
      </c>
      <c r="F11" s="10">
        <v>1326000</v>
      </c>
      <c r="H11" s="10">
        <v>-20599000</v>
      </c>
      <c r="I11" s="10">
        <v>1023739000</v>
      </c>
      <c r="N11" s="10">
        <v>40506000</v>
      </c>
      <c r="O11" s="10">
        <v>586000</v>
      </c>
      <c r="P11" s="10">
        <v>112520000</v>
      </c>
      <c r="Q11" s="10">
        <v>337677000</v>
      </c>
      <c r="R11" s="10">
        <v>586000</v>
      </c>
      <c r="S11" s="10">
        <v>203234000</v>
      </c>
      <c r="T11" s="10">
        <v>5798000</v>
      </c>
      <c r="U11" s="10">
        <v>18017000</v>
      </c>
      <c r="V11" s="10">
        <v>347597000</v>
      </c>
      <c r="W11" s="10">
        <v>5834000</v>
      </c>
      <c r="Y11" s="10">
        <v>5834000</v>
      </c>
      <c r="Z11" s="10">
        <v>42481000</v>
      </c>
      <c r="AB11" s="10">
        <v>151000</v>
      </c>
      <c r="AF11" s="10">
        <v>94604000</v>
      </c>
      <c r="AJ11" s="10">
        <v>203234000</v>
      </c>
      <c r="AN11" s="10">
        <v>17912000</v>
      </c>
      <c r="AO11" s="10">
        <v>34672000</v>
      </c>
      <c r="AQ11" s="10">
        <v>34672000</v>
      </c>
      <c r="AT11" s="10">
        <v>2409000</v>
      </c>
      <c r="AW11" s="10">
        <v>74005000</v>
      </c>
      <c r="AX11" s="10">
        <v>203234000</v>
      </c>
      <c r="AY11" s="10">
        <v>143024000</v>
      </c>
      <c r="BB11" s="10">
        <v>58681132</v>
      </c>
      <c r="BC11" s="10">
        <v>9328000</v>
      </c>
      <c r="BF11" s="10">
        <v>151000</v>
      </c>
      <c r="BH11" s="10">
        <v>1809000</v>
      </c>
      <c r="BK11" s="10">
        <v>68485000</v>
      </c>
      <c r="BM11" s="10">
        <v>225157000</v>
      </c>
      <c r="BN11" s="10">
        <v>1326000</v>
      </c>
      <c r="BO11" s="10">
        <v>19343000</v>
      </c>
      <c r="BP11" s="10">
        <v>13527000</v>
      </c>
      <c r="BS11" s="10">
        <v>0</v>
      </c>
      <c r="BU11" s="10">
        <v>592000</v>
      </c>
      <c r="BV11" s="10">
        <v>-821242000</v>
      </c>
      <c r="BW11" s="10">
        <v>58681132</v>
      </c>
      <c r="BX11" s="10">
        <v>203234000</v>
      </c>
      <c r="BY11" s="10">
        <v>203234000</v>
      </c>
      <c r="BZ11" s="10">
        <v>423411000</v>
      </c>
      <c r="CA11" s="10">
        <v>203234000</v>
      </c>
      <c r="CB11" s="10">
        <v>40506000</v>
      </c>
      <c r="CC11" s="10">
        <v>203234000</v>
      </c>
      <c r="CD11" s="10">
        <v>220177000</v>
      </c>
      <c r="CE11" s="10">
        <v>75814000</v>
      </c>
      <c r="CF11" s="10">
        <v>177696000</v>
      </c>
      <c r="CI11" s="10">
        <v>305116000</v>
      </c>
      <c r="CJ11" s="10">
        <v>3777000</v>
      </c>
      <c r="CK11" s="10">
        <v>3777000</v>
      </c>
      <c r="CR11"/>
      <c r="CW11"/>
      <c r="CY11" s="10">
        <v>143024000</v>
      </c>
      <c r="DA11"/>
      <c r="DB11" s="41"/>
      <c r="DF11"/>
      <c r="DH11" s="41">
        <v>2023</v>
      </c>
      <c r="DL11" s="10">
        <v>0</v>
      </c>
      <c r="DM11" s="10">
        <v>0</v>
      </c>
      <c r="DX11" s="10"/>
      <c r="DY11" s="10"/>
      <c r="DZ11" s="10"/>
      <c r="EA11" s="10"/>
      <c r="EB11" s="10"/>
      <c r="EC11" s="10"/>
      <c r="ED11" t="s">
        <v>645</v>
      </c>
    </row>
    <row r="12" spans="1:134" x14ac:dyDescent="0.35">
      <c r="A12" t="s">
        <v>646</v>
      </c>
      <c r="B12" s="22">
        <v>44196</v>
      </c>
      <c r="C12">
        <v>2020</v>
      </c>
      <c r="D12" t="s">
        <v>212</v>
      </c>
      <c r="E12" t="s">
        <v>213</v>
      </c>
      <c r="F12" s="10">
        <v>3354000</v>
      </c>
      <c r="G12" s="10">
        <v>21818000</v>
      </c>
      <c r="H12" s="10">
        <v>-2150000</v>
      </c>
      <c r="I12" s="10">
        <v>87945000</v>
      </c>
      <c r="J12" s="10">
        <v>-313000</v>
      </c>
      <c r="N12" s="10">
        <v>39602000</v>
      </c>
      <c r="O12" s="10">
        <v>10000</v>
      </c>
      <c r="P12" s="10">
        <v>83642000</v>
      </c>
      <c r="Q12" s="10">
        <v>136983000</v>
      </c>
      <c r="R12" s="10">
        <v>10000</v>
      </c>
      <c r="S12" s="10">
        <v>-297856000</v>
      </c>
      <c r="U12" s="10">
        <v>3876000</v>
      </c>
      <c r="V12" s="10">
        <v>165355000</v>
      </c>
      <c r="W12" s="10">
        <v>3348000</v>
      </c>
      <c r="Y12" s="10">
        <v>3348000</v>
      </c>
      <c r="Z12" s="10">
        <v>32183000</v>
      </c>
      <c r="AB12" s="10">
        <v>-797000</v>
      </c>
      <c r="AC12" s="10">
        <v>1211000</v>
      </c>
      <c r="AD12" s="10">
        <v>8198000</v>
      </c>
      <c r="AE12" s="10">
        <v>22131000</v>
      </c>
      <c r="AF12" s="10">
        <v>45644000</v>
      </c>
      <c r="AJ12" s="10">
        <v>-297856000</v>
      </c>
      <c r="AN12" s="10">
        <v>2850000</v>
      </c>
      <c r="AO12" s="10">
        <v>36254000</v>
      </c>
      <c r="AQ12" s="10">
        <v>36254000</v>
      </c>
      <c r="AT12" s="10">
        <v>5018000</v>
      </c>
      <c r="AW12" s="10">
        <v>43494000</v>
      </c>
      <c r="AX12" s="10">
        <v>-306054000</v>
      </c>
      <c r="BB12" s="10">
        <v>382957639</v>
      </c>
      <c r="BC12" s="10">
        <v>5453000</v>
      </c>
      <c r="BE12" s="10">
        <v>11616000</v>
      </c>
      <c r="BF12" s="10">
        <v>-797000</v>
      </c>
      <c r="BG12" s="10">
        <v>6987000</v>
      </c>
      <c r="BH12" s="10">
        <v>700000</v>
      </c>
      <c r="BK12" s="10">
        <v>37776000</v>
      </c>
      <c r="BM12" s="10">
        <v>53341000</v>
      </c>
      <c r="BN12" s="10">
        <v>3870000</v>
      </c>
      <c r="BO12" s="10">
        <v>7746000</v>
      </c>
      <c r="BP12" s="10">
        <v>6888000</v>
      </c>
      <c r="BQ12" s="10">
        <v>447166000</v>
      </c>
      <c r="BR12" s="10">
        <v>5453000</v>
      </c>
      <c r="BS12" s="10">
        <v>0</v>
      </c>
      <c r="BT12" s="10">
        <v>21818000</v>
      </c>
      <c r="BU12" s="10">
        <v>1101000</v>
      </c>
      <c r="BV12" s="10">
        <v>-385014000</v>
      </c>
      <c r="BW12" s="10">
        <v>382957639</v>
      </c>
      <c r="BX12" s="10">
        <v>-297856000</v>
      </c>
      <c r="BY12" s="10">
        <v>-306054000</v>
      </c>
      <c r="BZ12" s="10">
        <v>217747000</v>
      </c>
      <c r="CA12" s="10">
        <v>-297856000</v>
      </c>
      <c r="CB12" s="10">
        <v>39602000</v>
      </c>
      <c r="CC12" s="10">
        <v>-297856000</v>
      </c>
      <c r="CD12" s="10">
        <v>515603000</v>
      </c>
      <c r="CE12" s="10">
        <v>52392000</v>
      </c>
      <c r="CF12" s="10">
        <v>483420000</v>
      </c>
      <c r="CG12" s="10">
        <v>516000</v>
      </c>
      <c r="CI12" s="10">
        <v>133172000</v>
      </c>
      <c r="CJ12" s="10">
        <v>2585000</v>
      </c>
      <c r="CK12" s="10">
        <v>2585000</v>
      </c>
      <c r="CR12"/>
      <c r="CW12"/>
      <c r="DA12"/>
      <c r="DB12" s="41"/>
      <c r="DF12"/>
      <c r="DH12" s="41">
        <v>2020</v>
      </c>
      <c r="DX12" s="10"/>
      <c r="DY12" s="10"/>
      <c r="DZ12" s="10"/>
      <c r="EA12" s="10"/>
      <c r="EB12" s="10"/>
      <c r="EC12" s="10"/>
      <c r="ED12" t="s">
        <v>647</v>
      </c>
    </row>
    <row r="13" spans="1:134" x14ac:dyDescent="0.35">
      <c r="A13" t="s">
        <v>646</v>
      </c>
      <c r="B13" s="22">
        <v>44561</v>
      </c>
      <c r="C13">
        <v>2021</v>
      </c>
      <c r="D13" t="s">
        <v>212</v>
      </c>
      <c r="E13" t="s">
        <v>213</v>
      </c>
      <c r="F13" s="10">
        <v>6163000</v>
      </c>
      <c r="G13" s="10">
        <v>29673000</v>
      </c>
      <c r="H13" s="10">
        <v>-4123000</v>
      </c>
      <c r="I13" s="10">
        <v>1225815000</v>
      </c>
      <c r="J13" s="10">
        <v>-425000</v>
      </c>
      <c r="N13" s="10">
        <v>68729000</v>
      </c>
      <c r="O13" s="10">
        <v>38000</v>
      </c>
      <c r="P13" s="10">
        <v>521812000</v>
      </c>
      <c r="Q13" s="10">
        <v>715811000</v>
      </c>
      <c r="R13" s="10">
        <v>38000</v>
      </c>
      <c r="S13" s="10">
        <v>744985000</v>
      </c>
      <c r="U13" s="10">
        <v>7112000</v>
      </c>
      <c r="V13" s="10">
        <v>761743000</v>
      </c>
      <c r="W13" s="10">
        <v>7131000</v>
      </c>
      <c r="Y13" s="10">
        <v>7131000</v>
      </c>
      <c r="Z13" s="10">
        <v>33503000</v>
      </c>
      <c r="AB13" s="10">
        <v>-529000</v>
      </c>
      <c r="AC13" s="10">
        <v>1211000</v>
      </c>
      <c r="AD13" s="10">
        <v>6046000</v>
      </c>
      <c r="AE13" s="10">
        <v>30098000</v>
      </c>
      <c r="AF13" s="10">
        <v>76090000</v>
      </c>
      <c r="AJ13" s="10">
        <v>744985000</v>
      </c>
      <c r="AN13" s="10">
        <v>9502000</v>
      </c>
      <c r="AO13" s="10">
        <v>61598000</v>
      </c>
      <c r="AQ13" s="10">
        <v>61598000</v>
      </c>
      <c r="AT13" s="10">
        <v>7166000</v>
      </c>
      <c r="AW13" s="10">
        <v>71967000</v>
      </c>
      <c r="AX13" s="10">
        <v>738939000</v>
      </c>
      <c r="BB13" s="10">
        <v>383655000</v>
      </c>
      <c r="BC13" s="10">
        <v>16259000</v>
      </c>
      <c r="BE13" s="10">
        <v>5455000</v>
      </c>
      <c r="BF13" s="10">
        <v>-529000</v>
      </c>
      <c r="BG13" s="10">
        <v>4835000</v>
      </c>
      <c r="BH13" s="10">
        <v>330000</v>
      </c>
      <c r="BK13" s="10">
        <v>59422000</v>
      </c>
      <c r="BM13" s="10">
        <v>193999000</v>
      </c>
      <c r="BN13" s="10">
        <v>7042000</v>
      </c>
      <c r="BO13" s="10">
        <v>14154000</v>
      </c>
      <c r="BP13" s="10">
        <v>3375000</v>
      </c>
      <c r="BQ13" s="10">
        <v>0</v>
      </c>
      <c r="BR13" s="10">
        <v>16259000</v>
      </c>
      <c r="BS13" s="10">
        <v>0</v>
      </c>
      <c r="BT13" s="10">
        <v>29673000</v>
      </c>
      <c r="BU13" s="10">
        <v>0</v>
      </c>
      <c r="BV13" s="10">
        <v>-480339000</v>
      </c>
      <c r="BW13" s="10">
        <v>383655000</v>
      </c>
      <c r="BX13" s="10">
        <v>744985000</v>
      </c>
      <c r="BY13" s="10">
        <v>738939000</v>
      </c>
      <c r="BZ13" s="10">
        <v>840086000</v>
      </c>
      <c r="CA13" s="10">
        <v>744985000</v>
      </c>
      <c r="CB13" s="10">
        <v>68729000</v>
      </c>
      <c r="CC13" s="10">
        <v>744985000</v>
      </c>
      <c r="CD13" s="10">
        <v>95101000</v>
      </c>
      <c r="CE13" s="10">
        <v>78343000</v>
      </c>
      <c r="CF13" s="10">
        <v>61598000</v>
      </c>
      <c r="CG13" s="10">
        <v>879000</v>
      </c>
      <c r="CI13" s="10">
        <v>728240000</v>
      </c>
      <c r="CJ13" s="10">
        <v>3388000</v>
      </c>
      <c r="CK13" s="10">
        <v>3388000</v>
      </c>
      <c r="CR13"/>
      <c r="CW13"/>
      <c r="DA13"/>
      <c r="DB13" s="41"/>
      <c r="DF13"/>
      <c r="DH13" s="41">
        <v>2021</v>
      </c>
      <c r="DL13" s="10">
        <v>0</v>
      </c>
      <c r="DX13" s="10"/>
      <c r="DY13" s="10"/>
      <c r="DZ13" s="10"/>
      <c r="EA13" s="10"/>
      <c r="EB13" s="10"/>
      <c r="EC13" s="10"/>
      <c r="ED13" t="s">
        <v>647</v>
      </c>
    </row>
    <row r="14" spans="1:134" x14ac:dyDescent="0.35">
      <c r="A14" t="s">
        <v>646</v>
      </c>
      <c r="B14" s="22">
        <v>44926</v>
      </c>
      <c r="C14">
        <v>2022</v>
      </c>
      <c r="D14" t="s">
        <v>212</v>
      </c>
      <c r="E14" t="s">
        <v>213</v>
      </c>
      <c r="F14" s="10">
        <v>4535000</v>
      </c>
      <c r="G14" s="10">
        <v>29770000</v>
      </c>
      <c r="H14" s="10">
        <v>-7214000</v>
      </c>
      <c r="I14" s="10">
        <v>1231482000</v>
      </c>
      <c r="J14" s="10">
        <v>-422000</v>
      </c>
      <c r="N14" s="10">
        <v>61597000</v>
      </c>
      <c r="O14" s="10">
        <v>37000</v>
      </c>
      <c r="P14" s="10">
        <v>55236000</v>
      </c>
      <c r="Q14" s="10">
        <v>583303000</v>
      </c>
      <c r="R14" s="10">
        <v>37000</v>
      </c>
      <c r="S14" s="10">
        <v>611068000</v>
      </c>
      <c r="U14" s="10">
        <v>6645000</v>
      </c>
      <c r="V14" s="10">
        <v>625258000</v>
      </c>
      <c r="W14" s="10">
        <v>7766000</v>
      </c>
      <c r="Y14" s="10">
        <v>7766000</v>
      </c>
      <c r="Z14" s="10">
        <v>34663000</v>
      </c>
      <c r="AB14" s="10">
        <v>-2196000</v>
      </c>
      <c r="AC14" s="10">
        <v>1211000</v>
      </c>
      <c r="AD14" s="10">
        <v>4278000</v>
      </c>
      <c r="AE14" s="10">
        <v>30192000</v>
      </c>
      <c r="AF14" s="10">
        <v>71587000</v>
      </c>
      <c r="AJ14" s="10">
        <v>611068000</v>
      </c>
      <c r="AN14" s="10">
        <v>10597000</v>
      </c>
      <c r="AO14" s="10">
        <v>53831000</v>
      </c>
      <c r="AQ14" s="10">
        <v>53831000</v>
      </c>
      <c r="AT14" s="10">
        <v>8435000</v>
      </c>
      <c r="AW14" s="10">
        <v>64373000</v>
      </c>
      <c r="AX14" s="10">
        <v>606790000</v>
      </c>
      <c r="BB14" s="10">
        <v>371722000</v>
      </c>
      <c r="BC14" s="10">
        <v>12185000</v>
      </c>
      <c r="BE14" s="10">
        <v>2250000</v>
      </c>
      <c r="BF14" s="10">
        <v>-2196000</v>
      </c>
      <c r="BG14" s="10">
        <v>3067000</v>
      </c>
      <c r="BH14" s="10">
        <v>5653000</v>
      </c>
      <c r="BK14" s="10">
        <v>52555000</v>
      </c>
      <c r="BM14" s="10">
        <v>528067000</v>
      </c>
      <c r="BN14" s="10">
        <v>5960000</v>
      </c>
      <c r="BO14" s="10">
        <v>12605000</v>
      </c>
      <c r="BP14" s="10">
        <v>6022000</v>
      </c>
      <c r="BS14" s="10">
        <v>0</v>
      </c>
      <c r="BT14" s="10">
        <v>29770000</v>
      </c>
      <c r="BV14" s="10">
        <v>-618255000</v>
      </c>
      <c r="BW14" s="10">
        <v>371722000</v>
      </c>
      <c r="BX14" s="10">
        <v>611068000</v>
      </c>
      <c r="BY14" s="10">
        <v>606790000</v>
      </c>
      <c r="BZ14" s="10">
        <v>699562000</v>
      </c>
      <c r="CA14" s="10">
        <v>611068000</v>
      </c>
      <c r="CB14" s="10">
        <v>61597000</v>
      </c>
      <c r="CC14" s="10">
        <v>611068000</v>
      </c>
      <c r="CD14" s="10">
        <v>88494000</v>
      </c>
      <c r="CE14" s="10">
        <v>74304000</v>
      </c>
      <c r="CF14" s="10">
        <v>53831000</v>
      </c>
      <c r="CG14" s="10">
        <v>1425000</v>
      </c>
      <c r="CI14" s="10">
        <v>590595000</v>
      </c>
      <c r="CJ14" s="10">
        <v>6020000</v>
      </c>
      <c r="CK14" s="10">
        <v>6020000</v>
      </c>
      <c r="CR14"/>
      <c r="CW14"/>
      <c r="DA14"/>
      <c r="DB14" s="41"/>
      <c r="DF14"/>
      <c r="DH14" s="41">
        <v>2022</v>
      </c>
      <c r="DL14" s="10">
        <v>0</v>
      </c>
      <c r="DX14" s="10"/>
      <c r="DY14" s="10"/>
      <c r="DZ14" s="10"/>
      <c r="EA14" s="10"/>
      <c r="EB14" s="10"/>
      <c r="EC14" s="10"/>
      <c r="ED14" t="s">
        <v>647</v>
      </c>
    </row>
    <row r="15" spans="1:134" x14ac:dyDescent="0.35">
      <c r="A15" t="s">
        <v>646</v>
      </c>
      <c r="B15" s="22">
        <v>45291</v>
      </c>
      <c r="C15">
        <v>2023</v>
      </c>
      <c r="D15" t="s">
        <v>212</v>
      </c>
      <c r="E15" t="s">
        <v>213</v>
      </c>
      <c r="F15" s="10">
        <v>1895000</v>
      </c>
      <c r="G15" s="10">
        <v>26233000</v>
      </c>
      <c r="H15" s="10">
        <v>-11219000</v>
      </c>
      <c r="I15" s="10">
        <v>1323595000</v>
      </c>
      <c r="J15" s="10">
        <v>-385000</v>
      </c>
      <c r="N15" s="10">
        <v>66586000</v>
      </c>
      <c r="O15" s="10">
        <v>39000</v>
      </c>
      <c r="P15" s="10">
        <v>60233000</v>
      </c>
      <c r="Q15" s="10">
        <v>531101000</v>
      </c>
      <c r="R15" s="10">
        <v>39000</v>
      </c>
      <c r="S15" s="10">
        <v>558557000</v>
      </c>
      <c r="U15" s="10">
        <v>7983000</v>
      </c>
      <c r="V15" s="10">
        <v>566940000</v>
      </c>
      <c r="W15" s="10">
        <v>6208000</v>
      </c>
      <c r="Y15" s="10">
        <v>6208000</v>
      </c>
      <c r="Z15" s="10">
        <v>35411000</v>
      </c>
      <c r="AB15" s="10">
        <v>943000</v>
      </c>
      <c r="AC15" s="10">
        <v>1211000</v>
      </c>
      <c r="AD15" s="10">
        <v>2512000</v>
      </c>
      <c r="AE15" s="10">
        <v>26618000</v>
      </c>
      <c r="AF15" s="10">
        <v>76269000</v>
      </c>
      <c r="AJ15" s="10">
        <v>558557000</v>
      </c>
      <c r="AN15" s="10">
        <v>10597000</v>
      </c>
      <c r="AO15" s="10">
        <v>60378000</v>
      </c>
      <c r="AQ15" s="10">
        <v>60378000</v>
      </c>
      <c r="AT15" s="10">
        <v>8704000</v>
      </c>
      <c r="AW15" s="10">
        <v>65050000</v>
      </c>
      <c r="AX15" s="10">
        <v>556045000</v>
      </c>
      <c r="BB15" s="10">
        <v>388375000</v>
      </c>
      <c r="BC15" s="10">
        <v>9606000</v>
      </c>
      <c r="BE15" s="10">
        <v>1093000</v>
      </c>
      <c r="BF15" s="10">
        <v>943000</v>
      </c>
      <c r="BG15" s="10">
        <v>1301000</v>
      </c>
      <c r="BH15" s="10">
        <v>20062000</v>
      </c>
      <c r="BI15" s="10">
        <v>218000</v>
      </c>
      <c r="BK15" s="10">
        <v>56968000</v>
      </c>
      <c r="BM15" s="10">
        <v>470868000</v>
      </c>
      <c r="BN15" s="10">
        <v>2960000</v>
      </c>
      <c r="BO15" s="10">
        <v>10943000</v>
      </c>
      <c r="BP15" s="10">
        <v>8873000</v>
      </c>
      <c r="BS15" s="10">
        <v>0</v>
      </c>
      <c r="BT15" s="10">
        <v>26233000</v>
      </c>
      <c r="BV15" s="10">
        <v>-766020000</v>
      </c>
      <c r="BW15" s="10">
        <v>388375000</v>
      </c>
      <c r="BX15" s="10">
        <v>558557000</v>
      </c>
      <c r="BY15" s="10">
        <v>556045000</v>
      </c>
      <c r="BZ15" s="10">
        <v>654564000</v>
      </c>
      <c r="CA15" s="10">
        <v>558557000</v>
      </c>
      <c r="CB15" s="10">
        <v>66586000</v>
      </c>
      <c r="CC15" s="10">
        <v>558557000</v>
      </c>
      <c r="CD15" s="10">
        <v>96007000</v>
      </c>
      <c r="CE15" s="10">
        <v>87624000</v>
      </c>
      <c r="CF15" s="10">
        <v>60596000</v>
      </c>
      <c r="CG15" s="10">
        <v>1065000</v>
      </c>
      <c r="CI15" s="10">
        <v>531529000</v>
      </c>
      <c r="CJ15" s="10">
        <v>8294000</v>
      </c>
      <c r="CK15" s="10">
        <v>8294000</v>
      </c>
      <c r="CR15"/>
      <c r="CW15"/>
      <c r="DA15"/>
      <c r="DB15" s="41"/>
      <c r="DF15"/>
      <c r="DH15" s="41">
        <v>2023</v>
      </c>
      <c r="DL15" s="10">
        <v>0</v>
      </c>
      <c r="DM15" s="10">
        <v>0</v>
      </c>
      <c r="DX15" s="10"/>
      <c r="DY15" s="10"/>
      <c r="DZ15" s="10"/>
      <c r="EA15" s="10"/>
      <c r="EB15" s="10"/>
      <c r="EC15" s="10"/>
      <c r="ED15" t="s">
        <v>647</v>
      </c>
    </row>
    <row r="16" spans="1:134" x14ac:dyDescent="0.35">
      <c r="A16" t="s">
        <v>648</v>
      </c>
      <c r="B16" s="22">
        <v>43830</v>
      </c>
      <c r="C16">
        <v>2019</v>
      </c>
      <c r="D16" t="s">
        <v>212</v>
      </c>
      <c r="E16" t="s">
        <v>213</v>
      </c>
      <c r="AV16" s="10">
        <v>35911000</v>
      </c>
      <c r="CJ16" s="10">
        <v>116660000</v>
      </c>
      <c r="CK16" s="10">
        <v>116660000</v>
      </c>
      <c r="CR16"/>
      <c r="CW16"/>
      <c r="CX16" s="10">
        <v>2233000</v>
      </c>
      <c r="DA16"/>
      <c r="DB16" s="41"/>
      <c r="DF16"/>
      <c r="DH16" s="41">
        <v>2019</v>
      </c>
      <c r="DX16" s="10"/>
      <c r="DY16" s="10"/>
      <c r="DZ16" s="10"/>
      <c r="EA16" s="10"/>
      <c r="EB16" s="10">
        <v>-3500000</v>
      </c>
      <c r="EC16" s="10"/>
      <c r="ED16" t="s">
        <v>649</v>
      </c>
    </row>
    <row r="17" spans="1:134" x14ac:dyDescent="0.35">
      <c r="A17" t="s">
        <v>648</v>
      </c>
      <c r="B17" s="22">
        <v>44196</v>
      </c>
      <c r="C17">
        <v>2020</v>
      </c>
      <c r="D17" t="s">
        <v>212</v>
      </c>
      <c r="E17" t="s">
        <v>213</v>
      </c>
      <c r="F17" s="10">
        <v>34035000</v>
      </c>
      <c r="G17" s="10">
        <v>28690000</v>
      </c>
      <c r="H17" s="10">
        <v>-65065000</v>
      </c>
      <c r="I17" s="10">
        <v>248525000</v>
      </c>
      <c r="J17" s="10">
        <v>-224000</v>
      </c>
      <c r="N17" s="10">
        <v>254369000</v>
      </c>
      <c r="O17" s="10">
        <v>468000</v>
      </c>
      <c r="P17" s="10">
        <v>62028000</v>
      </c>
      <c r="Q17" s="10">
        <v>67652000</v>
      </c>
      <c r="R17" s="10">
        <v>468000</v>
      </c>
      <c r="S17" s="10">
        <v>283817000</v>
      </c>
      <c r="T17" s="10">
        <v>10253000</v>
      </c>
      <c r="U17" s="10">
        <v>16368000</v>
      </c>
      <c r="V17" s="10">
        <v>126740000</v>
      </c>
      <c r="W17" s="10">
        <v>45952000</v>
      </c>
      <c r="X17" s="10">
        <v>26118000</v>
      </c>
      <c r="Y17" s="10">
        <v>72070000</v>
      </c>
      <c r="Z17" s="10">
        <v>253743000</v>
      </c>
      <c r="AC17" s="10">
        <v>222223000</v>
      </c>
      <c r="AD17" s="10">
        <v>315333000</v>
      </c>
      <c r="AE17" s="10">
        <v>28914000</v>
      </c>
      <c r="AF17" s="10">
        <v>611102000</v>
      </c>
      <c r="AJ17" s="10">
        <v>566280000</v>
      </c>
      <c r="AN17" s="10">
        <v>13526000</v>
      </c>
      <c r="AO17" s="10">
        <v>208417000</v>
      </c>
      <c r="AP17" s="10">
        <v>256345000</v>
      </c>
      <c r="AQ17" s="10">
        <v>464762000</v>
      </c>
      <c r="AT17" s="10">
        <v>7845000</v>
      </c>
      <c r="AV17" s="10">
        <v>220435000</v>
      </c>
      <c r="AW17" s="10">
        <v>546037000</v>
      </c>
      <c r="AX17" s="10">
        <v>-31516000</v>
      </c>
      <c r="BB17" s="10">
        <v>55789831</v>
      </c>
      <c r="BC17" s="10">
        <v>5553000</v>
      </c>
      <c r="BD17" s="10">
        <v>26118000</v>
      </c>
      <c r="BE17" s="10">
        <v>125387000</v>
      </c>
      <c r="BG17" s="10">
        <v>93110000</v>
      </c>
      <c r="BH17" s="10">
        <v>6357000</v>
      </c>
      <c r="BI17" s="10">
        <v>50945000</v>
      </c>
      <c r="BK17" s="10">
        <v>247793000</v>
      </c>
      <c r="BM17" s="10">
        <v>5624000</v>
      </c>
      <c r="BN17" s="10">
        <v>39918000</v>
      </c>
      <c r="BO17" s="10">
        <v>56286000</v>
      </c>
      <c r="BR17" s="10">
        <v>11103000</v>
      </c>
      <c r="BT17" s="10">
        <v>28690000</v>
      </c>
      <c r="BU17" s="10">
        <v>8335000</v>
      </c>
      <c r="BV17" s="10">
        <v>38324000</v>
      </c>
      <c r="BW17" s="10">
        <v>55789831</v>
      </c>
      <c r="BX17" s="10">
        <v>283817000</v>
      </c>
      <c r="BY17" s="10">
        <v>-31516000</v>
      </c>
      <c r="BZ17" s="10">
        <v>1053267000</v>
      </c>
      <c r="CA17" s="10">
        <v>540162000</v>
      </c>
      <c r="CB17" s="10">
        <v>536832000</v>
      </c>
      <c r="CC17" s="10">
        <v>283817000</v>
      </c>
      <c r="CD17" s="10">
        <v>769450000</v>
      </c>
      <c r="CE17" s="10">
        <v>926527000</v>
      </c>
      <c r="CF17" s="10">
        <v>515707000</v>
      </c>
      <c r="CG17" s="10">
        <v>5883000</v>
      </c>
      <c r="CH17" s="10">
        <v>0</v>
      </c>
      <c r="CI17" s="10">
        <v>-127003000</v>
      </c>
      <c r="CJ17" s="10">
        <v>101075000</v>
      </c>
      <c r="CK17" s="10">
        <v>101075000</v>
      </c>
      <c r="CN17" s="10">
        <v>5407000</v>
      </c>
      <c r="CO17" s="10">
        <v>36216000</v>
      </c>
      <c r="CP17" s="10">
        <v>36216000</v>
      </c>
      <c r="CR17"/>
      <c r="CW17"/>
      <c r="CX17" s="10">
        <v>0</v>
      </c>
      <c r="DA17"/>
      <c r="DB17" s="41"/>
      <c r="DF17"/>
      <c r="DH17" s="41">
        <v>2020</v>
      </c>
      <c r="DL17" s="10">
        <v>0</v>
      </c>
      <c r="DX17" s="10"/>
      <c r="DY17" s="10"/>
      <c r="DZ17" s="10"/>
      <c r="EA17" s="10">
        <v>22584000</v>
      </c>
      <c r="EB17" s="10">
        <v>-3500000</v>
      </c>
      <c r="EC17" s="10"/>
      <c r="ED17" t="s">
        <v>649</v>
      </c>
    </row>
    <row r="18" spans="1:134" x14ac:dyDescent="0.35">
      <c r="A18" t="s">
        <v>648</v>
      </c>
      <c r="B18" s="22">
        <v>44561</v>
      </c>
      <c r="C18">
        <v>2021</v>
      </c>
      <c r="D18" t="s">
        <v>212</v>
      </c>
      <c r="E18" t="s">
        <v>213</v>
      </c>
      <c r="F18" s="10">
        <v>39805000</v>
      </c>
      <c r="G18" s="10">
        <v>30156000</v>
      </c>
      <c r="H18" s="10">
        <v>-117069000</v>
      </c>
      <c r="I18" s="10">
        <v>485638000</v>
      </c>
      <c r="J18" s="10">
        <v>-250000</v>
      </c>
      <c r="N18" s="10">
        <v>268196000</v>
      </c>
      <c r="O18" s="10">
        <v>579000</v>
      </c>
      <c r="P18" s="10">
        <v>309338000</v>
      </c>
      <c r="Q18" s="10">
        <v>315621000</v>
      </c>
      <c r="R18" s="10">
        <v>579000</v>
      </c>
      <c r="S18" s="10">
        <v>490589000</v>
      </c>
      <c r="T18" s="10">
        <v>10021000</v>
      </c>
      <c r="U18" s="10">
        <v>28527000</v>
      </c>
      <c r="V18" s="10">
        <v>375443000</v>
      </c>
      <c r="W18" s="10">
        <v>28936000</v>
      </c>
      <c r="X18" s="10">
        <v>29412000</v>
      </c>
      <c r="Y18" s="10">
        <v>58348000</v>
      </c>
      <c r="Z18" s="10">
        <v>281651000</v>
      </c>
      <c r="AB18" s="10">
        <v>0</v>
      </c>
      <c r="AC18" s="10">
        <v>222223000</v>
      </c>
      <c r="AD18" s="10">
        <v>311333000</v>
      </c>
      <c r="AE18" s="10">
        <v>30406000</v>
      </c>
      <c r="AF18" s="10">
        <v>767266000</v>
      </c>
      <c r="AH18" s="10">
        <v>0</v>
      </c>
      <c r="AJ18" s="10">
        <v>768015000</v>
      </c>
      <c r="AN18" s="10">
        <v>20876000</v>
      </c>
      <c r="AO18" s="10">
        <v>239260000</v>
      </c>
      <c r="AP18" s="10">
        <v>248014000</v>
      </c>
      <c r="AQ18" s="10">
        <v>487274000</v>
      </c>
      <c r="AT18" s="10">
        <v>8785000</v>
      </c>
      <c r="AW18" s="10">
        <v>650197000</v>
      </c>
      <c r="AX18" s="10">
        <v>179256000</v>
      </c>
      <c r="BB18" s="10">
        <v>57872452</v>
      </c>
      <c r="BC18" s="10">
        <v>1798000</v>
      </c>
      <c r="BD18" s="10">
        <v>29412000</v>
      </c>
      <c r="BE18" s="10">
        <v>142235000</v>
      </c>
      <c r="BG18" s="10">
        <v>89110000</v>
      </c>
      <c r="BH18" s="10">
        <v>5495000</v>
      </c>
      <c r="BI18" s="10">
        <v>22108000</v>
      </c>
      <c r="BK18" s="10">
        <v>280265000</v>
      </c>
      <c r="BM18" s="10">
        <v>6283000</v>
      </c>
      <c r="BN18" s="10">
        <v>52541000</v>
      </c>
      <c r="BO18" s="10">
        <v>81068000</v>
      </c>
      <c r="BR18" s="10">
        <v>14016000</v>
      </c>
      <c r="BT18" s="10">
        <v>30156000</v>
      </c>
      <c r="BU18" s="10">
        <v>8447000</v>
      </c>
      <c r="BV18" s="10">
        <v>4372000</v>
      </c>
      <c r="BW18" s="10">
        <v>57872452</v>
      </c>
      <c r="BX18" s="10">
        <v>490589000</v>
      </c>
      <c r="BY18" s="10">
        <v>179256000</v>
      </c>
      <c r="BZ18" s="10">
        <v>1380422000</v>
      </c>
      <c r="CA18" s="10">
        <v>738603000</v>
      </c>
      <c r="CB18" s="10">
        <v>545622000</v>
      </c>
      <c r="CC18" s="10">
        <v>490589000</v>
      </c>
      <c r="CD18" s="10">
        <v>889833000</v>
      </c>
      <c r="CE18" s="10">
        <v>1004979000</v>
      </c>
      <c r="CF18" s="10">
        <v>608182000</v>
      </c>
      <c r="CG18" s="10">
        <v>12736000</v>
      </c>
      <c r="CH18" s="10">
        <v>98800000</v>
      </c>
      <c r="CI18" s="10">
        <v>93792000</v>
      </c>
      <c r="CJ18" s="10">
        <v>118562000</v>
      </c>
      <c r="CK18" s="10">
        <v>118562000</v>
      </c>
      <c r="CN18" s="10">
        <v>5405000</v>
      </c>
      <c r="CO18" s="10">
        <v>17608000</v>
      </c>
      <c r="CP18" s="10">
        <v>17608000</v>
      </c>
      <c r="CR18"/>
      <c r="CW18"/>
      <c r="DA18"/>
      <c r="DB18" s="41"/>
      <c r="DF18"/>
      <c r="DH18" s="41">
        <v>2021</v>
      </c>
      <c r="DL18" s="10">
        <v>0</v>
      </c>
      <c r="DN18" s="10">
        <v>0</v>
      </c>
      <c r="DX18" s="10"/>
      <c r="DY18" s="10"/>
      <c r="DZ18" s="10"/>
      <c r="EA18" s="10">
        <v>20346000</v>
      </c>
      <c r="EB18" s="10"/>
      <c r="EC18" s="10"/>
      <c r="ED18" t="s">
        <v>649</v>
      </c>
    </row>
    <row r="19" spans="1:134" x14ac:dyDescent="0.35">
      <c r="A19" t="s">
        <v>648</v>
      </c>
      <c r="B19" s="22">
        <v>44926</v>
      </c>
      <c r="C19">
        <v>2022</v>
      </c>
      <c r="D19" t="s">
        <v>212</v>
      </c>
      <c r="E19" t="s">
        <v>213</v>
      </c>
      <c r="F19" s="10">
        <v>62370000</v>
      </c>
      <c r="G19" s="10">
        <v>35124000</v>
      </c>
      <c r="H19" s="10">
        <v>-176746000</v>
      </c>
      <c r="I19" s="10">
        <v>488494000</v>
      </c>
      <c r="J19" s="10">
        <v>-231000</v>
      </c>
      <c r="N19" s="10">
        <v>277428000</v>
      </c>
      <c r="O19" s="10">
        <v>582000</v>
      </c>
      <c r="P19" s="10">
        <v>92086000</v>
      </c>
      <c r="Q19" s="10">
        <v>271022000</v>
      </c>
      <c r="R19" s="10">
        <v>582000</v>
      </c>
      <c r="S19" s="10">
        <v>492712000</v>
      </c>
      <c r="T19" s="10">
        <v>9134000</v>
      </c>
      <c r="U19" s="10">
        <v>26521000</v>
      </c>
      <c r="V19" s="10">
        <v>345490000</v>
      </c>
      <c r="W19" s="10">
        <v>24286000</v>
      </c>
      <c r="X19" s="10">
        <v>57548000</v>
      </c>
      <c r="Y19" s="10">
        <v>81834000</v>
      </c>
      <c r="Z19" s="10">
        <v>377128000</v>
      </c>
      <c r="AB19" s="10">
        <v>-807000</v>
      </c>
      <c r="AC19" s="10">
        <v>222223000</v>
      </c>
      <c r="AD19" s="10">
        <v>307333000</v>
      </c>
      <c r="AE19" s="10">
        <v>35355000</v>
      </c>
      <c r="AF19" s="10">
        <v>993729000</v>
      </c>
      <c r="AH19" s="10">
        <v>2260000</v>
      </c>
      <c r="AJ19" s="10">
        <v>844947000</v>
      </c>
      <c r="AN19" s="10">
        <v>35948000</v>
      </c>
      <c r="AO19" s="10">
        <v>253142000</v>
      </c>
      <c r="AP19" s="10">
        <v>294687000</v>
      </c>
      <c r="AQ19" s="10">
        <v>547829000</v>
      </c>
      <c r="AT19" s="10">
        <v>10831000</v>
      </c>
      <c r="AV19" s="10">
        <v>260149000</v>
      </c>
      <c r="AW19" s="10">
        <v>816983000</v>
      </c>
      <c r="AX19" s="10">
        <v>185379000</v>
      </c>
      <c r="AY19" s="10">
        <v>0</v>
      </c>
      <c r="AZ19" s="10">
        <v>0</v>
      </c>
      <c r="BB19" s="10">
        <v>57325238</v>
      </c>
      <c r="BC19" s="10">
        <v>8179000</v>
      </c>
      <c r="BD19" s="10">
        <v>57548000</v>
      </c>
      <c r="BE19" s="10">
        <v>186477000</v>
      </c>
      <c r="BF19" s="10">
        <v>-807000</v>
      </c>
      <c r="BG19" s="10">
        <v>85110000</v>
      </c>
      <c r="BH19" s="10">
        <v>9217000</v>
      </c>
      <c r="BI19" s="10">
        <v>5203000</v>
      </c>
      <c r="BK19" s="10">
        <v>301232000</v>
      </c>
      <c r="BM19" s="10">
        <v>178936000</v>
      </c>
      <c r="BN19" s="10">
        <v>82296000</v>
      </c>
      <c r="BO19" s="10">
        <v>108817000</v>
      </c>
      <c r="BR19" s="10">
        <v>12664000</v>
      </c>
      <c r="BT19" s="10">
        <v>35124000</v>
      </c>
      <c r="BU19" s="10">
        <v>10842000</v>
      </c>
      <c r="BV19" s="10">
        <v>22048000</v>
      </c>
      <c r="BW19" s="10">
        <v>58217647</v>
      </c>
      <c r="BX19" s="10">
        <v>492712000</v>
      </c>
      <c r="BY19" s="10">
        <v>185379000</v>
      </c>
      <c r="BZ19" s="10">
        <v>1524412000</v>
      </c>
      <c r="CA19" s="10">
        <v>787399000</v>
      </c>
      <c r="CB19" s="10">
        <v>629663000</v>
      </c>
      <c r="CC19" s="10">
        <v>492712000</v>
      </c>
      <c r="CD19" s="10">
        <v>1031700000</v>
      </c>
      <c r="CE19" s="10">
        <v>1178922000</v>
      </c>
      <c r="CF19" s="10">
        <v>654572000</v>
      </c>
      <c r="CG19" s="10">
        <v>19926000</v>
      </c>
      <c r="CH19" s="10">
        <v>101540000</v>
      </c>
      <c r="CI19" s="10">
        <v>-31638000</v>
      </c>
      <c r="CN19" s="10">
        <v>7659000</v>
      </c>
      <c r="CO19" s="10">
        <v>12956000</v>
      </c>
      <c r="CP19" s="10">
        <v>12956000</v>
      </c>
      <c r="CR19"/>
      <c r="CW19"/>
      <c r="DA19"/>
      <c r="DB19" s="41"/>
      <c r="DF19"/>
      <c r="DH19" s="41">
        <v>2022</v>
      </c>
      <c r="DL19" s="10">
        <v>0</v>
      </c>
      <c r="DM19" s="10">
        <v>892409</v>
      </c>
      <c r="DN19" s="10">
        <v>17605000</v>
      </c>
      <c r="DX19" s="10"/>
      <c r="DY19" s="10"/>
      <c r="DZ19" s="10"/>
      <c r="EA19" s="10">
        <v>32433000</v>
      </c>
      <c r="EB19" s="10"/>
      <c r="EC19" s="10"/>
      <c r="ED19" t="s">
        <v>649</v>
      </c>
    </row>
    <row r="20" spans="1:134" x14ac:dyDescent="0.35">
      <c r="A20" t="s">
        <v>648</v>
      </c>
      <c r="B20" s="22">
        <v>45291</v>
      </c>
      <c r="C20">
        <v>2023</v>
      </c>
      <c r="D20" t="s">
        <v>212</v>
      </c>
      <c r="E20" t="s">
        <v>213</v>
      </c>
      <c r="F20" s="10">
        <v>59011000</v>
      </c>
      <c r="G20" s="10">
        <v>38166000</v>
      </c>
      <c r="H20" s="10">
        <v>-252717000</v>
      </c>
      <c r="I20" s="10">
        <v>513988000</v>
      </c>
      <c r="J20" s="10">
        <v>-17000</v>
      </c>
      <c r="N20" s="10">
        <v>296132000</v>
      </c>
      <c r="O20" s="10">
        <v>589000</v>
      </c>
      <c r="P20" s="10">
        <v>46279000</v>
      </c>
      <c r="Q20" s="10">
        <v>187406000</v>
      </c>
      <c r="R20" s="10">
        <v>589000</v>
      </c>
      <c r="S20" s="10">
        <v>514403000</v>
      </c>
      <c r="T20" s="10">
        <v>9564000</v>
      </c>
      <c r="U20" s="10">
        <v>33305000</v>
      </c>
      <c r="V20" s="10">
        <v>271351000</v>
      </c>
      <c r="W20" s="10">
        <v>46975000</v>
      </c>
      <c r="X20" s="10">
        <v>74177000</v>
      </c>
      <c r="Y20" s="10">
        <v>121152000</v>
      </c>
      <c r="Z20" s="10">
        <v>418582000</v>
      </c>
      <c r="AB20" s="10">
        <v>-62000</v>
      </c>
      <c r="AC20" s="10">
        <v>222223000</v>
      </c>
      <c r="AD20" s="10">
        <v>305774000</v>
      </c>
      <c r="AE20" s="10">
        <v>38183000</v>
      </c>
      <c r="AF20" s="10">
        <v>1246179000</v>
      </c>
      <c r="AH20" s="10">
        <v>3250000</v>
      </c>
      <c r="AJ20" s="10">
        <v>916048000</v>
      </c>
      <c r="AN20" s="10">
        <v>39847000</v>
      </c>
      <c r="AO20" s="10">
        <v>249157000</v>
      </c>
      <c r="AP20" s="10">
        <v>327468000</v>
      </c>
      <c r="AQ20" s="10">
        <v>576625000</v>
      </c>
      <c r="AT20" s="10">
        <v>17875000</v>
      </c>
      <c r="AV20" s="10">
        <v>355366000</v>
      </c>
      <c r="AW20" s="10">
        <v>993462000</v>
      </c>
      <c r="AX20" s="10">
        <v>208629000</v>
      </c>
      <c r="AY20" s="10">
        <v>9148000</v>
      </c>
      <c r="AZ20" s="10">
        <v>9148000</v>
      </c>
      <c r="BB20" s="10">
        <v>53291001</v>
      </c>
      <c r="BC20" s="10">
        <v>3716000</v>
      </c>
      <c r="BD20" s="10">
        <v>74177000</v>
      </c>
      <c r="BE20" s="10">
        <v>183767000</v>
      </c>
      <c r="BF20" s="10">
        <v>-62000</v>
      </c>
      <c r="BG20" s="10">
        <v>83551000</v>
      </c>
      <c r="BH20" s="10">
        <v>8365000</v>
      </c>
      <c r="BI20" s="10">
        <v>7075000</v>
      </c>
      <c r="BK20" s="10">
        <v>339149000</v>
      </c>
      <c r="BM20" s="10">
        <v>141127000</v>
      </c>
      <c r="BN20" s="10">
        <v>80358000</v>
      </c>
      <c r="BO20" s="10">
        <v>113663000</v>
      </c>
      <c r="BR20" s="10">
        <v>16869000</v>
      </c>
      <c r="BT20" s="10">
        <v>38166000</v>
      </c>
      <c r="BU20" s="10">
        <v>17401000</v>
      </c>
      <c r="BV20" s="10">
        <v>94229000</v>
      </c>
      <c r="BW20" s="10">
        <v>58878723</v>
      </c>
      <c r="BX20" s="10">
        <v>514403000</v>
      </c>
      <c r="BY20" s="10">
        <v>208629000</v>
      </c>
      <c r="BZ20" s="10">
        <v>1623627000</v>
      </c>
      <c r="CA20" s="10">
        <v>841871000</v>
      </c>
      <c r="CB20" s="10">
        <v>697777000</v>
      </c>
      <c r="CC20" s="10">
        <v>514403000</v>
      </c>
      <c r="CD20" s="10">
        <v>1109224000</v>
      </c>
      <c r="CE20" s="10">
        <v>1352276000</v>
      </c>
      <c r="CF20" s="10">
        <v>690642000</v>
      </c>
      <c r="CG20" s="10">
        <v>21347000</v>
      </c>
      <c r="CH20" s="10">
        <v>97794000</v>
      </c>
      <c r="CI20" s="10">
        <v>-147231000</v>
      </c>
      <c r="CN20" s="10">
        <v>7793000</v>
      </c>
      <c r="CO20" s="10">
        <v>0</v>
      </c>
      <c r="CP20" s="10">
        <v>0</v>
      </c>
      <c r="CR20"/>
      <c r="CW20"/>
      <c r="DA20"/>
      <c r="DB20" s="41"/>
      <c r="DF20"/>
      <c r="DH20" s="41">
        <v>2023</v>
      </c>
      <c r="DL20" s="10">
        <v>0</v>
      </c>
      <c r="DM20" s="10">
        <v>5587722</v>
      </c>
      <c r="DN20" s="10">
        <v>94341000</v>
      </c>
      <c r="DX20" s="10"/>
      <c r="DY20" s="10"/>
      <c r="DZ20" s="10"/>
      <c r="EA20" s="10">
        <v>44675000</v>
      </c>
      <c r="EB20" s="10"/>
      <c r="EC20" s="10"/>
      <c r="ED20" t="s">
        <v>649</v>
      </c>
    </row>
    <row r="21" spans="1:134" x14ac:dyDescent="0.35">
      <c r="A21" t="s">
        <v>650</v>
      </c>
      <c r="B21" s="22">
        <v>43921</v>
      </c>
      <c r="C21">
        <v>2020</v>
      </c>
      <c r="D21" t="s">
        <v>212</v>
      </c>
      <c r="E21" t="s">
        <v>213</v>
      </c>
      <c r="K21" s="10">
        <v>0</v>
      </c>
      <c r="W21" s="10">
        <v>4170000</v>
      </c>
      <c r="X21" s="10">
        <v>2248000</v>
      </c>
      <c r="Y21" s="10">
        <v>2248000</v>
      </c>
      <c r="AA21" s="10">
        <v>18678000</v>
      </c>
      <c r="AP21" s="10">
        <v>12339000</v>
      </c>
      <c r="BD21" s="10">
        <v>2248000</v>
      </c>
      <c r="BR21" s="10">
        <v>42197000</v>
      </c>
      <c r="CG21" s="10">
        <v>1908000</v>
      </c>
      <c r="CR21"/>
      <c r="CW21"/>
      <c r="DA21"/>
      <c r="DB21" s="41"/>
      <c r="DF21"/>
      <c r="DH21" s="41">
        <v>2020</v>
      </c>
      <c r="DX21" s="10"/>
      <c r="DY21" s="10"/>
      <c r="DZ21" s="10"/>
      <c r="EA21" s="10"/>
      <c r="EB21" s="10"/>
      <c r="EC21" s="10"/>
      <c r="ED21" t="s">
        <v>651</v>
      </c>
    </row>
    <row r="22" spans="1:134" x14ac:dyDescent="0.35">
      <c r="A22" t="s">
        <v>650</v>
      </c>
      <c r="B22" s="22">
        <v>44286</v>
      </c>
      <c r="C22">
        <v>2021</v>
      </c>
      <c r="D22" t="s">
        <v>212</v>
      </c>
      <c r="E22" t="s">
        <v>213</v>
      </c>
      <c r="F22" s="10">
        <v>32120000</v>
      </c>
      <c r="G22" s="10">
        <v>47396000</v>
      </c>
      <c r="H22" s="10">
        <v>-37493000</v>
      </c>
      <c r="I22" s="10">
        <v>253835000</v>
      </c>
      <c r="M22" s="10">
        <v>52174000</v>
      </c>
      <c r="N22" s="10">
        <v>13361000</v>
      </c>
      <c r="O22" s="10">
        <v>92000</v>
      </c>
      <c r="P22" s="10">
        <v>322279000</v>
      </c>
      <c r="Q22" s="10">
        <v>341775000</v>
      </c>
      <c r="R22" s="10">
        <v>92000</v>
      </c>
      <c r="S22" s="10">
        <v>683640000</v>
      </c>
      <c r="T22" s="10">
        <v>21271000</v>
      </c>
      <c r="U22" s="10">
        <v>90544000</v>
      </c>
      <c r="V22" s="10">
        <v>651799000</v>
      </c>
      <c r="X22" s="10">
        <v>1851000</v>
      </c>
      <c r="Y22" s="10">
        <v>1851000</v>
      </c>
      <c r="Z22" s="10">
        <v>237104000</v>
      </c>
      <c r="AA22" s="10">
        <v>18032000</v>
      </c>
      <c r="AB22" s="10">
        <v>97000</v>
      </c>
      <c r="AC22" s="10">
        <v>75090000</v>
      </c>
      <c r="AD22" s="10">
        <v>89453000</v>
      </c>
      <c r="AF22" s="10">
        <v>150539000</v>
      </c>
      <c r="AJ22" s="10">
        <v>695826000</v>
      </c>
      <c r="AL22" s="10">
        <v>35010000</v>
      </c>
      <c r="AM22" s="10">
        <v>28314000</v>
      </c>
      <c r="AO22" s="10">
        <v>13361000</v>
      </c>
      <c r="AP22" s="10">
        <v>10335000</v>
      </c>
      <c r="AQ22" s="10">
        <v>23696000</v>
      </c>
      <c r="AT22" s="10">
        <v>32528000</v>
      </c>
      <c r="AU22" s="10">
        <v>0</v>
      </c>
      <c r="AW22" s="10">
        <v>113046000</v>
      </c>
      <c r="AX22" s="10">
        <v>594187000</v>
      </c>
      <c r="AY22" s="10">
        <v>7393000</v>
      </c>
      <c r="AZ22" s="10">
        <v>7393000</v>
      </c>
      <c r="BA22" s="10">
        <v>62190000</v>
      </c>
      <c r="BB22" s="10">
        <v>9234656</v>
      </c>
      <c r="BC22" s="10">
        <v>57779000</v>
      </c>
      <c r="BD22" s="10">
        <v>1851000</v>
      </c>
      <c r="BE22" s="10">
        <v>70754000</v>
      </c>
      <c r="BF22" s="10">
        <v>97000</v>
      </c>
      <c r="BG22" s="10">
        <v>14363000</v>
      </c>
      <c r="BH22" s="10">
        <v>335000</v>
      </c>
      <c r="BK22" s="10">
        <v>16252000</v>
      </c>
      <c r="BM22" s="10">
        <v>19496000</v>
      </c>
      <c r="BN22" s="10">
        <v>32120000</v>
      </c>
      <c r="BO22" s="10">
        <v>122664000</v>
      </c>
      <c r="BQ22" s="10">
        <v>0</v>
      </c>
      <c r="BR22" s="10">
        <v>57779000</v>
      </c>
      <c r="BS22" s="10">
        <v>0</v>
      </c>
      <c r="BT22" s="10">
        <v>104318000</v>
      </c>
      <c r="BU22" s="10">
        <v>16693000</v>
      </c>
      <c r="BV22" s="10">
        <v>431057000</v>
      </c>
      <c r="BW22" s="10">
        <v>9241256</v>
      </c>
      <c r="BX22" s="10">
        <v>683640000</v>
      </c>
      <c r="BY22" s="10">
        <v>594187000</v>
      </c>
      <c r="BZ22" s="10">
        <v>951833000</v>
      </c>
      <c r="CA22" s="10">
        <v>693975000</v>
      </c>
      <c r="CB22" s="10">
        <v>25547000</v>
      </c>
      <c r="CC22" s="10">
        <v>683640000</v>
      </c>
      <c r="CD22" s="10">
        <v>268193000</v>
      </c>
      <c r="CE22" s="10">
        <v>300034000</v>
      </c>
      <c r="CF22" s="10">
        <v>31089000</v>
      </c>
      <c r="CI22" s="10">
        <v>414695000</v>
      </c>
      <c r="CJ22" s="10">
        <v>41835000</v>
      </c>
      <c r="CK22" s="10">
        <v>41835000</v>
      </c>
      <c r="CM22" s="10">
        <v>57749000</v>
      </c>
      <c r="CN22" s="10">
        <v>131234000</v>
      </c>
      <c r="CR22">
        <v>56922000</v>
      </c>
      <c r="CS22" s="10">
        <v>54336000</v>
      </c>
      <c r="CT22" s="10">
        <v>19149000</v>
      </c>
      <c r="CW22"/>
      <c r="DA22"/>
      <c r="DB22" s="41"/>
      <c r="DF22"/>
      <c r="DH22" s="41">
        <v>2021</v>
      </c>
      <c r="DL22" s="10">
        <v>0</v>
      </c>
      <c r="DM22" s="10">
        <v>6600</v>
      </c>
      <c r="DN22" s="10">
        <v>1441000</v>
      </c>
      <c r="DX22" s="10"/>
      <c r="DY22" s="10"/>
      <c r="DZ22" s="10"/>
      <c r="EA22" s="10"/>
      <c r="EB22" s="10"/>
      <c r="EC22" s="10"/>
      <c r="ED22" t="s">
        <v>651</v>
      </c>
    </row>
    <row r="23" spans="1:134" x14ac:dyDescent="0.35">
      <c r="A23" t="s">
        <v>650</v>
      </c>
      <c r="B23" s="22">
        <v>44651</v>
      </c>
      <c r="C23">
        <v>2022</v>
      </c>
      <c r="D23" t="s">
        <v>212</v>
      </c>
      <c r="E23" t="s">
        <v>213</v>
      </c>
      <c r="F23" s="10">
        <v>43082000</v>
      </c>
      <c r="G23" s="10">
        <v>96052000</v>
      </c>
      <c r="H23" s="10">
        <v>-46832000</v>
      </c>
      <c r="I23" s="10">
        <v>263049000</v>
      </c>
      <c r="M23" s="10">
        <v>100775000</v>
      </c>
      <c r="N23" s="10">
        <v>13158000</v>
      </c>
      <c r="O23" s="10">
        <v>93000</v>
      </c>
      <c r="P23" s="10">
        <v>244150000</v>
      </c>
      <c r="Q23" s="10">
        <v>264236000</v>
      </c>
      <c r="R23" s="10">
        <v>93000</v>
      </c>
      <c r="S23" s="10">
        <v>830455000</v>
      </c>
      <c r="T23" s="10">
        <v>29281000</v>
      </c>
      <c r="U23" s="10">
        <v>194770000</v>
      </c>
      <c r="V23" s="10">
        <v>744117000</v>
      </c>
      <c r="X23" s="10">
        <v>784000</v>
      </c>
      <c r="Y23" s="10">
        <v>784000</v>
      </c>
      <c r="Z23" s="10">
        <v>294170000</v>
      </c>
      <c r="AA23" s="10">
        <v>26250000</v>
      </c>
      <c r="AB23" s="10">
        <v>-403000</v>
      </c>
      <c r="AC23" s="10">
        <v>100993000</v>
      </c>
      <c r="AD23" s="10">
        <v>129452000</v>
      </c>
      <c r="AF23" s="10">
        <v>227800000</v>
      </c>
      <c r="AJ23" s="10">
        <v>830455000</v>
      </c>
      <c r="AL23" s="10">
        <v>34933000</v>
      </c>
      <c r="AM23" s="10">
        <v>32154000</v>
      </c>
      <c r="AO23" s="10">
        <v>13158000</v>
      </c>
      <c r="AP23" s="10">
        <v>10836000</v>
      </c>
      <c r="AQ23" s="10">
        <v>13158000</v>
      </c>
      <c r="AT23" s="10">
        <v>48638000</v>
      </c>
      <c r="AU23" s="10">
        <v>825000</v>
      </c>
      <c r="AW23" s="10">
        <v>180968000</v>
      </c>
      <c r="AX23" s="10">
        <v>701003000</v>
      </c>
      <c r="AY23" s="10">
        <v>5528000</v>
      </c>
      <c r="AZ23" s="10">
        <v>5528000</v>
      </c>
      <c r="BA23" s="10">
        <v>65167000</v>
      </c>
      <c r="BB23" s="10">
        <v>9050505</v>
      </c>
      <c r="BC23" s="10">
        <v>71726000</v>
      </c>
      <c r="BD23" s="10">
        <v>784000</v>
      </c>
      <c r="BE23" s="10">
        <v>70006000</v>
      </c>
      <c r="BF23" s="10">
        <v>-403000</v>
      </c>
      <c r="BG23" s="10">
        <v>28459000</v>
      </c>
      <c r="BH23" s="10">
        <v>335000</v>
      </c>
      <c r="BI23" s="10">
        <v>10836000</v>
      </c>
      <c r="BK23" s="10">
        <v>16952000</v>
      </c>
      <c r="BM23" s="10">
        <v>20086000</v>
      </c>
      <c r="BN23" s="10">
        <v>43082000</v>
      </c>
      <c r="BO23" s="10">
        <v>237852000</v>
      </c>
      <c r="BQ23" s="10">
        <v>825000</v>
      </c>
      <c r="BR23" s="10">
        <v>71726000</v>
      </c>
      <c r="BS23" s="10">
        <v>0</v>
      </c>
      <c r="BT23" s="10">
        <v>149335000</v>
      </c>
      <c r="BU23" s="10">
        <v>14849000</v>
      </c>
      <c r="BV23" s="10">
        <v>628756000</v>
      </c>
      <c r="BW23" s="10">
        <v>9292278</v>
      </c>
      <c r="BX23" s="10">
        <v>830455000</v>
      </c>
      <c r="BY23" s="10">
        <v>701003000</v>
      </c>
      <c r="BZ23" s="10">
        <v>1154972000</v>
      </c>
      <c r="CA23" s="10">
        <v>830455000</v>
      </c>
      <c r="CB23" s="10">
        <v>13158000</v>
      </c>
      <c r="CC23" s="10">
        <v>831280000</v>
      </c>
      <c r="CD23" s="10">
        <v>323692000</v>
      </c>
      <c r="CE23" s="10">
        <v>410855000</v>
      </c>
      <c r="CF23" s="10">
        <v>29522000</v>
      </c>
      <c r="CI23" s="10">
        <v>449947000</v>
      </c>
      <c r="CJ23" s="10">
        <v>56318000</v>
      </c>
      <c r="CK23" s="10">
        <v>56318000</v>
      </c>
      <c r="CM23" s="10">
        <v>117404000</v>
      </c>
      <c r="CN23" s="10">
        <v>243971000</v>
      </c>
      <c r="CR23">
        <v>53283000</v>
      </c>
      <c r="CS23" s="10">
        <v>95929000</v>
      </c>
      <c r="CT23" s="10">
        <v>30638000</v>
      </c>
      <c r="CW23"/>
      <c r="DA23"/>
      <c r="DB23" s="41"/>
      <c r="DF23"/>
      <c r="DH23" s="41">
        <v>2022</v>
      </c>
      <c r="DL23" s="10">
        <v>0</v>
      </c>
      <c r="DM23" s="10">
        <v>241773</v>
      </c>
      <c r="DN23" s="10">
        <v>61040000</v>
      </c>
      <c r="DX23" s="10"/>
      <c r="DY23" s="10"/>
      <c r="DZ23" s="10"/>
      <c r="EA23" s="10"/>
      <c r="EB23" s="10"/>
      <c r="EC23" s="10"/>
      <c r="ED23" t="s">
        <v>651</v>
      </c>
    </row>
    <row r="24" spans="1:134" x14ac:dyDescent="0.35">
      <c r="A24" t="s">
        <v>650</v>
      </c>
      <c r="B24" s="22">
        <v>45016</v>
      </c>
      <c r="C24">
        <v>2023</v>
      </c>
      <c r="D24" t="s">
        <v>212</v>
      </c>
      <c r="E24" t="s">
        <v>213</v>
      </c>
      <c r="F24" s="10">
        <v>30730000</v>
      </c>
      <c r="G24" s="10">
        <v>89347000</v>
      </c>
      <c r="H24" s="10">
        <v>-61133000</v>
      </c>
      <c r="I24" s="10">
        <v>271950000</v>
      </c>
      <c r="M24" s="10">
        <v>167291000</v>
      </c>
      <c r="N24" s="10">
        <v>21678000</v>
      </c>
      <c r="O24" s="10">
        <v>93000</v>
      </c>
      <c r="P24" s="10">
        <v>271427000</v>
      </c>
      <c r="Q24" s="10">
        <v>286405000</v>
      </c>
      <c r="R24" s="10">
        <v>93000</v>
      </c>
      <c r="S24" s="10">
        <v>976286000</v>
      </c>
      <c r="T24" s="10">
        <v>5472000</v>
      </c>
      <c r="U24" s="10">
        <v>140694000</v>
      </c>
      <c r="V24" s="10">
        <v>804579000</v>
      </c>
      <c r="Z24" s="10">
        <v>293391000</v>
      </c>
      <c r="AB24" s="10">
        <v>-615000</v>
      </c>
      <c r="AC24" s="10">
        <v>114547000</v>
      </c>
      <c r="AD24" s="10">
        <v>144337000</v>
      </c>
      <c r="AF24" s="10">
        <v>316166000</v>
      </c>
      <c r="AJ24" s="10">
        <v>976286000</v>
      </c>
      <c r="AL24" s="10">
        <v>18639000</v>
      </c>
      <c r="AM24" s="10">
        <v>39822000</v>
      </c>
      <c r="AO24" s="10">
        <v>21678000</v>
      </c>
      <c r="AQ24" s="10">
        <v>21678000</v>
      </c>
      <c r="AT24" s="10">
        <v>76826000</v>
      </c>
      <c r="AU24" s="10">
        <v>1219000</v>
      </c>
      <c r="AW24" s="10">
        <v>255033000</v>
      </c>
      <c r="AX24" s="10">
        <v>831949000</v>
      </c>
      <c r="AY24" s="10">
        <v>7581000</v>
      </c>
      <c r="AZ24" s="10">
        <v>7581000</v>
      </c>
      <c r="BA24" s="10">
        <v>85052000</v>
      </c>
      <c r="BB24" s="10">
        <v>8665324</v>
      </c>
      <c r="BC24" s="10">
        <v>92876000</v>
      </c>
      <c r="BE24" s="10">
        <v>76774000</v>
      </c>
      <c r="BF24" s="10">
        <v>-615000</v>
      </c>
      <c r="BG24" s="10">
        <v>29790000</v>
      </c>
      <c r="BH24" s="10">
        <v>335000</v>
      </c>
      <c r="BI24" s="10">
        <v>7820000</v>
      </c>
      <c r="BK24" s="10">
        <v>26755000</v>
      </c>
      <c r="BM24" s="10">
        <v>14978000</v>
      </c>
      <c r="BN24" s="10">
        <v>30730000</v>
      </c>
      <c r="BO24" s="10">
        <v>171424000</v>
      </c>
      <c r="BS24" s="10">
        <v>0</v>
      </c>
      <c r="BT24" s="10">
        <v>150420000</v>
      </c>
      <c r="BU24" s="10">
        <v>11728000</v>
      </c>
      <c r="BV24" s="10">
        <v>869310000</v>
      </c>
      <c r="BW24" s="10">
        <v>9337125</v>
      </c>
      <c r="BX24" s="10">
        <v>976286000</v>
      </c>
      <c r="BY24" s="10">
        <v>831949000</v>
      </c>
      <c r="BZ24" s="10">
        <v>1307975000</v>
      </c>
      <c r="CA24" s="10">
        <v>976286000</v>
      </c>
      <c r="CB24" s="10">
        <v>21678000</v>
      </c>
      <c r="CC24" s="10">
        <v>977505000</v>
      </c>
      <c r="CD24" s="10">
        <v>330470000</v>
      </c>
      <c r="CE24" s="10">
        <v>503396000</v>
      </c>
      <c r="CF24" s="10">
        <v>37079000</v>
      </c>
      <c r="CI24" s="10">
        <v>511188000</v>
      </c>
      <c r="CJ24" s="10">
        <v>45193000</v>
      </c>
      <c r="CK24" s="10">
        <v>45193000</v>
      </c>
      <c r="CM24" s="10">
        <v>142083000</v>
      </c>
      <c r="CN24" s="10">
        <v>263150000</v>
      </c>
      <c r="CR24">
        <v>61073000</v>
      </c>
      <c r="CS24" s="10">
        <v>92045000</v>
      </c>
      <c r="CT24" s="10">
        <v>29022000</v>
      </c>
      <c r="CW24"/>
      <c r="DA24"/>
      <c r="DB24" s="41"/>
      <c r="DF24"/>
      <c r="DH24" s="41">
        <v>2023</v>
      </c>
      <c r="DL24" s="10">
        <v>0</v>
      </c>
      <c r="DM24" s="10">
        <v>671801</v>
      </c>
      <c r="DN24" s="10">
        <v>164452000</v>
      </c>
      <c r="DX24" s="10"/>
      <c r="DY24" s="10"/>
      <c r="DZ24" s="10"/>
      <c r="EA24" s="10"/>
      <c r="EB24" s="10"/>
      <c r="EC24" s="10"/>
      <c r="ED24" t="s">
        <v>651</v>
      </c>
    </row>
    <row r="25" spans="1:134" x14ac:dyDescent="0.35">
      <c r="A25" t="s">
        <v>650</v>
      </c>
      <c r="B25" s="22">
        <v>45382</v>
      </c>
      <c r="C25">
        <v>2024</v>
      </c>
      <c r="D25" t="s">
        <v>212</v>
      </c>
      <c r="E25" t="s">
        <v>213</v>
      </c>
      <c r="F25" s="10">
        <v>33531000</v>
      </c>
      <c r="G25" s="10">
        <v>77123000</v>
      </c>
      <c r="H25" s="10">
        <v>-76686000</v>
      </c>
      <c r="I25" s="10">
        <v>281216000</v>
      </c>
      <c r="M25" s="10">
        <v>171516000</v>
      </c>
      <c r="N25" s="10">
        <v>35148000</v>
      </c>
      <c r="O25" s="10">
        <v>94000</v>
      </c>
      <c r="P25" s="10">
        <v>352687000</v>
      </c>
      <c r="Q25" s="10">
        <v>370957000</v>
      </c>
      <c r="R25" s="10">
        <v>94000</v>
      </c>
      <c r="S25" s="10">
        <v>1033411000</v>
      </c>
      <c r="T25" s="10">
        <v>8405000</v>
      </c>
      <c r="U25" s="10">
        <v>138583000</v>
      </c>
      <c r="V25" s="10">
        <v>851799000</v>
      </c>
      <c r="Z25" s="10">
        <v>273267000</v>
      </c>
      <c r="AB25" s="10">
        <v>-333000</v>
      </c>
      <c r="AC25" s="10">
        <v>121934000</v>
      </c>
      <c r="AD25" s="10">
        <v>150155000</v>
      </c>
      <c r="AF25" s="10">
        <v>339912000</v>
      </c>
      <c r="AJ25" s="10">
        <v>1033411000</v>
      </c>
      <c r="AL25" s="10">
        <v>17316000</v>
      </c>
      <c r="AM25" s="10">
        <v>39822000</v>
      </c>
      <c r="AO25" s="10">
        <v>35148000</v>
      </c>
      <c r="AQ25" s="10">
        <v>35148000</v>
      </c>
      <c r="AT25" s="10">
        <v>81142000</v>
      </c>
      <c r="AU25" s="10">
        <v>0</v>
      </c>
      <c r="AW25" s="10">
        <v>263226000</v>
      </c>
      <c r="AX25" s="10">
        <v>883256000</v>
      </c>
      <c r="AY25" s="10">
        <v>4575000</v>
      </c>
      <c r="AZ25" s="10">
        <v>4575000</v>
      </c>
      <c r="BA25" s="10">
        <v>71079000</v>
      </c>
      <c r="BB25" s="10">
        <v>8320718</v>
      </c>
      <c r="BC25" s="10">
        <v>82870000</v>
      </c>
      <c r="BE25" s="10">
        <v>60297000</v>
      </c>
      <c r="BF25" s="10">
        <v>-333000</v>
      </c>
      <c r="BG25" s="10">
        <v>28221000</v>
      </c>
      <c r="BH25" s="10">
        <v>585000</v>
      </c>
      <c r="BI25" s="10">
        <v>7759000</v>
      </c>
      <c r="BK25" s="10">
        <v>39027000</v>
      </c>
      <c r="BM25" s="10">
        <v>18270000</v>
      </c>
      <c r="BN25" s="10">
        <v>33531000</v>
      </c>
      <c r="BO25" s="10">
        <v>172114000</v>
      </c>
      <c r="BS25" s="10">
        <v>0</v>
      </c>
      <c r="BT25" s="10">
        <v>141152000</v>
      </c>
      <c r="BU25" s="10">
        <v>15481000</v>
      </c>
      <c r="BV25" s="10">
        <v>1027127000</v>
      </c>
      <c r="BW25" s="10">
        <v>9389953</v>
      </c>
      <c r="BX25" s="10">
        <v>1033411000</v>
      </c>
      <c r="BY25" s="10">
        <v>883256000</v>
      </c>
      <c r="BZ25" s="10">
        <v>1354160000</v>
      </c>
      <c r="CA25" s="10">
        <v>1033411000</v>
      </c>
      <c r="CB25" s="10">
        <v>35148000</v>
      </c>
      <c r="CC25" s="10">
        <v>1033411000</v>
      </c>
      <c r="CD25" s="10">
        <v>320749000</v>
      </c>
      <c r="CE25" s="10">
        <v>502361000</v>
      </c>
      <c r="CF25" s="10">
        <v>47482000</v>
      </c>
      <c r="CI25" s="10">
        <v>578532000</v>
      </c>
      <c r="CJ25" s="10">
        <v>40856000</v>
      </c>
      <c r="CK25" s="10">
        <v>40856000</v>
      </c>
      <c r="CM25" s="10">
        <v>135121000</v>
      </c>
      <c r="CN25" s="10">
        <v>241339000</v>
      </c>
      <c r="CR25">
        <v>64029000</v>
      </c>
      <c r="CS25" s="10">
        <v>78241000</v>
      </c>
      <c r="CT25" s="10">
        <v>27977000</v>
      </c>
      <c r="CW25"/>
      <c r="DA25"/>
      <c r="DB25" s="41"/>
      <c r="DF25"/>
      <c r="DH25" s="41">
        <v>2024</v>
      </c>
      <c r="DL25" s="10">
        <v>0</v>
      </c>
      <c r="DM25" s="10">
        <v>1069235</v>
      </c>
      <c r="DN25" s="10">
        <v>274693000</v>
      </c>
      <c r="DX25" s="10"/>
      <c r="DY25" s="10"/>
      <c r="DZ25" s="10"/>
      <c r="EA25" s="10"/>
      <c r="EB25" s="10"/>
      <c r="EC25" s="10"/>
      <c r="ED25" t="s">
        <v>651</v>
      </c>
    </row>
    <row r="26" spans="1:134" x14ac:dyDescent="0.35">
      <c r="A26" t="s">
        <v>652</v>
      </c>
      <c r="B26" s="22">
        <v>43861</v>
      </c>
      <c r="C26">
        <v>2020</v>
      </c>
      <c r="D26" t="s">
        <v>212</v>
      </c>
      <c r="E26" t="s">
        <v>213</v>
      </c>
      <c r="BR26" s="10">
        <v>20935000</v>
      </c>
      <c r="CJ26" s="10">
        <v>15319000</v>
      </c>
      <c r="CK26" s="10">
        <v>15319000</v>
      </c>
      <c r="CR26"/>
      <c r="CW26"/>
      <c r="DA26"/>
      <c r="DB26" s="41"/>
      <c r="DF26"/>
      <c r="DH26" s="41">
        <v>2020</v>
      </c>
      <c r="DX26" s="10"/>
      <c r="DY26" s="10"/>
      <c r="DZ26" s="10"/>
      <c r="EA26" s="10"/>
      <c r="EB26" s="10"/>
      <c r="EC26" s="10"/>
      <c r="ED26" t="s">
        <v>653</v>
      </c>
    </row>
    <row r="27" spans="1:134" x14ac:dyDescent="0.35">
      <c r="A27" t="s">
        <v>652</v>
      </c>
      <c r="B27" s="22">
        <v>44227</v>
      </c>
      <c r="C27">
        <v>2021</v>
      </c>
      <c r="D27" t="s">
        <v>212</v>
      </c>
      <c r="E27" t="s">
        <v>213</v>
      </c>
      <c r="F27" s="10">
        <v>43399000</v>
      </c>
      <c r="G27" s="10">
        <v>2823000</v>
      </c>
      <c r="H27" s="10">
        <v>-350942000</v>
      </c>
      <c r="I27" s="10">
        <v>158058000</v>
      </c>
      <c r="J27" s="10">
        <v>-4000</v>
      </c>
      <c r="M27" s="10">
        <v>43651000</v>
      </c>
      <c r="N27" s="10">
        <v>306268000</v>
      </c>
      <c r="O27" s="10">
        <v>494000</v>
      </c>
      <c r="P27" s="10">
        <v>318789000</v>
      </c>
      <c r="Q27" s="10">
        <v>322148000</v>
      </c>
      <c r="R27" s="10">
        <v>494000</v>
      </c>
      <c r="S27" s="10">
        <v>396629000</v>
      </c>
      <c r="T27" s="10">
        <v>560000</v>
      </c>
      <c r="U27" s="10">
        <v>20303000</v>
      </c>
      <c r="V27" s="10">
        <v>437224000</v>
      </c>
      <c r="W27" s="10">
        <v>81762000</v>
      </c>
      <c r="Y27" s="10">
        <v>81762000</v>
      </c>
      <c r="Z27" s="10">
        <v>206359000</v>
      </c>
      <c r="AE27" s="10">
        <v>2827000</v>
      </c>
      <c r="AF27" s="10">
        <v>730715000</v>
      </c>
      <c r="AH27" s="10">
        <v>10751000</v>
      </c>
      <c r="AJ27" s="10">
        <v>396629000</v>
      </c>
      <c r="AK27" s="10">
        <v>18320000</v>
      </c>
      <c r="AL27" s="10">
        <v>18320000</v>
      </c>
      <c r="AM27" s="10">
        <v>2491000</v>
      </c>
      <c r="AN27" s="10">
        <v>165027000</v>
      </c>
      <c r="AO27" s="10">
        <v>224506000</v>
      </c>
      <c r="AQ27" s="10">
        <v>224506000</v>
      </c>
      <c r="AT27" s="10">
        <v>239628000</v>
      </c>
      <c r="AW27" s="10">
        <v>379773000</v>
      </c>
      <c r="AX27" s="10">
        <v>396629000</v>
      </c>
      <c r="AY27" s="10">
        <v>18320000</v>
      </c>
      <c r="BB27" s="10">
        <v>49407731</v>
      </c>
      <c r="BC27" s="10">
        <v>11190000</v>
      </c>
      <c r="BE27" s="10">
        <v>14279000</v>
      </c>
      <c r="BH27" s="10">
        <v>10497000</v>
      </c>
      <c r="BK27" s="10">
        <v>279358000</v>
      </c>
      <c r="BM27" s="10">
        <v>3359000</v>
      </c>
      <c r="BN27" s="10">
        <v>54150000</v>
      </c>
      <c r="BO27" s="10">
        <v>74453000</v>
      </c>
      <c r="BP27" s="10">
        <v>35865000</v>
      </c>
      <c r="BR27" s="10">
        <v>11190000</v>
      </c>
      <c r="BS27" s="10">
        <v>0</v>
      </c>
      <c r="BT27" s="10">
        <v>2823000</v>
      </c>
      <c r="BV27" s="10">
        <v>238077000</v>
      </c>
      <c r="BW27" s="10">
        <v>49407731</v>
      </c>
      <c r="BX27" s="10">
        <v>396629000</v>
      </c>
      <c r="BY27" s="10">
        <v>396629000</v>
      </c>
      <c r="BZ27" s="10">
        <v>845814000</v>
      </c>
      <c r="CA27" s="10">
        <v>396629000</v>
      </c>
      <c r="CB27" s="10">
        <v>306268000</v>
      </c>
      <c r="CC27" s="10">
        <v>396629000</v>
      </c>
      <c r="CD27" s="10">
        <v>449185000</v>
      </c>
      <c r="CE27" s="10">
        <v>408590000</v>
      </c>
      <c r="CF27" s="10">
        <v>242826000</v>
      </c>
      <c r="CG27" s="10">
        <v>10751000</v>
      </c>
      <c r="CI27" s="10">
        <v>230865000</v>
      </c>
      <c r="CN27" s="10">
        <v>101063000</v>
      </c>
      <c r="CR27"/>
      <c r="CW27">
        <v>18320000</v>
      </c>
      <c r="DA27"/>
      <c r="DB27" s="41"/>
      <c r="DF27"/>
      <c r="DH27" s="41">
        <v>2021</v>
      </c>
      <c r="DX27" s="10"/>
      <c r="DY27" s="10"/>
      <c r="DZ27" s="10"/>
      <c r="EA27" s="10"/>
      <c r="EB27" s="10"/>
      <c r="EC27" s="10"/>
      <c r="ED27" t="s">
        <v>653</v>
      </c>
    </row>
    <row r="28" spans="1:134" x14ac:dyDescent="0.35">
      <c r="A28" t="s">
        <v>652</v>
      </c>
      <c r="B28" s="22">
        <v>44592</v>
      </c>
      <c r="C28">
        <v>2022</v>
      </c>
      <c r="D28" t="s">
        <v>212</v>
      </c>
      <c r="E28" t="s">
        <v>213</v>
      </c>
      <c r="F28" s="10">
        <v>59950000</v>
      </c>
      <c r="G28" s="10">
        <v>12087000</v>
      </c>
      <c r="H28" s="10">
        <v>-352724000</v>
      </c>
      <c r="I28" s="10">
        <v>167328000</v>
      </c>
      <c r="J28" s="10">
        <v>-4000</v>
      </c>
      <c r="M28" s="10">
        <v>42751000</v>
      </c>
      <c r="N28" s="10">
        <v>288340000</v>
      </c>
      <c r="O28" s="10">
        <v>497000</v>
      </c>
      <c r="P28" s="10">
        <v>253970000</v>
      </c>
      <c r="Q28" s="10">
        <v>266896000</v>
      </c>
      <c r="R28" s="10">
        <v>497000</v>
      </c>
      <c r="S28" s="10">
        <v>312924000</v>
      </c>
      <c r="T28" s="10">
        <v>5338000</v>
      </c>
      <c r="U28" s="10">
        <v>20264000</v>
      </c>
      <c r="V28" s="10">
        <v>391206000</v>
      </c>
      <c r="W28" s="10">
        <v>88273000</v>
      </c>
      <c r="Y28" s="10">
        <v>88273000</v>
      </c>
      <c r="Z28" s="10">
        <v>248541000</v>
      </c>
      <c r="AE28" s="10">
        <v>12091000</v>
      </c>
      <c r="AF28" s="10">
        <v>712142000</v>
      </c>
      <c r="AH28" s="10">
        <v>1529000</v>
      </c>
      <c r="AJ28" s="10">
        <v>312924000</v>
      </c>
      <c r="AK28" s="10">
        <v>19352000</v>
      </c>
      <c r="AL28" s="10">
        <v>19352000</v>
      </c>
      <c r="AM28" s="10">
        <v>2491000</v>
      </c>
      <c r="AN28" s="10">
        <v>166662000</v>
      </c>
      <c r="AO28" s="10">
        <v>200067000</v>
      </c>
      <c r="AQ28" s="10">
        <v>200067000</v>
      </c>
      <c r="AT28" s="10">
        <v>235986000</v>
      </c>
      <c r="AW28" s="10">
        <v>359418000</v>
      </c>
      <c r="AX28" s="10">
        <v>312924000</v>
      </c>
      <c r="AY28" s="10">
        <v>19352000</v>
      </c>
      <c r="BB28" s="10">
        <v>49728651</v>
      </c>
      <c r="BC28" s="10">
        <v>10128000</v>
      </c>
      <c r="BE28" s="10">
        <v>16470000</v>
      </c>
      <c r="BH28" s="10">
        <v>10908000</v>
      </c>
      <c r="BK28" s="10">
        <v>258914000</v>
      </c>
      <c r="BM28" s="10">
        <v>12926000</v>
      </c>
      <c r="BN28" s="10">
        <v>61479000</v>
      </c>
      <c r="BO28" s="10">
        <v>81743000</v>
      </c>
      <c r="BP28" s="10">
        <v>62055000</v>
      </c>
      <c r="BR28" s="10">
        <v>10128000</v>
      </c>
      <c r="BS28" s="10">
        <v>0</v>
      </c>
      <c r="BT28" s="10">
        <v>12087000</v>
      </c>
      <c r="BV28" s="10">
        <v>145099000</v>
      </c>
      <c r="BW28" s="10">
        <v>49728651</v>
      </c>
      <c r="BX28" s="10">
        <v>312924000</v>
      </c>
      <c r="BY28" s="10">
        <v>312924000</v>
      </c>
      <c r="BZ28" s="10">
        <v>780884000</v>
      </c>
      <c r="CA28" s="10">
        <v>312924000</v>
      </c>
      <c r="CB28" s="10">
        <v>288340000</v>
      </c>
      <c r="CC28" s="10">
        <v>312924000</v>
      </c>
      <c r="CD28" s="10">
        <v>467960000</v>
      </c>
      <c r="CE28" s="10">
        <v>389678000</v>
      </c>
      <c r="CF28" s="10">
        <v>219419000</v>
      </c>
      <c r="CG28" s="10">
        <v>1529000</v>
      </c>
      <c r="CI28" s="10">
        <v>142665000</v>
      </c>
      <c r="CN28" s="10">
        <v>102095000</v>
      </c>
      <c r="CR28"/>
      <c r="CW28">
        <v>19352000</v>
      </c>
      <c r="DA28"/>
      <c r="DB28" s="41"/>
      <c r="DF28"/>
      <c r="DH28" s="41">
        <v>2022</v>
      </c>
      <c r="DX28" s="10"/>
      <c r="DY28" s="10"/>
      <c r="DZ28" s="10"/>
      <c r="EA28" s="10"/>
      <c r="EB28" s="10"/>
      <c r="EC28" s="10"/>
      <c r="ED28" t="s">
        <v>653</v>
      </c>
    </row>
    <row r="29" spans="1:134" x14ac:dyDescent="0.35">
      <c r="A29" t="s">
        <v>652</v>
      </c>
      <c r="B29" s="22">
        <v>44957</v>
      </c>
      <c r="C29">
        <v>2023</v>
      </c>
      <c r="D29" t="s">
        <v>212</v>
      </c>
      <c r="E29" t="s">
        <v>213</v>
      </c>
      <c r="F29" s="10">
        <v>44835000</v>
      </c>
      <c r="G29" s="10">
        <v>12648000</v>
      </c>
      <c r="H29" s="10">
        <v>-353919000</v>
      </c>
      <c r="I29" s="10">
        <v>178964000</v>
      </c>
      <c r="J29" s="10">
        <v>-4000</v>
      </c>
      <c r="M29" s="10">
        <v>42758000</v>
      </c>
      <c r="N29" s="10">
        <v>303785000</v>
      </c>
      <c r="O29" s="10">
        <v>501000</v>
      </c>
      <c r="P29" s="10">
        <v>252077000</v>
      </c>
      <c r="Q29" s="10">
        <v>273074000</v>
      </c>
      <c r="R29" s="10">
        <v>501000</v>
      </c>
      <c r="S29" s="10">
        <v>376314000</v>
      </c>
      <c r="T29" s="10">
        <v>4695000</v>
      </c>
      <c r="U29" s="10">
        <v>19754000</v>
      </c>
      <c r="V29" s="10">
        <v>423336000</v>
      </c>
      <c r="W29" s="10">
        <v>89187000</v>
      </c>
      <c r="Y29" s="10">
        <v>89187000</v>
      </c>
      <c r="Z29" s="10">
        <v>226043000</v>
      </c>
      <c r="AE29" s="10">
        <v>12652000</v>
      </c>
      <c r="AF29" s="10">
        <v>737742000</v>
      </c>
      <c r="AH29" s="10">
        <v>0</v>
      </c>
      <c r="AJ29" s="10">
        <v>376314000</v>
      </c>
      <c r="AK29" s="10">
        <v>20624000</v>
      </c>
      <c r="AL29" s="10">
        <v>20624000</v>
      </c>
      <c r="AM29" s="10">
        <v>2491000</v>
      </c>
      <c r="AN29" s="10">
        <v>175068000</v>
      </c>
      <c r="AO29" s="10">
        <v>214598000</v>
      </c>
      <c r="AQ29" s="10">
        <v>214598000</v>
      </c>
      <c r="AT29" s="10">
        <v>241309000</v>
      </c>
      <c r="AW29" s="10">
        <v>383823000</v>
      </c>
      <c r="AX29" s="10">
        <v>376314000</v>
      </c>
      <c r="AY29" s="10">
        <v>20624000</v>
      </c>
      <c r="BB29" s="10">
        <v>50092616</v>
      </c>
      <c r="BC29" s="10">
        <v>12480000</v>
      </c>
      <c r="BE29" s="10">
        <v>16777000</v>
      </c>
      <c r="BH29" s="10">
        <v>9796000</v>
      </c>
      <c r="BK29" s="10">
        <v>271421000</v>
      </c>
      <c r="BM29" s="10">
        <v>20997000</v>
      </c>
      <c r="BN29" s="10">
        <v>44835000</v>
      </c>
      <c r="BO29" s="10">
        <v>64589000</v>
      </c>
      <c r="BP29" s="10">
        <v>55490000</v>
      </c>
      <c r="BS29" s="10">
        <v>0</v>
      </c>
      <c r="BT29" s="10">
        <v>12648000</v>
      </c>
      <c r="BV29" s="10">
        <v>196849000</v>
      </c>
      <c r="BW29" s="10">
        <v>50092616</v>
      </c>
      <c r="BX29" s="10">
        <v>376314000</v>
      </c>
      <c r="BY29" s="10">
        <v>376314000</v>
      </c>
      <c r="BZ29" s="10">
        <v>837579000</v>
      </c>
      <c r="CA29" s="10">
        <v>376314000</v>
      </c>
      <c r="CB29" s="10">
        <v>303785000</v>
      </c>
      <c r="CC29" s="10">
        <v>376314000</v>
      </c>
      <c r="CD29" s="10">
        <v>461265000</v>
      </c>
      <c r="CE29" s="10">
        <v>414243000</v>
      </c>
      <c r="CF29" s="10">
        <v>235222000</v>
      </c>
      <c r="CG29" s="10">
        <v>0</v>
      </c>
      <c r="CI29" s="10">
        <v>197293000</v>
      </c>
      <c r="CN29" s="10">
        <v>125134000</v>
      </c>
      <c r="CR29"/>
      <c r="CW29">
        <v>20624000</v>
      </c>
      <c r="DA29"/>
      <c r="DB29" s="41"/>
      <c r="DF29"/>
      <c r="DH29" s="41">
        <v>2023</v>
      </c>
      <c r="DX29" s="10"/>
      <c r="DY29" s="10"/>
      <c r="DZ29" s="10"/>
      <c r="EA29" s="10"/>
      <c r="EB29" s="10"/>
      <c r="EC29" s="10"/>
      <c r="ED29" t="s">
        <v>653</v>
      </c>
    </row>
    <row r="30" spans="1:134" x14ac:dyDescent="0.35">
      <c r="A30" t="s">
        <v>652</v>
      </c>
      <c r="B30" s="22">
        <v>45322</v>
      </c>
      <c r="C30">
        <v>2024</v>
      </c>
      <c r="D30" t="s">
        <v>212</v>
      </c>
      <c r="E30" t="s">
        <v>213</v>
      </c>
      <c r="F30" s="10">
        <v>45958000</v>
      </c>
      <c r="G30" s="10">
        <v>8697000</v>
      </c>
      <c r="H30" s="10">
        <v>-360200000</v>
      </c>
      <c r="I30" s="10">
        <v>192686000</v>
      </c>
      <c r="J30" s="10">
        <v>-4000</v>
      </c>
      <c r="M30" s="10">
        <v>43173000</v>
      </c>
      <c r="N30" s="10">
        <v>315406000</v>
      </c>
      <c r="O30" s="10">
        <v>504000</v>
      </c>
      <c r="P30" s="10">
        <v>268213000</v>
      </c>
      <c r="Q30" s="10">
        <v>290423000</v>
      </c>
      <c r="R30" s="10">
        <v>504000</v>
      </c>
      <c r="S30" s="10">
        <v>413220000</v>
      </c>
      <c r="T30" s="10">
        <v>5979000</v>
      </c>
      <c r="U30" s="10">
        <v>19067000</v>
      </c>
      <c r="V30" s="10">
        <v>444256000</v>
      </c>
      <c r="W30" s="10">
        <v>85265000</v>
      </c>
      <c r="Y30" s="10">
        <v>85265000</v>
      </c>
      <c r="Z30" s="10">
        <v>221456000</v>
      </c>
      <c r="AE30" s="10">
        <v>8701000</v>
      </c>
      <c r="AF30" s="10">
        <v>769850000</v>
      </c>
      <c r="AH30" s="10">
        <v>4672000</v>
      </c>
      <c r="AJ30" s="10">
        <v>413220000</v>
      </c>
      <c r="AK30" s="10">
        <v>24993000</v>
      </c>
      <c r="AL30" s="10">
        <v>24993000</v>
      </c>
      <c r="AM30" s="10">
        <v>2491000</v>
      </c>
      <c r="AN30" s="10">
        <v>186902000</v>
      </c>
      <c r="AO30" s="10">
        <v>230141000</v>
      </c>
      <c r="AQ30" s="10">
        <v>230141000</v>
      </c>
      <c r="AT30" s="10">
        <v>250492000</v>
      </c>
      <c r="AW30" s="10">
        <v>409650000</v>
      </c>
      <c r="AX30" s="10">
        <v>413220000</v>
      </c>
      <c r="AY30" s="10">
        <v>24993000</v>
      </c>
      <c r="BB30" s="10">
        <v>50445186</v>
      </c>
      <c r="BC30" s="10">
        <v>18846000</v>
      </c>
      <c r="BE30" s="10">
        <v>16667000</v>
      </c>
      <c r="BH30" s="10">
        <v>10911000</v>
      </c>
      <c r="BK30" s="10">
        <v>280813000</v>
      </c>
      <c r="BM30" s="10">
        <v>22210000</v>
      </c>
      <c r="BN30" s="10">
        <v>50630000</v>
      </c>
      <c r="BO30" s="10">
        <v>69697000</v>
      </c>
      <c r="BP30" s="10">
        <v>49827000</v>
      </c>
      <c r="BS30" s="10">
        <v>0</v>
      </c>
      <c r="BT30" s="10">
        <v>8697000</v>
      </c>
      <c r="BV30" s="10">
        <v>220030000</v>
      </c>
      <c r="BW30" s="10">
        <v>50445186</v>
      </c>
      <c r="BX30" s="10">
        <v>413220000</v>
      </c>
      <c r="BY30" s="10">
        <v>413220000</v>
      </c>
      <c r="BZ30" s="10">
        <v>889810000</v>
      </c>
      <c r="CA30" s="10">
        <v>413220000</v>
      </c>
      <c r="CB30" s="10">
        <v>315406000</v>
      </c>
      <c r="CC30" s="10">
        <v>413220000</v>
      </c>
      <c r="CD30" s="10">
        <v>476590000</v>
      </c>
      <c r="CE30" s="10">
        <v>445554000</v>
      </c>
      <c r="CF30" s="10">
        <v>255134000</v>
      </c>
      <c r="CG30" s="10">
        <v>4672000</v>
      </c>
      <c r="CI30" s="10">
        <v>222800000</v>
      </c>
      <c r="CN30" s="10">
        <v>126290000</v>
      </c>
      <c r="CR30"/>
      <c r="CW30">
        <v>24993000</v>
      </c>
      <c r="DA30"/>
      <c r="DB30" s="41"/>
      <c r="DF30"/>
      <c r="DH30" s="41">
        <v>2024</v>
      </c>
      <c r="DX30" s="10"/>
      <c r="DY30" s="10"/>
      <c r="DZ30" s="10"/>
      <c r="EA30" s="10"/>
      <c r="EB30" s="10"/>
      <c r="EC30" s="10"/>
      <c r="ED30" t="s">
        <v>653</v>
      </c>
    </row>
    <row r="31" spans="1:134" x14ac:dyDescent="0.35">
      <c r="A31" t="s">
        <v>654</v>
      </c>
      <c r="B31" s="22">
        <v>43830</v>
      </c>
      <c r="C31">
        <v>2019</v>
      </c>
      <c r="D31" t="s">
        <v>212</v>
      </c>
      <c r="E31" t="s">
        <v>213</v>
      </c>
      <c r="M31" s="10">
        <v>18258000</v>
      </c>
      <c r="AM31" s="10">
        <v>5300000</v>
      </c>
      <c r="AU31" s="10">
        <v>-2811000</v>
      </c>
      <c r="AZ31" s="10">
        <v>29735000</v>
      </c>
      <c r="CM31" s="10">
        <v>100000</v>
      </c>
      <c r="CN31" s="10">
        <v>100000</v>
      </c>
      <c r="CR31"/>
      <c r="CW31"/>
      <c r="DA31"/>
      <c r="DB31" s="41"/>
      <c r="DF31"/>
      <c r="DH31" s="41">
        <v>2019</v>
      </c>
      <c r="DX31" s="10"/>
      <c r="DY31" s="10"/>
      <c r="DZ31" s="10"/>
      <c r="EA31" s="10"/>
      <c r="EB31" s="10"/>
      <c r="EC31" s="10"/>
      <c r="ED31" t="s">
        <v>655</v>
      </c>
    </row>
    <row r="32" spans="1:134" x14ac:dyDescent="0.35">
      <c r="A32" t="s">
        <v>654</v>
      </c>
      <c r="B32" s="22">
        <v>44196</v>
      </c>
      <c r="C32">
        <v>2020</v>
      </c>
      <c r="D32" t="s">
        <v>212</v>
      </c>
      <c r="E32" t="s">
        <v>213</v>
      </c>
      <c r="F32" s="10">
        <v>13045000</v>
      </c>
      <c r="G32" s="10">
        <v>115975000</v>
      </c>
      <c r="H32" s="10">
        <v>-47751000</v>
      </c>
      <c r="I32" s="10">
        <v>1268471000</v>
      </c>
      <c r="J32" s="10">
        <v>-7336000</v>
      </c>
      <c r="M32" s="10">
        <v>18309000</v>
      </c>
      <c r="N32" s="10">
        <v>84136000</v>
      </c>
      <c r="O32" s="10">
        <v>110000</v>
      </c>
      <c r="P32" s="10">
        <v>170188000</v>
      </c>
      <c r="Q32" s="10">
        <v>257135000</v>
      </c>
      <c r="R32" s="10">
        <v>110000</v>
      </c>
      <c r="S32" s="10">
        <v>1456877000</v>
      </c>
      <c r="U32" s="10">
        <v>56144000</v>
      </c>
      <c r="V32" s="10">
        <v>546304000</v>
      </c>
      <c r="W32" s="10">
        <v>17893000</v>
      </c>
      <c r="X32" s="10">
        <v>43689000</v>
      </c>
      <c r="Y32" s="10">
        <v>61582000</v>
      </c>
      <c r="Z32" s="10">
        <v>224671000</v>
      </c>
      <c r="AB32" s="10">
        <v>1264000</v>
      </c>
      <c r="AC32" s="10">
        <v>847029000</v>
      </c>
      <c r="AD32" s="10">
        <v>1851408000</v>
      </c>
      <c r="AE32" s="10">
        <v>123311000</v>
      </c>
      <c r="AF32" s="10">
        <v>191184000</v>
      </c>
      <c r="AJ32" s="10">
        <v>2296227000</v>
      </c>
      <c r="AM32" s="10">
        <v>5300000</v>
      </c>
      <c r="AN32" s="10">
        <v>25776000</v>
      </c>
      <c r="AO32" s="10">
        <v>66243000</v>
      </c>
      <c r="AP32" s="10">
        <v>795661000</v>
      </c>
      <c r="AQ32" s="10">
        <v>861904000</v>
      </c>
      <c r="AT32" s="10">
        <v>61573000</v>
      </c>
      <c r="AU32" s="10">
        <v>-5758000</v>
      </c>
      <c r="AV32" s="10">
        <v>669162000</v>
      </c>
      <c r="AW32" s="10">
        <v>143433000</v>
      </c>
      <c r="AX32" s="10">
        <v>-394531000</v>
      </c>
      <c r="AY32" s="10">
        <v>64529000</v>
      </c>
      <c r="AZ32" s="10">
        <v>24754000</v>
      </c>
      <c r="BB32" s="10">
        <v>104775000</v>
      </c>
      <c r="BC32" s="10">
        <v>5897000</v>
      </c>
      <c r="BD32" s="10">
        <v>43689000</v>
      </c>
      <c r="BG32" s="10">
        <v>1004379000</v>
      </c>
      <c r="BH32" s="10">
        <v>23235000</v>
      </c>
      <c r="BI32" s="10">
        <v>4556000</v>
      </c>
      <c r="BK32" s="10">
        <v>80226000</v>
      </c>
      <c r="BL32" s="10">
        <v>132431000</v>
      </c>
      <c r="BM32" s="10">
        <v>86947000</v>
      </c>
      <c r="BN32" s="10">
        <v>13045000</v>
      </c>
      <c r="BO32" s="10">
        <v>69189000</v>
      </c>
      <c r="BP32" s="10">
        <v>60781000</v>
      </c>
      <c r="BR32" s="10">
        <v>25047000</v>
      </c>
      <c r="BS32" s="10">
        <v>0</v>
      </c>
      <c r="BT32" s="10">
        <v>248406000</v>
      </c>
      <c r="BV32" s="10">
        <v>264250000</v>
      </c>
      <c r="BW32" s="10">
        <v>110182000</v>
      </c>
      <c r="BX32" s="10">
        <v>1456877000</v>
      </c>
      <c r="BY32" s="10">
        <v>-394531000</v>
      </c>
      <c r="BZ32" s="10">
        <v>2701176000</v>
      </c>
      <c r="CA32" s="10">
        <v>2252538000</v>
      </c>
      <c r="CB32" s="10">
        <v>923486000</v>
      </c>
      <c r="CC32" s="10">
        <v>1451119000</v>
      </c>
      <c r="CD32" s="10">
        <v>1250057000</v>
      </c>
      <c r="CE32" s="10">
        <v>2154872000</v>
      </c>
      <c r="CF32" s="10">
        <v>1025386000</v>
      </c>
      <c r="CH32" s="10">
        <v>94397000</v>
      </c>
      <c r="CI32" s="10">
        <v>321633000</v>
      </c>
      <c r="CJ32" s="10">
        <v>33119000</v>
      </c>
      <c r="CK32" s="10">
        <v>33119000</v>
      </c>
      <c r="CM32" s="10">
        <v>9819000</v>
      </c>
      <c r="CN32" s="10">
        <v>9819000</v>
      </c>
      <c r="CO32" s="10">
        <v>7042000</v>
      </c>
      <c r="CP32" s="10">
        <v>7042000</v>
      </c>
      <c r="CR32"/>
      <c r="CW32"/>
      <c r="CY32" s="10">
        <v>39775000</v>
      </c>
      <c r="DA32"/>
      <c r="DB32" s="41"/>
      <c r="DF32"/>
      <c r="DH32" s="41">
        <v>2020</v>
      </c>
      <c r="DL32" s="10">
        <v>0</v>
      </c>
      <c r="DM32" s="10">
        <v>5407000</v>
      </c>
      <c r="DN32" s="10">
        <v>77218000</v>
      </c>
      <c r="DQ32" s="10">
        <v>129754000</v>
      </c>
      <c r="DX32" s="10"/>
      <c r="DY32" s="10"/>
      <c r="DZ32" s="10"/>
      <c r="EA32" s="10"/>
      <c r="EB32" s="10"/>
      <c r="EC32" s="10"/>
      <c r="ED32" t="s">
        <v>655</v>
      </c>
    </row>
    <row r="33" spans="1:134" x14ac:dyDescent="0.35">
      <c r="A33" t="s">
        <v>654</v>
      </c>
      <c r="B33" s="22">
        <v>44561</v>
      </c>
      <c r="C33">
        <v>2021</v>
      </c>
      <c r="D33" t="s">
        <v>212</v>
      </c>
      <c r="E33" t="s">
        <v>213</v>
      </c>
      <c r="F33" s="10">
        <v>448000</v>
      </c>
      <c r="G33" s="10">
        <v>64187000</v>
      </c>
      <c r="H33" s="10">
        <v>-17627000</v>
      </c>
      <c r="I33" s="10">
        <v>1340480000</v>
      </c>
      <c r="J33" s="10">
        <v>-934000</v>
      </c>
      <c r="K33" s="10">
        <v>277120000</v>
      </c>
      <c r="M33" s="10">
        <v>18331000</v>
      </c>
      <c r="N33" s="10">
        <v>7383000</v>
      </c>
      <c r="O33" s="10">
        <v>113000</v>
      </c>
      <c r="P33" s="10">
        <v>80428000</v>
      </c>
      <c r="Q33" s="10">
        <v>140962000</v>
      </c>
      <c r="R33" s="10">
        <v>113000</v>
      </c>
      <c r="S33" s="10">
        <v>1349633000</v>
      </c>
      <c r="U33" s="10">
        <v>16988000</v>
      </c>
      <c r="V33" s="10">
        <v>519474000</v>
      </c>
      <c r="W33" s="10">
        <v>1742000</v>
      </c>
      <c r="X33" s="10">
        <v>36095000</v>
      </c>
      <c r="Y33" s="10">
        <v>37837000</v>
      </c>
      <c r="Z33" s="10">
        <v>189747000</v>
      </c>
      <c r="AB33" s="10">
        <v>-752000</v>
      </c>
      <c r="AC33" s="10">
        <v>314576000</v>
      </c>
      <c r="AD33" s="10">
        <v>861558000</v>
      </c>
      <c r="AE33" s="10">
        <v>65121000</v>
      </c>
      <c r="AF33" s="10">
        <v>29203000</v>
      </c>
      <c r="AH33" s="10">
        <v>736000</v>
      </c>
      <c r="AJ33" s="10">
        <v>2115120000</v>
      </c>
      <c r="AM33" s="10">
        <v>5724000</v>
      </c>
      <c r="AN33" s="10">
        <v>5724000</v>
      </c>
      <c r="AO33" s="10">
        <v>5641000</v>
      </c>
      <c r="AP33" s="10">
        <v>729392000</v>
      </c>
      <c r="AQ33" s="10">
        <v>735033000</v>
      </c>
      <c r="AT33" s="10">
        <v>16839000</v>
      </c>
      <c r="AU33" s="10">
        <v>-9205000</v>
      </c>
      <c r="AV33" s="10">
        <v>685059000</v>
      </c>
      <c r="AW33" s="10">
        <v>11576000</v>
      </c>
      <c r="AX33" s="10">
        <v>488075000</v>
      </c>
      <c r="AY33" s="10">
        <v>20520000</v>
      </c>
      <c r="AZ33" s="10">
        <v>7077000</v>
      </c>
      <c r="BB33" s="10">
        <v>103260000</v>
      </c>
      <c r="BC33" s="10">
        <v>1495000</v>
      </c>
      <c r="BD33" s="10">
        <v>36095000</v>
      </c>
      <c r="BE33" s="10">
        <v>119497000</v>
      </c>
      <c r="BG33" s="10">
        <v>546982000</v>
      </c>
      <c r="BH33" s="10">
        <v>957163000</v>
      </c>
      <c r="BI33" s="10">
        <v>7228000</v>
      </c>
      <c r="BK33" s="10">
        <v>6640000</v>
      </c>
      <c r="BL33" s="10">
        <v>26715000</v>
      </c>
      <c r="BM33" s="10">
        <v>60534000</v>
      </c>
      <c r="BN33" s="10">
        <v>1184000</v>
      </c>
      <c r="BO33" s="10">
        <v>18172000</v>
      </c>
      <c r="BP33" s="10">
        <v>7266000</v>
      </c>
      <c r="BR33" s="10">
        <v>8995000</v>
      </c>
      <c r="BS33" s="10">
        <v>0</v>
      </c>
      <c r="BT33" s="10">
        <v>90902000</v>
      </c>
      <c r="BV33" s="10">
        <v>187814000</v>
      </c>
      <c r="BW33" s="10">
        <v>113460000</v>
      </c>
      <c r="BX33" s="10">
        <v>1349633000</v>
      </c>
      <c r="BY33" s="10">
        <v>488075000</v>
      </c>
      <c r="BZ33" s="10">
        <v>2470022000</v>
      </c>
      <c r="CA33" s="10">
        <v>2079025000</v>
      </c>
      <c r="CB33" s="10">
        <v>772870000</v>
      </c>
      <c r="CC33" s="10">
        <v>1340428000</v>
      </c>
      <c r="CD33" s="10">
        <v>1129594000</v>
      </c>
      <c r="CE33" s="10">
        <v>1950548000</v>
      </c>
      <c r="CF33" s="10">
        <v>939847000</v>
      </c>
      <c r="CG33" s="10">
        <v>736000</v>
      </c>
      <c r="CH33" s="10">
        <v>95237000</v>
      </c>
      <c r="CI33" s="10">
        <v>329727000</v>
      </c>
      <c r="CJ33" s="10">
        <v>6975000</v>
      </c>
      <c r="CK33" s="10">
        <v>6975000</v>
      </c>
      <c r="CN33" s="10">
        <v>5101000</v>
      </c>
      <c r="CO33" s="10">
        <v>1910000</v>
      </c>
      <c r="CP33" s="10">
        <v>1910000</v>
      </c>
      <c r="CR33"/>
      <c r="CW33"/>
      <c r="CY33" s="10">
        <v>13443000</v>
      </c>
      <c r="DA33"/>
      <c r="DB33" s="41"/>
      <c r="DF33"/>
      <c r="DH33" s="41">
        <v>2021</v>
      </c>
      <c r="DL33" s="10">
        <v>0</v>
      </c>
      <c r="DM33" s="10">
        <v>10200000</v>
      </c>
      <c r="DN33" s="10">
        <v>178022000</v>
      </c>
      <c r="DQ33" s="10">
        <v>118341000</v>
      </c>
      <c r="DX33" s="10"/>
      <c r="DY33" s="10">
        <v>89057000</v>
      </c>
      <c r="DZ33" s="10"/>
      <c r="EA33" s="10"/>
      <c r="EB33" s="10"/>
      <c r="EC33" s="10"/>
      <c r="ED33" t="s">
        <v>655</v>
      </c>
    </row>
    <row r="34" spans="1:134" x14ac:dyDescent="0.35">
      <c r="A34" t="s">
        <v>654</v>
      </c>
      <c r="B34" s="22">
        <v>44926</v>
      </c>
      <c r="C34">
        <v>2022</v>
      </c>
      <c r="D34" t="s">
        <v>212</v>
      </c>
      <c r="E34" t="s">
        <v>213</v>
      </c>
      <c r="F34" s="10">
        <v>8546000</v>
      </c>
      <c r="G34" s="10">
        <v>58480000</v>
      </c>
      <c r="H34" s="10">
        <v>-14655000</v>
      </c>
      <c r="I34" s="10">
        <v>636266000</v>
      </c>
      <c r="J34" s="10">
        <v>-713000</v>
      </c>
      <c r="K34" s="10">
        <v>0</v>
      </c>
      <c r="N34" s="10">
        <v>6902000</v>
      </c>
      <c r="O34" s="10">
        <v>117000</v>
      </c>
      <c r="P34" s="10">
        <v>114555000</v>
      </c>
      <c r="Q34" s="10">
        <v>114555000</v>
      </c>
      <c r="R34" s="10">
        <v>117000</v>
      </c>
      <c r="S34" s="10">
        <v>301412000</v>
      </c>
      <c r="U34" s="10">
        <v>21833000</v>
      </c>
      <c r="V34" s="10">
        <v>258713000</v>
      </c>
      <c r="W34" s="10">
        <v>2108000</v>
      </c>
      <c r="X34" s="10">
        <v>109813000</v>
      </c>
      <c r="Y34" s="10">
        <v>111921000</v>
      </c>
      <c r="Z34" s="10">
        <v>166712000</v>
      </c>
      <c r="AB34" s="10">
        <v>-51000</v>
      </c>
      <c r="AC34" s="10">
        <v>313660000</v>
      </c>
      <c r="AD34" s="10">
        <v>746136000</v>
      </c>
      <c r="AE34" s="10">
        <v>59193000</v>
      </c>
      <c r="AF34" s="10">
        <v>25198000</v>
      </c>
      <c r="AH34" s="10">
        <v>358000</v>
      </c>
      <c r="AJ34" s="10">
        <v>1030805000</v>
      </c>
      <c r="AM34" s="10">
        <v>5057000</v>
      </c>
      <c r="AN34" s="10">
        <v>5057000</v>
      </c>
      <c r="AO34" s="10">
        <v>4794000</v>
      </c>
      <c r="AP34" s="10">
        <v>619580000</v>
      </c>
      <c r="AQ34" s="10">
        <v>624374000</v>
      </c>
      <c r="AT34" s="10">
        <v>14148000</v>
      </c>
      <c r="AU34" s="10">
        <v>0</v>
      </c>
      <c r="AV34" s="10">
        <v>614838000</v>
      </c>
      <c r="AW34" s="10">
        <v>10543000</v>
      </c>
      <c r="AX34" s="10">
        <v>-444724000</v>
      </c>
      <c r="AY34" s="10">
        <v>10683000</v>
      </c>
      <c r="AZ34" s="10">
        <v>0</v>
      </c>
      <c r="BB34" s="10">
        <v>105167000</v>
      </c>
      <c r="BC34" s="10">
        <v>645000</v>
      </c>
      <c r="BD34" s="10">
        <v>109813000</v>
      </c>
      <c r="BG34" s="10">
        <v>432476000</v>
      </c>
      <c r="BH34" s="10">
        <v>5472000</v>
      </c>
      <c r="BI34" s="10">
        <v>20043000</v>
      </c>
      <c r="BK34" s="10">
        <v>5993000</v>
      </c>
      <c r="BL34" s="10">
        <v>73754000</v>
      </c>
      <c r="BM34" s="10">
        <v>0</v>
      </c>
      <c r="BN34" s="10">
        <v>8904000</v>
      </c>
      <c r="BO34" s="10">
        <v>30737000</v>
      </c>
      <c r="BP34" s="10">
        <v>6978000</v>
      </c>
      <c r="BR34" s="10">
        <v>11279000</v>
      </c>
      <c r="BS34" s="10">
        <v>0</v>
      </c>
      <c r="BT34" s="10">
        <v>132234000</v>
      </c>
      <c r="BV34" s="10">
        <v>-123697000</v>
      </c>
      <c r="BW34" s="10">
        <v>117392000</v>
      </c>
      <c r="BX34" s="10">
        <v>301412000</v>
      </c>
      <c r="BY34" s="10">
        <v>-444724000</v>
      </c>
      <c r="BZ34" s="10">
        <v>1210526000</v>
      </c>
      <c r="CA34" s="10">
        <v>920992000</v>
      </c>
      <c r="CB34" s="10">
        <v>736295000</v>
      </c>
      <c r="CC34" s="10">
        <v>301412000</v>
      </c>
      <c r="CD34" s="10">
        <v>909114000</v>
      </c>
      <c r="CE34" s="10">
        <v>951813000</v>
      </c>
      <c r="CF34" s="10">
        <v>742402000</v>
      </c>
      <c r="CG34" s="10">
        <v>358000</v>
      </c>
      <c r="CH34" s="10">
        <v>87302000</v>
      </c>
      <c r="CI34" s="10">
        <v>92001000</v>
      </c>
      <c r="CJ34" s="10">
        <v>17076000</v>
      </c>
      <c r="CK34" s="10">
        <v>17076000</v>
      </c>
      <c r="CO34" s="10">
        <v>35278000</v>
      </c>
      <c r="CP34" s="10">
        <v>35278000</v>
      </c>
      <c r="CR34"/>
      <c r="CW34"/>
      <c r="CY34" s="10">
        <v>10683000</v>
      </c>
      <c r="DA34"/>
      <c r="DB34" s="41"/>
      <c r="DF34"/>
      <c r="DH34" s="41">
        <v>2022</v>
      </c>
      <c r="DL34" s="10">
        <v>0</v>
      </c>
      <c r="DM34" s="10">
        <v>12225000</v>
      </c>
      <c r="DN34" s="10">
        <v>211223000</v>
      </c>
      <c r="DQ34" s="10">
        <v>154384000</v>
      </c>
      <c r="DX34" s="10"/>
      <c r="DY34" s="10">
        <v>0</v>
      </c>
      <c r="DZ34" s="10"/>
      <c r="EA34" s="10"/>
      <c r="EB34" s="10"/>
      <c r="EC34" s="10"/>
      <c r="ED34" t="s">
        <v>655</v>
      </c>
    </row>
    <row r="35" spans="1:134" x14ac:dyDescent="0.35">
      <c r="A35" t="s">
        <v>654</v>
      </c>
      <c r="B35" s="22">
        <v>45291</v>
      </c>
      <c r="C35">
        <v>2023</v>
      </c>
      <c r="D35" t="s">
        <v>212</v>
      </c>
      <c r="E35" t="s">
        <v>213</v>
      </c>
      <c r="F35" s="10">
        <v>9623000</v>
      </c>
      <c r="G35" s="10">
        <v>39651000</v>
      </c>
      <c r="H35" s="10">
        <v>-15333000</v>
      </c>
      <c r="I35" s="10">
        <v>635331000</v>
      </c>
      <c r="J35" s="10">
        <v>-1463000</v>
      </c>
      <c r="N35" s="10">
        <v>10233000</v>
      </c>
      <c r="O35" s="10">
        <v>121000</v>
      </c>
      <c r="P35" s="10">
        <v>54560000</v>
      </c>
      <c r="Q35" s="10">
        <v>83572000</v>
      </c>
      <c r="R35" s="10">
        <v>121000</v>
      </c>
      <c r="S35" s="10">
        <v>356622000</v>
      </c>
      <c r="U35" s="10">
        <v>9932000</v>
      </c>
      <c r="V35" s="10">
        <v>205842000</v>
      </c>
      <c r="W35" s="10">
        <v>503000</v>
      </c>
      <c r="X35" s="10">
        <v>66145000</v>
      </c>
      <c r="Y35" s="10">
        <v>66648000</v>
      </c>
      <c r="Z35" s="10">
        <v>102038000</v>
      </c>
      <c r="AB35" s="10">
        <v>-8000</v>
      </c>
      <c r="AC35" s="10">
        <v>313660000</v>
      </c>
      <c r="AD35" s="10">
        <v>660832000</v>
      </c>
      <c r="AE35" s="10">
        <v>41114000</v>
      </c>
      <c r="AF35" s="10">
        <v>31788000</v>
      </c>
      <c r="AH35" s="10">
        <v>325000</v>
      </c>
      <c r="AJ35" s="10">
        <v>942317000</v>
      </c>
      <c r="AN35" s="10">
        <v>5037000</v>
      </c>
      <c r="AO35" s="10">
        <v>9730000</v>
      </c>
      <c r="AP35" s="10">
        <v>519550000</v>
      </c>
      <c r="AQ35" s="10">
        <v>529280000</v>
      </c>
      <c r="AT35" s="10">
        <v>17267000</v>
      </c>
      <c r="AV35" s="10">
        <v>531135000</v>
      </c>
      <c r="AW35" s="10">
        <v>16455000</v>
      </c>
      <c r="AX35" s="10">
        <v>-304210000</v>
      </c>
      <c r="AY35" s="10">
        <v>17672000</v>
      </c>
      <c r="BB35" s="10">
        <v>107384000</v>
      </c>
      <c r="BC35" s="10">
        <v>640000</v>
      </c>
      <c r="BD35" s="10">
        <v>66145000</v>
      </c>
      <c r="BG35" s="10">
        <v>347172000</v>
      </c>
      <c r="BH35" s="10">
        <v>4361000</v>
      </c>
      <c r="BI35" s="10">
        <v>18110000</v>
      </c>
      <c r="BK35" s="10">
        <v>9484000</v>
      </c>
      <c r="BL35" s="10">
        <v>74919000</v>
      </c>
      <c r="BM35" s="10">
        <v>29012000</v>
      </c>
      <c r="BN35" s="10">
        <v>9948000</v>
      </c>
      <c r="BO35" s="10">
        <v>19880000</v>
      </c>
      <c r="BP35" s="10">
        <v>8378000</v>
      </c>
      <c r="BR35" s="10">
        <v>7060000</v>
      </c>
      <c r="BS35" s="10">
        <v>0</v>
      </c>
      <c r="BT35" s="10">
        <v>114570000</v>
      </c>
      <c r="BV35" s="10">
        <v>-56325000</v>
      </c>
      <c r="BW35" s="10">
        <v>120730000</v>
      </c>
      <c r="BX35" s="10">
        <v>356622000</v>
      </c>
      <c r="BY35" s="10">
        <v>-304210000</v>
      </c>
      <c r="BZ35" s="10">
        <v>1105556000</v>
      </c>
      <c r="CA35" s="10">
        <v>876172000</v>
      </c>
      <c r="CB35" s="10">
        <v>595928000</v>
      </c>
      <c r="CC35" s="10">
        <v>356622000</v>
      </c>
      <c r="CD35" s="10">
        <v>748934000</v>
      </c>
      <c r="CE35" s="10">
        <v>899714000</v>
      </c>
      <c r="CF35" s="10">
        <v>646896000</v>
      </c>
      <c r="CG35" s="10">
        <v>325000</v>
      </c>
      <c r="CH35" s="10">
        <v>81834000</v>
      </c>
      <c r="CI35" s="10">
        <v>103804000</v>
      </c>
      <c r="CJ35" s="10">
        <v>7132000</v>
      </c>
      <c r="CK35" s="10">
        <v>7132000</v>
      </c>
      <c r="CO35" s="10">
        <v>23885000</v>
      </c>
      <c r="CP35" s="10">
        <v>23885000</v>
      </c>
      <c r="CR35"/>
      <c r="CW35"/>
      <c r="CY35" s="10">
        <v>17672000</v>
      </c>
      <c r="DA35"/>
      <c r="DB35" s="41"/>
      <c r="DF35"/>
      <c r="DH35" s="41">
        <v>2023</v>
      </c>
      <c r="DL35" s="10">
        <v>0</v>
      </c>
      <c r="DM35" s="10">
        <v>13346000</v>
      </c>
      <c r="DN35" s="10">
        <v>222497000</v>
      </c>
      <c r="DQ35" s="10">
        <v>194181000</v>
      </c>
      <c r="DX35" s="10"/>
      <c r="DY35" s="10"/>
      <c r="DZ35" s="10"/>
      <c r="EA35" s="10"/>
      <c r="EB35" s="10"/>
      <c r="EC35" s="10"/>
      <c r="ED35" t="s">
        <v>655</v>
      </c>
    </row>
    <row r="36" spans="1:134" x14ac:dyDescent="0.35">
      <c r="A36" t="s">
        <v>656</v>
      </c>
      <c r="B36" s="22">
        <v>43951</v>
      </c>
      <c r="C36">
        <v>2020</v>
      </c>
      <c r="D36" t="s">
        <v>212</v>
      </c>
      <c r="E36" t="s">
        <v>213</v>
      </c>
      <c r="AY36" s="10">
        <v>0</v>
      </c>
      <c r="BC36" s="10">
        <v>4455000</v>
      </c>
      <c r="CJ36" s="10">
        <v>0</v>
      </c>
      <c r="CK36" s="10">
        <v>0</v>
      </c>
      <c r="CR36"/>
      <c r="CW36"/>
      <c r="CY36" s="10">
        <v>0</v>
      </c>
      <c r="DA36"/>
      <c r="DB36" s="41"/>
      <c r="DF36"/>
      <c r="DH36" s="41">
        <v>2020</v>
      </c>
      <c r="DX36" s="10"/>
      <c r="DY36" s="10"/>
      <c r="DZ36" s="10"/>
      <c r="EA36" s="10"/>
      <c r="EB36" s="10"/>
      <c r="EC36" s="10"/>
      <c r="ED36" t="s">
        <v>657</v>
      </c>
    </row>
    <row r="37" spans="1:134" x14ac:dyDescent="0.35">
      <c r="A37" t="s">
        <v>656</v>
      </c>
      <c r="B37" s="22">
        <v>44316</v>
      </c>
      <c r="C37">
        <v>2021</v>
      </c>
      <c r="D37" t="s">
        <v>212</v>
      </c>
      <c r="E37" t="s">
        <v>213</v>
      </c>
      <c r="F37" s="10">
        <v>1981000</v>
      </c>
      <c r="H37" s="10">
        <v>-2089000</v>
      </c>
      <c r="I37" s="10">
        <v>426437000</v>
      </c>
      <c r="N37" s="10">
        <v>5909000</v>
      </c>
      <c r="O37" s="10">
        <v>24000</v>
      </c>
      <c r="P37" s="10">
        <v>50592000</v>
      </c>
      <c r="Q37" s="10">
        <v>248929000</v>
      </c>
      <c r="R37" s="10">
        <v>24000</v>
      </c>
      <c r="S37" s="10">
        <v>257193000</v>
      </c>
      <c r="U37" s="10">
        <v>3423000</v>
      </c>
      <c r="V37" s="10">
        <v>264264000</v>
      </c>
      <c r="W37" s="10">
        <v>863000</v>
      </c>
      <c r="Y37" s="10">
        <v>863000</v>
      </c>
      <c r="Z37" s="10">
        <v>9774000</v>
      </c>
      <c r="AB37" s="10">
        <v>-1432000</v>
      </c>
      <c r="AF37" s="10">
        <v>9638000</v>
      </c>
      <c r="AJ37" s="10">
        <v>257193000</v>
      </c>
      <c r="AN37" s="10">
        <v>1872000</v>
      </c>
      <c r="AO37" s="10">
        <v>5046000</v>
      </c>
      <c r="AQ37" s="10">
        <v>5046000</v>
      </c>
      <c r="AT37" s="10">
        <v>260000</v>
      </c>
      <c r="AW37" s="10">
        <v>7549000</v>
      </c>
      <c r="AX37" s="10">
        <v>257193000</v>
      </c>
      <c r="BB37" s="10">
        <v>24422531</v>
      </c>
      <c r="BC37" s="10">
        <v>4917000</v>
      </c>
      <c r="BH37" s="10">
        <v>200000</v>
      </c>
      <c r="BK37" s="10">
        <v>7506000</v>
      </c>
      <c r="BM37" s="10">
        <v>198337000</v>
      </c>
      <c r="BN37" s="10">
        <v>1981000</v>
      </c>
      <c r="BO37" s="10">
        <v>5404000</v>
      </c>
      <c r="BP37" s="10">
        <v>3507000</v>
      </c>
      <c r="BR37" s="10">
        <v>3616000</v>
      </c>
      <c r="BS37" s="10">
        <v>0</v>
      </c>
      <c r="BT37" s="10">
        <v>11719000</v>
      </c>
      <c r="BV37" s="10">
        <v>-167836000</v>
      </c>
      <c r="BW37" s="10">
        <v>24422531</v>
      </c>
      <c r="BX37" s="10">
        <v>257193000</v>
      </c>
      <c r="BY37" s="10">
        <v>257193000</v>
      </c>
      <c r="BZ37" s="10">
        <v>272013000</v>
      </c>
      <c r="CA37" s="10">
        <v>257193000</v>
      </c>
      <c r="CB37" s="10">
        <v>5909000</v>
      </c>
      <c r="CC37" s="10">
        <v>257193000</v>
      </c>
      <c r="CD37" s="10">
        <v>14820000</v>
      </c>
      <c r="CE37" s="10">
        <v>7749000</v>
      </c>
      <c r="CF37" s="10">
        <v>5046000</v>
      </c>
      <c r="CI37" s="10">
        <v>254490000</v>
      </c>
      <c r="CR37"/>
      <c r="CW37"/>
      <c r="DA37">
        <v>940000</v>
      </c>
      <c r="DB37" s="41"/>
      <c r="DF37"/>
      <c r="DH37" s="41">
        <v>2021</v>
      </c>
      <c r="DT37" s="10">
        <v>10779000</v>
      </c>
      <c r="DX37" s="10"/>
      <c r="DY37" s="10"/>
      <c r="DZ37" s="10"/>
      <c r="EA37" s="10"/>
      <c r="EB37" s="10"/>
      <c r="EC37" s="10"/>
      <c r="ED37" t="s">
        <v>657</v>
      </c>
    </row>
    <row r="38" spans="1:134" x14ac:dyDescent="0.35">
      <c r="A38" t="s">
        <v>656</v>
      </c>
      <c r="B38" s="22">
        <v>44681</v>
      </c>
      <c r="C38">
        <v>2022</v>
      </c>
      <c r="D38" t="s">
        <v>212</v>
      </c>
      <c r="E38" t="s">
        <v>213</v>
      </c>
      <c r="F38" s="10">
        <v>3638000</v>
      </c>
      <c r="H38" s="10">
        <v>-2419000</v>
      </c>
      <c r="I38" s="10">
        <v>439104000</v>
      </c>
      <c r="N38" s="10">
        <v>8188000</v>
      </c>
      <c r="O38" s="10">
        <v>25000</v>
      </c>
      <c r="P38" s="10">
        <v>30732000</v>
      </c>
      <c r="Q38" s="10">
        <v>166202000</v>
      </c>
      <c r="R38" s="10">
        <v>25000</v>
      </c>
      <c r="S38" s="10">
        <v>185093000</v>
      </c>
      <c r="U38" s="10">
        <v>2793000</v>
      </c>
      <c r="V38" s="10">
        <v>193647000</v>
      </c>
      <c r="W38" s="10">
        <v>977000</v>
      </c>
      <c r="Y38" s="10">
        <v>977000</v>
      </c>
      <c r="Z38" s="10">
        <v>11576000</v>
      </c>
      <c r="AB38" s="10">
        <v>-3861000</v>
      </c>
      <c r="AF38" s="10">
        <v>12459000</v>
      </c>
      <c r="AJ38" s="10">
        <v>185093000</v>
      </c>
      <c r="AN38" s="10">
        <v>1997000</v>
      </c>
      <c r="AO38" s="10">
        <v>7211000</v>
      </c>
      <c r="AQ38" s="10">
        <v>7211000</v>
      </c>
      <c r="AT38" s="10">
        <v>447000</v>
      </c>
      <c r="AW38" s="10">
        <v>10040000</v>
      </c>
      <c r="AX38" s="10">
        <v>185093000</v>
      </c>
      <c r="BB38" s="10">
        <v>24550748</v>
      </c>
      <c r="BH38" s="10">
        <v>193000</v>
      </c>
      <c r="BK38" s="10">
        <v>10015000</v>
      </c>
      <c r="BM38" s="10">
        <v>135470000</v>
      </c>
      <c r="BN38" s="10">
        <v>3638000</v>
      </c>
      <c r="BO38" s="10">
        <v>6431000</v>
      </c>
      <c r="BP38" s="10">
        <v>4168000</v>
      </c>
      <c r="BR38" s="10">
        <v>10638000</v>
      </c>
      <c r="BS38" s="10">
        <v>0</v>
      </c>
      <c r="BT38" s="10">
        <v>16807000</v>
      </c>
      <c r="BV38" s="10">
        <v>-250175000</v>
      </c>
      <c r="BW38" s="10">
        <v>24550748</v>
      </c>
      <c r="BX38" s="10">
        <v>185093000</v>
      </c>
      <c r="BY38" s="10">
        <v>185093000</v>
      </c>
      <c r="BZ38" s="10">
        <v>203880000</v>
      </c>
      <c r="CA38" s="10">
        <v>185093000</v>
      </c>
      <c r="CB38" s="10">
        <v>8188000</v>
      </c>
      <c r="CC38" s="10">
        <v>185093000</v>
      </c>
      <c r="CD38" s="10">
        <v>18787000</v>
      </c>
      <c r="CE38" s="10">
        <v>10233000</v>
      </c>
      <c r="CF38" s="10">
        <v>7211000</v>
      </c>
      <c r="CI38" s="10">
        <v>182071000</v>
      </c>
      <c r="CR38"/>
      <c r="CW38"/>
      <c r="DA38">
        <v>888000</v>
      </c>
      <c r="DB38" s="41"/>
      <c r="DF38"/>
      <c r="DH38" s="41">
        <v>2022</v>
      </c>
      <c r="DT38" s="10">
        <v>15919000</v>
      </c>
      <c r="DX38" s="10"/>
      <c r="DY38" s="10"/>
      <c r="DZ38" s="10"/>
      <c r="EA38" s="10"/>
      <c r="EB38" s="10"/>
      <c r="EC38" s="10"/>
      <c r="ED38" t="s">
        <v>657</v>
      </c>
    </row>
    <row r="39" spans="1:134" x14ac:dyDescent="0.35">
      <c r="A39" t="s">
        <v>656</v>
      </c>
      <c r="B39" s="22">
        <v>45046</v>
      </c>
      <c r="C39">
        <v>2023</v>
      </c>
      <c r="D39" t="s">
        <v>212</v>
      </c>
      <c r="E39" t="s">
        <v>213</v>
      </c>
      <c r="F39" s="10">
        <v>4817000</v>
      </c>
      <c r="H39" s="10">
        <v>-2958000</v>
      </c>
      <c r="I39" s="10">
        <v>507133000</v>
      </c>
      <c r="N39" s="10">
        <v>8232000</v>
      </c>
      <c r="O39" s="10">
        <v>34000</v>
      </c>
      <c r="P39" s="10">
        <v>56238000</v>
      </c>
      <c r="Q39" s="10">
        <v>149375000</v>
      </c>
      <c r="R39" s="10">
        <v>34000</v>
      </c>
      <c r="S39" s="10">
        <v>161025000</v>
      </c>
      <c r="U39" s="10">
        <v>4921000</v>
      </c>
      <c r="V39" s="10">
        <v>172326000</v>
      </c>
      <c r="W39" s="10">
        <v>1087000</v>
      </c>
      <c r="Y39" s="10">
        <v>1087000</v>
      </c>
      <c r="Z39" s="10">
        <v>15032000</v>
      </c>
      <c r="AB39" s="10">
        <v>-3060000</v>
      </c>
      <c r="AF39" s="10">
        <v>13728000</v>
      </c>
      <c r="AJ39" s="10">
        <v>161025000</v>
      </c>
      <c r="AN39" s="10">
        <v>2855000</v>
      </c>
      <c r="AO39" s="10">
        <v>7145000</v>
      </c>
      <c r="AQ39" s="10">
        <v>7145000</v>
      </c>
      <c r="AT39" s="10">
        <v>647000</v>
      </c>
      <c r="AW39" s="10">
        <v>10770000</v>
      </c>
      <c r="AX39" s="10">
        <v>161025000</v>
      </c>
      <c r="BB39" s="10">
        <v>34171138</v>
      </c>
      <c r="BF39" s="10">
        <v>-3060000</v>
      </c>
      <c r="BH39" s="10">
        <v>106000</v>
      </c>
      <c r="BK39" s="10">
        <v>10226000</v>
      </c>
      <c r="BM39" s="10">
        <v>93137000</v>
      </c>
      <c r="BN39" s="10">
        <v>4817000</v>
      </c>
      <c r="BO39" s="10">
        <v>9738000</v>
      </c>
      <c r="BP39" s="10">
        <v>4207000</v>
      </c>
      <c r="BR39" s="10">
        <v>4307000</v>
      </c>
      <c r="BS39" s="10">
        <v>0</v>
      </c>
      <c r="BT39" s="10">
        <v>18644000</v>
      </c>
      <c r="BV39" s="10">
        <v>-343082000</v>
      </c>
      <c r="BW39" s="10">
        <v>34171138</v>
      </c>
      <c r="BX39" s="10">
        <v>161025000</v>
      </c>
      <c r="BY39" s="10">
        <v>161025000</v>
      </c>
      <c r="BZ39" s="10">
        <v>183202000</v>
      </c>
      <c r="CA39" s="10">
        <v>161025000</v>
      </c>
      <c r="CB39" s="10">
        <v>8232000</v>
      </c>
      <c r="CC39" s="10">
        <v>161025000</v>
      </c>
      <c r="CD39" s="10">
        <v>22177000</v>
      </c>
      <c r="CE39" s="10">
        <v>10876000</v>
      </c>
      <c r="CF39" s="10">
        <v>7145000</v>
      </c>
      <c r="CI39" s="10">
        <v>157294000</v>
      </c>
      <c r="CR39"/>
      <c r="CW39"/>
      <c r="DA39">
        <v>654000</v>
      </c>
      <c r="DB39" s="41"/>
      <c r="DF39"/>
      <c r="DH39" s="41">
        <v>2023</v>
      </c>
      <c r="DT39" s="10">
        <v>17990000</v>
      </c>
      <c r="DX39" s="10"/>
      <c r="DY39" s="10"/>
      <c r="DZ39" s="10"/>
      <c r="EA39" s="10"/>
      <c r="EB39" s="10"/>
      <c r="EC39" s="10"/>
      <c r="ED39" t="s">
        <v>657</v>
      </c>
    </row>
    <row r="40" spans="1:134" x14ac:dyDescent="0.35">
      <c r="A40" t="s">
        <v>656</v>
      </c>
      <c r="B40" s="22">
        <v>45412</v>
      </c>
      <c r="C40">
        <v>2024</v>
      </c>
      <c r="D40" t="s">
        <v>212</v>
      </c>
      <c r="E40" t="s">
        <v>213</v>
      </c>
      <c r="F40" s="10">
        <v>9107000</v>
      </c>
      <c r="H40" s="10">
        <v>-3712000</v>
      </c>
      <c r="I40" s="10">
        <v>679754000</v>
      </c>
      <c r="N40" s="10">
        <v>7317000</v>
      </c>
      <c r="O40" s="10">
        <v>42000</v>
      </c>
      <c r="P40" s="10">
        <v>31789000</v>
      </c>
      <c r="Q40" s="10">
        <v>210401000</v>
      </c>
      <c r="R40" s="10">
        <v>42000</v>
      </c>
      <c r="S40" s="10">
        <v>206582000</v>
      </c>
      <c r="U40" s="10">
        <v>5711000</v>
      </c>
      <c r="V40" s="10">
        <v>225690000</v>
      </c>
      <c r="W40" s="10">
        <v>1302000</v>
      </c>
      <c r="Y40" s="10">
        <v>1302000</v>
      </c>
      <c r="Z40" s="10">
        <v>22807000</v>
      </c>
      <c r="AB40" s="10">
        <v>-3488000</v>
      </c>
      <c r="AF40" s="10">
        <v>12859000</v>
      </c>
      <c r="AJ40" s="10">
        <v>206582000</v>
      </c>
      <c r="AN40" s="10">
        <v>2859000</v>
      </c>
      <c r="AO40" s="10">
        <v>6015000</v>
      </c>
      <c r="AQ40" s="10">
        <v>6015000</v>
      </c>
      <c r="AT40" s="10">
        <v>671000</v>
      </c>
      <c r="AW40" s="10">
        <v>9147000</v>
      </c>
      <c r="AX40" s="10">
        <v>206582000</v>
      </c>
      <c r="BB40" s="10">
        <v>42521975</v>
      </c>
      <c r="BF40" s="10">
        <v>-3488000</v>
      </c>
      <c r="BH40" s="10">
        <v>567000</v>
      </c>
      <c r="BK40" s="10">
        <v>9329000</v>
      </c>
      <c r="BM40" s="10">
        <v>178612000</v>
      </c>
      <c r="BN40" s="10">
        <v>9107000</v>
      </c>
      <c r="BO40" s="10">
        <v>14818000</v>
      </c>
      <c r="BP40" s="10">
        <v>6687000</v>
      </c>
      <c r="BR40" s="10">
        <v>4418000</v>
      </c>
      <c r="BS40" s="10">
        <v>0</v>
      </c>
      <c r="BT40" s="10">
        <v>10871000</v>
      </c>
      <c r="BV40" s="10">
        <v>-469726000</v>
      </c>
      <c r="BW40" s="10">
        <v>42521975</v>
      </c>
      <c r="BX40" s="10">
        <v>206582000</v>
      </c>
      <c r="BY40" s="10">
        <v>206582000</v>
      </c>
      <c r="BZ40" s="10">
        <v>235404000</v>
      </c>
      <c r="CA40" s="10">
        <v>206582000</v>
      </c>
      <c r="CB40" s="10">
        <v>7317000</v>
      </c>
      <c r="CC40" s="10">
        <v>206582000</v>
      </c>
      <c r="CD40" s="10">
        <v>28822000</v>
      </c>
      <c r="CE40" s="10">
        <v>9714000</v>
      </c>
      <c r="CF40" s="10">
        <v>6015000</v>
      </c>
      <c r="CI40" s="10">
        <v>202883000</v>
      </c>
      <c r="CR40"/>
      <c r="CW40"/>
      <c r="DA40">
        <v>1409000</v>
      </c>
      <c r="DB40" s="41"/>
      <c r="DF40"/>
      <c r="DH40" s="41">
        <v>2024</v>
      </c>
      <c r="DM40" s="10">
        <v>0</v>
      </c>
      <c r="DT40" s="10">
        <v>9462000</v>
      </c>
      <c r="DX40" s="10"/>
      <c r="DY40" s="10"/>
      <c r="DZ40" s="10"/>
      <c r="EA40" s="10"/>
      <c r="EB40" s="10"/>
      <c r="EC40" s="10"/>
      <c r="ED40" t="s">
        <v>657</v>
      </c>
    </row>
    <row r="41" spans="1:134" x14ac:dyDescent="0.35">
      <c r="A41" t="s">
        <v>658</v>
      </c>
      <c r="B41" s="22">
        <v>43830</v>
      </c>
      <c r="C41">
        <v>2019</v>
      </c>
      <c r="D41" t="s">
        <v>212</v>
      </c>
      <c r="E41" t="s">
        <v>213</v>
      </c>
      <c r="AE41" s="10">
        <v>5574000</v>
      </c>
      <c r="CR41"/>
      <c r="CW41"/>
      <c r="DA41"/>
      <c r="DB41" s="41">
        <v>209000</v>
      </c>
      <c r="DF41"/>
      <c r="DH41" s="41">
        <v>2019</v>
      </c>
      <c r="DX41" s="10"/>
      <c r="DY41" s="10"/>
      <c r="DZ41" s="10"/>
      <c r="EA41" s="10"/>
      <c r="EB41" s="10"/>
      <c r="EC41" s="10"/>
      <c r="ED41" t="s">
        <v>659</v>
      </c>
    </row>
    <row r="42" spans="1:134" x14ac:dyDescent="0.35">
      <c r="A42" t="s">
        <v>658</v>
      </c>
      <c r="B42" s="22">
        <v>44196</v>
      </c>
      <c r="C42">
        <v>2020</v>
      </c>
      <c r="D42" t="s">
        <v>212</v>
      </c>
      <c r="E42" t="s">
        <v>213</v>
      </c>
      <c r="F42" s="10">
        <v>6341000</v>
      </c>
      <c r="G42" s="10">
        <v>6707000</v>
      </c>
      <c r="H42" s="10">
        <v>-148334000</v>
      </c>
      <c r="I42" s="10">
        <v>103463000</v>
      </c>
      <c r="N42" s="10">
        <v>432000</v>
      </c>
      <c r="O42" s="10">
        <v>9357000</v>
      </c>
      <c r="P42" s="10">
        <v>28000</v>
      </c>
      <c r="Q42" s="10">
        <v>28000</v>
      </c>
      <c r="R42" s="10">
        <v>9357000</v>
      </c>
      <c r="S42" s="10">
        <v>169426000</v>
      </c>
      <c r="T42" s="10">
        <v>21474000</v>
      </c>
      <c r="U42" s="10">
        <v>4344000</v>
      </c>
      <c r="V42" s="10">
        <v>17619000</v>
      </c>
      <c r="X42" s="10">
        <v>28675000</v>
      </c>
      <c r="Y42" s="10">
        <v>28675000</v>
      </c>
      <c r="Z42" s="10">
        <v>43724000</v>
      </c>
      <c r="AE42" s="10">
        <v>6707000</v>
      </c>
      <c r="AF42" s="10">
        <v>712151000</v>
      </c>
      <c r="AH42" s="10">
        <v>237000</v>
      </c>
      <c r="AI42" s="10">
        <v>930000</v>
      </c>
      <c r="AJ42" s="10">
        <v>340434000</v>
      </c>
      <c r="AO42" s="10">
        <v>432000</v>
      </c>
      <c r="AP42" s="10">
        <v>142333000</v>
      </c>
      <c r="AQ42" s="10">
        <v>142765000</v>
      </c>
      <c r="AV42" s="10">
        <v>170980000</v>
      </c>
      <c r="AW42" s="10">
        <v>563817000</v>
      </c>
      <c r="AX42" s="10">
        <v>169426000</v>
      </c>
      <c r="AY42" s="10">
        <v>55364000</v>
      </c>
      <c r="AZ42" s="10">
        <v>50786000</v>
      </c>
      <c r="BB42" s="10">
        <v>9357000</v>
      </c>
      <c r="BC42" s="10">
        <v>2208000</v>
      </c>
      <c r="BD42" s="10">
        <v>1757000</v>
      </c>
      <c r="BE42" s="10">
        <v>2067000</v>
      </c>
      <c r="BI42" s="10">
        <v>160258000</v>
      </c>
      <c r="BJ42" s="10">
        <v>105000</v>
      </c>
      <c r="BK42" s="10">
        <v>10832000</v>
      </c>
      <c r="BL42" s="10">
        <v>2600000</v>
      </c>
      <c r="BN42" s="10">
        <v>6578000</v>
      </c>
      <c r="BO42" s="10">
        <v>10922000</v>
      </c>
      <c r="BR42" s="10">
        <v>1891000</v>
      </c>
      <c r="BT42" s="10">
        <v>11957000</v>
      </c>
      <c r="BV42" s="10">
        <v>56606000</v>
      </c>
      <c r="BW42" s="10">
        <v>9386429</v>
      </c>
      <c r="BX42" s="10">
        <v>169426000</v>
      </c>
      <c r="BY42" s="10">
        <v>169426000</v>
      </c>
      <c r="BZ42" s="10">
        <v>593218000</v>
      </c>
      <c r="CA42" s="10">
        <v>311759000</v>
      </c>
      <c r="CB42" s="10">
        <v>171440000</v>
      </c>
      <c r="CC42" s="10">
        <v>169426000</v>
      </c>
      <c r="CD42" s="10">
        <v>423792000</v>
      </c>
      <c r="CE42" s="10">
        <v>575599000</v>
      </c>
      <c r="CF42" s="10">
        <v>380068000</v>
      </c>
      <c r="CG42" s="10">
        <v>237000</v>
      </c>
      <c r="CI42" s="10">
        <v>-26105000</v>
      </c>
      <c r="CJ42" s="10">
        <v>2060000</v>
      </c>
      <c r="CK42" s="10">
        <v>2060000</v>
      </c>
      <c r="CN42" s="10">
        <v>1535000</v>
      </c>
      <c r="CO42" s="10">
        <v>5309000</v>
      </c>
      <c r="CR42"/>
      <c r="CW42"/>
      <c r="DA42"/>
      <c r="DB42" s="41">
        <v>1717000</v>
      </c>
      <c r="DF42">
        <v>-862000</v>
      </c>
      <c r="DH42" s="41">
        <v>2020</v>
      </c>
      <c r="DI42" s="10">
        <v>26918000</v>
      </c>
      <c r="DL42" s="10">
        <v>0</v>
      </c>
      <c r="DM42" s="10">
        <v>29429</v>
      </c>
      <c r="DT42" s="10">
        <v>629000</v>
      </c>
      <c r="DX42" s="10"/>
      <c r="DY42" s="10"/>
      <c r="DZ42" s="10"/>
      <c r="EA42" s="10"/>
      <c r="EB42" s="10"/>
      <c r="EC42" s="10"/>
      <c r="ED42" t="s">
        <v>659</v>
      </c>
    </row>
    <row r="43" spans="1:134" x14ac:dyDescent="0.35">
      <c r="A43" t="s">
        <v>658</v>
      </c>
      <c r="B43" s="22">
        <v>44561</v>
      </c>
      <c r="C43">
        <v>2021</v>
      </c>
      <c r="D43" t="s">
        <v>212</v>
      </c>
      <c r="E43" t="s">
        <v>213</v>
      </c>
      <c r="F43" s="10">
        <v>10206000</v>
      </c>
      <c r="G43" s="10">
        <v>7312000</v>
      </c>
      <c r="H43" s="10">
        <v>-160304000</v>
      </c>
      <c r="I43" s="10">
        <v>104989000</v>
      </c>
      <c r="N43" s="10">
        <v>440000</v>
      </c>
      <c r="O43" s="10">
        <v>9414000</v>
      </c>
      <c r="P43" s="10">
        <v>92000</v>
      </c>
      <c r="Q43" s="10">
        <v>92000</v>
      </c>
      <c r="R43" s="10">
        <v>9414000</v>
      </c>
      <c r="S43" s="10">
        <v>178010000</v>
      </c>
      <c r="T43" s="10">
        <v>18481000</v>
      </c>
      <c r="U43" s="10">
        <v>4955000</v>
      </c>
      <c r="V43" s="10">
        <v>18664000</v>
      </c>
      <c r="X43" s="10">
        <v>28324000</v>
      </c>
      <c r="Y43" s="10">
        <v>28324000</v>
      </c>
      <c r="Z43" s="10">
        <v>47206000</v>
      </c>
      <c r="AC43" s="10">
        <v>0</v>
      </c>
      <c r="AD43" s="10">
        <v>0</v>
      </c>
      <c r="AF43" s="10">
        <v>754937000</v>
      </c>
      <c r="AH43" s="10">
        <v>0</v>
      </c>
      <c r="AI43" s="10">
        <v>917000</v>
      </c>
      <c r="AJ43" s="10">
        <v>349593000</v>
      </c>
      <c r="AO43" s="10">
        <v>440000</v>
      </c>
      <c r="AP43" s="10">
        <v>143259000</v>
      </c>
      <c r="AQ43" s="10">
        <v>143699000</v>
      </c>
      <c r="AV43" s="10">
        <v>171491000</v>
      </c>
      <c r="AW43" s="10">
        <v>594633000</v>
      </c>
      <c r="AX43" s="10">
        <v>178010000</v>
      </c>
      <c r="AY43" s="10">
        <v>57884000</v>
      </c>
      <c r="AZ43" s="10">
        <v>53589000</v>
      </c>
      <c r="BB43" s="10">
        <v>9414247</v>
      </c>
      <c r="BC43" s="10">
        <v>2652000</v>
      </c>
      <c r="BD43" s="10">
        <v>1591000</v>
      </c>
      <c r="BE43" s="10">
        <v>1448000</v>
      </c>
      <c r="BI43" s="10">
        <v>176656000</v>
      </c>
      <c r="BJ43" s="10">
        <v>30000</v>
      </c>
      <c r="BK43" s="10">
        <v>10657000</v>
      </c>
      <c r="BL43" s="10">
        <v>1484000</v>
      </c>
      <c r="BN43" s="10">
        <v>10206000</v>
      </c>
      <c r="BO43" s="10">
        <v>15161000</v>
      </c>
      <c r="BR43" s="10">
        <v>2306000</v>
      </c>
      <c r="BT43" s="10">
        <v>11681000</v>
      </c>
      <c r="BV43" s="10">
        <v>63607000</v>
      </c>
      <c r="BW43" s="10">
        <v>9414247</v>
      </c>
      <c r="BX43" s="10">
        <v>178010000</v>
      </c>
      <c r="BY43" s="10">
        <v>178010000</v>
      </c>
      <c r="BZ43" s="10">
        <v>624715000</v>
      </c>
      <c r="CA43" s="10">
        <v>321269000</v>
      </c>
      <c r="CB43" s="10">
        <v>172023000</v>
      </c>
      <c r="CC43" s="10">
        <v>178010000</v>
      </c>
      <c r="CD43" s="10">
        <v>446705000</v>
      </c>
      <c r="CE43" s="10">
        <v>606051000</v>
      </c>
      <c r="CF43" s="10">
        <v>399499000</v>
      </c>
      <c r="CG43" s="10">
        <v>0</v>
      </c>
      <c r="CI43" s="10">
        <v>-28542000</v>
      </c>
      <c r="CJ43" s="10">
        <v>2273000</v>
      </c>
      <c r="CK43" s="10">
        <v>2273000</v>
      </c>
      <c r="CN43" s="10">
        <v>1933000</v>
      </c>
      <c r="CO43" s="10">
        <v>5097000</v>
      </c>
      <c r="CR43"/>
      <c r="CW43"/>
      <c r="DA43"/>
      <c r="DB43" s="41">
        <v>1326000</v>
      </c>
      <c r="DF43">
        <v>-429000</v>
      </c>
      <c r="DH43" s="41">
        <v>2021</v>
      </c>
      <c r="DI43" s="10">
        <v>26733000</v>
      </c>
      <c r="DL43" s="10">
        <v>0</v>
      </c>
      <c r="DT43" s="10">
        <v>2234000</v>
      </c>
      <c r="DX43" s="10"/>
      <c r="DY43" s="10"/>
      <c r="DZ43" s="10"/>
      <c r="EA43" s="10"/>
      <c r="EB43" s="10"/>
      <c r="EC43" s="10"/>
      <c r="ED43" t="s">
        <v>659</v>
      </c>
    </row>
    <row r="44" spans="1:134" x14ac:dyDescent="0.35">
      <c r="A44" t="s">
        <v>658</v>
      </c>
      <c r="B44" s="22">
        <v>44926</v>
      </c>
      <c r="C44">
        <v>2022</v>
      </c>
      <c r="D44" t="s">
        <v>212</v>
      </c>
      <c r="E44" t="s">
        <v>213</v>
      </c>
      <c r="F44" s="10">
        <v>10929000</v>
      </c>
      <c r="G44" s="10">
        <v>6463000</v>
      </c>
      <c r="H44" s="10">
        <v>-173944000</v>
      </c>
      <c r="I44" s="10">
        <v>107142000</v>
      </c>
      <c r="N44" s="10">
        <v>466000</v>
      </c>
      <c r="O44" s="10">
        <v>9502000</v>
      </c>
      <c r="P44" s="10">
        <v>1309000</v>
      </c>
      <c r="Q44" s="10">
        <v>1309000</v>
      </c>
      <c r="R44" s="10">
        <v>9502000</v>
      </c>
      <c r="S44" s="10">
        <v>187930000</v>
      </c>
      <c r="T44" s="10">
        <v>34213000</v>
      </c>
      <c r="U44" s="10">
        <v>5235000</v>
      </c>
      <c r="V44" s="10">
        <v>27804000</v>
      </c>
      <c r="X44" s="10">
        <v>22220000</v>
      </c>
      <c r="Y44" s="10">
        <v>22220000</v>
      </c>
      <c r="Z44" s="10">
        <v>44070000</v>
      </c>
      <c r="AC44" s="10">
        <v>1939000</v>
      </c>
      <c r="AD44" s="10">
        <v>1939000</v>
      </c>
      <c r="AF44" s="10">
        <v>846182000</v>
      </c>
      <c r="AH44" s="10">
        <v>6000</v>
      </c>
      <c r="AI44" s="10">
        <v>989000</v>
      </c>
      <c r="AJ44" s="10">
        <v>385769000</v>
      </c>
      <c r="AO44" s="10">
        <v>466000</v>
      </c>
      <c r="AP44" s="10">
        <v>175619000</v>
      </c>
      <c r="AQ44" s="10">
        <v>176085000</v>
      </c>
      <c r="AV44" s="10">
        <v>196530000</v>
      </c>
      <c r="AW44" s="10">
        <v>672238000</v>
      </c>
      <c r="AX44" s="10">
        <v>185991000</v>
      </c>
      <c r="AY44" s="10">
        <v>58677000</v>
      </c>
      <c r="AZ44" s="10">
        <v>54991000</v>
      </c>
      <c r="BB44" s="10">
        <v>9502867</v>
      </c>
      <c r="BC44" s="10">
        <v>2878000</v>
      </c>
      <c r="BD44" s="10">
        <v>2003000</v>
      </c>
      <c r="BE44" s="10">
        <v>3191000</v>
      </c>
      <c r="BI44" s="10">
        <v>224308000</v>
      </c>
      <c r="BJ44" s="10">
        <v>43000</v>
      </c>
      <c r="BK44" s="10">
        <v>9686000</v>
      </c>
      <c r="BL44" s="10">
        <v>7464000</v>
      </c>
      <c r="BN44" s="10">
        <v>10935000</v>
      </c>
      <c r="BO44" s="10">
        <v>16170000</v>
      </c>
      <c r="BR44" s="10">
        <v>2186000</v>
      </c>
      <c r="BT44" s="10">
        <v>16729000</v>
      </c>
      <c r="BV44" s="10">
        <v>71286000</v>
      </c>
      <c r="BW44" s="10">
        <v>9502867</v>
      </c>
      <c r="BX44" s="10">
        <v>187930000</v>
      </c>
      <c r="BY44" s="10">
        <v>185991000</v>
      </c>
      <c r="BZ44" s="10">
        <v>719791000</v>
      </c>
      <c r="CA44" s="10">
        <v>363549000</v>
      </c>
      <c r="CB44" s="10">
        <v>198305000</v>
      </c>
      <c r="CC44" s="10">
        <v>187930000</v>
      </c>
      <c r="CD44" s="10">
        <v>531861000</v>
      </c>
      <c r="CE44" s="10">
        <v>691987000</v>
      </c>
      <c r="CF44" s="10">
        <v>487791000</v>
      </c>
      <c r="CG44" s="10">
        <v>6000</v>
      </c>
      <c r="CI44" s="10">
        <v>-16266000</v>
      </c>
      <c r="CJ44" s="10">
        <v>2489000</v>
      </c>
      <c r="CK44" s="10">
        <v>2489000</v>
      </c>
      <c r="CN44" s="10">
        <v>4702000</v>
      </c>
      <c r="CO44" s="10">
        <v>10536000</v>
      </c>
      <c r="CR44"/>
      <c r="CW44"/>
      <c r="DA44"/>
      <c r="DB44" s="41"/>
      <c r="DF44">
        <v>-416000</v>
      </c>
      <c r="DH44" s="41">
        <v>2022</v>
      </c>
      <c r="DI44" s="10">
        <v>20217000</v>
      </c>
      <c r="DL44" s="10">
        <v>0</v>
      </c>
      <c r="DT44" s="10">
        <v>1632000</v>
      </c>
      <c r="DX44" s="10"/>
      <c r="DY44" s="10"/>
      <c r="DZ44" s="10"/>
      <c r="EA44" s="10"/>
      <c r="EB44" s="10"/>
      <c r="EC44" s="10"/>
      <c r="ED44" t="s">
        <v>659</v>
      </c>
    </row>
    <row r="45" spans="1:134" x14ac:dyDescent="0.35">
      <c r="A45" t="s">
        <v>658</v>
      </c>
      <c r="B45" s="22">
        <v>45291</v>
      </c>
      <c r="C45">
        <v>2023</v>
      </c>
      <c r="D45" t="s">
        <v>212</v>
      </c>
      <c r="E45" t="s">
        <v>213</v>
      </c>
      <c r="F45" s="10">
        <v>9697000</v>
      </c>
      <c r="G45" s="10">
        <v>7086000</v>
      </c>
      <c r="H45" s="10">
        <v>-186222000</v>
      </c>
      <c r="I45" s="10">
        <v>143369000</v>
      </c>
      <c r="N45" s="10">
        <v>503000</v>
      </c>
      <c r="O45" s="10">
        <v>10285000</v>
      </c>
      <c r="P45" s="10">
        <v>2505000</v>
      </c>
      <c r="Q45" s="10">
        <v>2505000</v>
      </c>
      <c r="R45" s="10">
        <v>10285000</v>
      </c>
      <c r="S45" s="10">
        <v>230397000</v>
      </c>
      <c r="T45" s="10">
        <v>23724000</v>
      </c>
      <c r="U45" s="10">
        <v>5794000</v>
      </c>
      <c r="V45" s="10">
        <v>30617000</v>
      </c>
      <c r="X45" s="10">
        <v>2244000</v>
      </c>
      <c r="Y45" s="10">
        <v>2244000</v>
      </c>
      <c r="Z45" s="10">
        <v>22414000</v>
      </c>
      <c r="AC45" s="10">
        <v>1939000</v>
      </c>
      <c r="AD45" s="10">
        <v>1939000</v>
      </c>
      <c r="AF45" s="10">
        <v>904705000</v>
      </c>
      <c r="AH45" s="10">
        <v>2000</v>
      </c>
      <c r="AI45" s="10">
        <v>2275000</v>
      </c>
      <c r="AJ45" s="10">
        <v>410948000</v>
      </c>
      <c r="AO45" s="10">
        <v>503000</v>
      </c>
      <c r="AP45" s="10">
        <v>178307000</v>
      </c>
      <c r="AQ45" s="10">
        <v>178810000</v>
      </c>
      <c r="AV45" s="10">
        <v>178046000</v>
      </c>
      <c r="AW45" s="10">
        <v>718483000</v>
      </c>
      <c r="AX45" s="10">
        <v>228458000</v>
      </c>
      <c r="AY45" s="10">
        <v>61601000</v>
      </c>
      <c r="AZ45" s="10">
        <v>58804000</v>
      </c>
      <c r="BB45" s="10">
        <v>10285763</v>
      </c>
      <c r="BC45" s="10">
        <v>3297000</v>
      </c>
      <c r="BD45" s="10">
        <v>2235000</v>
      </c>
      <c r="BE45" s="10">
        <v>1694000</v>
      </c>
      <c r="BI45" s="10">
        <v>247934000</v>
      </c>
      <c r="BJ45" s="10">
        <v>9000</v>
      </c>
      <c r="BK45" s="10">
        <v>9279000</v>
      </c>
      <c r="BL45" s="10">
        <v>6072000</v>
      </c>
      <c r="BN45" s="10">
        <v>9699000</v>
      </c>
      <c r="BO45" s="10">
        <v>15493000</v>
      </c>
      <c r="BR45" s="10">
        <v>2269000</v>
      </c>
      <c r="BT45" s="10">
        <v>16563000</v>
      </c>
      <c r="BV45" s="10">
        <v>76743000</v>
      </c>
      <c r="BW45" s="10">
        <v>10285763</v>
      </c>
      <c r="BX45" s="10">
        <v>230397000</v>
      </c>
      <c r="BY45" s="10">
        <v>228458000</v>
      </c>
      <c r="BZ45" s="10">
        <v>766832000</v>
      </c>
      <c r="CA45" s="10">
        <v>408704000</v>
      </c>
      <c r="CB45" s="10">
        <v>181054000</v>
      </c>
      <c r="CC45" s="10">
        <v>230397000</v>
      </c>
      <c r="CD45" s="10">
        <v>536435000</v>
      </c>
      <c r="CE45" s="10">
        <v>736215000</v>
      </c>
      <c r="CF45" s="10">
        <v>514021000</v>
      </c>
      <c r="CG45" s="10">
        <v>2000</v>
      </c>
      <c r="CI45" s="10">
        <v>8203000</v>
      </c>
      <c r="CJ45" s="10">
        <v>2983000</v>
      </c>
      <c r="CK45" s="10">
        <v>2983000</v>
      </c>
      <c r="CN45" s="10">
        <v>5983000</v>
      </c>
      <c r="CO45" s="10">
        <v>8504000</v>
      </c>
      <c r="CR45"/>
      <c r="CW45"/>
      <c r="DA45"/>
      <c r="DB45" s="41"/>
      <c r="DF45">
        <v>-328000</v>
      </c>
      <c r="DH45" s="41">
        <v>2023</v>
      </c>
      <c r="DI45" s="10">
        <v>9000</v>
      </c>
      <c r="DL45" s="10">
        <v>0</v>
      </c>
      <c r="DT45" s="10">
        <v>1799000</v>
      </c>
      <c r="DX45" s="10"/>
      <c r="DY45" s="10"/>
      <c r="DZ45" s="10"/>
      <c r="EA45" s="10"/>
      <c r="EB45" s="10"/>
      <c r="EC45" s="10"/>
      <c r="ED45" t="s">
        <v>659</v>
      </c>
    </row>
    <row r="46" spans="1:134" x14ac:dyDescent="0.35">
      <c r="A46" t="s">
        <v>660</v>
      </c>
      <c r="B46" s="22">
        <v>43830</v>
      </c>
      <c r="C46">
        <v>2019</v>
      </c>
      <c r="D46" t="s">
        <v>212</v>
      </c>
      <c r="E46" t="s">
        <v>213</v>
      </c>
      <c r="AY46" s="10">
        <v>164000</v>
      </c>
      <c r="AZ46" s="10">
        <v>164000</v>
      </c>
      <c r="BC46" s="10">
        <v>4289000</v>
      </c>
      <c r="BR46" s="10">
        <v>15597000</v>
      </c>
      <c r="CR46"/>
      <c r="CW46"/>
      <c r="DA46">
        <v>1279000</v>
      </c>
      <c r="DB46" s="41"/>
      <c r="DF46"/>
      <c r="DH46" s="41">
        <v>2019</v>
      </c>
      <c r="DT46" s="10">
        <v>5615000</v>
      </c>
      <c r="DX46" s="10"/>
      <c r="DY46" s="10"/>
      <c r="DZ46" s="10"/>
      <c r="EA46" s="10"/>
      <c r="EB46" s="10"/>
      <c r="EC46" s="10"/>
      <c r="ED46" t="s">
        <v>661</v>
      </c>
    </row>
    <row r="47" spans="1:134" x14ac:dyDescent="0.35">
      <c r="A47" t="s">
        <v>660</v>
      </c>
      <c r="B47" s="22">
        <v>44196</v>
      </c>
      <c r="C47">
        <v>2020</v>
      </c>
      <c r="D47" t="s">
        <v>212</v>
      </c>
      <c r="E47" t="s">
        <v>213</v>
      </c>
      <c r="F47" s="10">
        <v>34712000</v>
      </c>
      <c r="G47" s="10">
        <v>35910000</v>
      </c>
      <c r="H47" s="10">
        <v>-213984000</v>
      </c>
      <c r="I47" s="10">
        <v>190920000</v>
      </c>
      <c r="J47" s="10">
        <v>-30793000</v>
      </c>
      <c r="M47" s="10">
        <v>64808000</v>
      </c>
      <c r="O47" s="10">
        <v>28000</v>
      </c>
      <c r="P47" s="10">
        <v>258874000</v>
      </c>
      <c r="Q47" s="10">
        <v>449192000</v>
      </c>
      <c r="R47" s="10">
        <v>28000</v>
      </c>
      <c r="S47" s="10">
        <v>810411000</v>
      </c>
      <c r="T47" s="10">
        <v>34886000</v>
      </c>
      <c r="U47" s="10">
        <v>26912000</v>
      </c>
      <c r="V47" s="10">
        <v>601232000</v>
      </c>
      <c r="Z47" s="10">
        <v>62526000</v>
      </c>
      <c r="AB47" s="10">
        <v>-2163000</v>
      </c>
      <c r="AC47" s="10">
        <v>91849000</v>
      </c>
      <c r="AD47" s="10">
        <v>104355000</v>
      </c>
      <c r="AE47" s="10">
        <v>66703000</v>
      </c>
      <c r="AF47" s="10">
        <v>380172000</v>
      </c>
      <c r="AJ47" s="10">
        <v>810411000</v>
      </c>
      <c r="AM47" s="10">
        <v>22189000</v>
      </c>
      <c r="AT47" s="10">
        <v>258289000</v>
      </c>
      <c r="AW47" s="10">
        <v>166188000</v>
      </c>
      <c r="AX47" s="10">
        <v>706056000</v>
      </c>
      <c r="AY47" s="10">
        <v>75000</v>
      </c>
      <c r="AZ47" s="10">
        <v>75000</v>
      </c>
      <c r="BB47" s="10">
        <v>59910000</v>
      </c>
      <c r="BF47" s="10">
        <v>-2163000</v>
      </c>
      <c r="BG47" s="10">
        <v>12506000</v>
      </c>
      <c r="BH47" s="10">
        <v>28225000</v>
      </c>
      <c r="BI47" s="10">
        <v>14814000</v>
      </c>
      <c r="BM47" s="10">
        <v>190318000</v>
      </c>
      <c r="BN47" s="10">
        <v>35614000</v>
      </c>
      <c r="BO47" s="10">
        <v>62526000</v>
      </c>
      <c r="BR47" s="10">
        <v>13252000</v>
      </c>
      <c r="BS47" s="10">
        <v>0</v>
      </c>
      <c r="BT47" s="10">
        <v>35910000</v>
      </c>
      <c r="BV47" s="10">
        <v>621626000</v>
      </c>
      <c r="BW47" s="10">
        <v>59910000</v>
      </c>
      <c r="BX47" s="10">
        <v>810411000</v>
      </c>
      <c r="BY47" s="10">
        <v>706056000</v>
      </c>
      <c r="BZ47" s="10">
        <v>903339000</v>
      </c>
      <c r="CA47" s="10">
        <v>810411000</v>
      </c>
      <c r="CC47" s="10">
        <v>810411000</v>
      </c>
      <c r="CD47" s="10">
        <v>92928000</v>
      </c>
      <c r="CE47" s="10">
        <v>302107000</v>
      </c>
      <c r="CF47" s="10">
        <v>30402000</v>
      </c>
      <c r="CG47" s="10">
        <v>902000</v>
      </c>
      <c r="CH47" s="10">
        <v>15588000</v>
      </c>
      <c r="CI47" s="10">
        <v>538706000</v>
      </c>
      <c r="CM47" s="10">
        <v>31278000</v>
      </c>
      <c r="CN47" s="10">
        <v>102878000</v>
      </c>
      <c r="CO47" s="10">
        <v>3339000</v>
      </c>
      <c r="CP47" s="10">
        <v>3339000</v>
      </c>
      <c r="CR47"/>
      <c r="CS47" s="10">
        <v>32131000</v>
      </c>
      <c r="CT47" s="10">
        <v>39469000</v>
      </c>
      <c r="CW47"/>
      <c r="DA47"/>
      <c r="DB47" s="41"/>
      <c r="DF47"/>
      <c r="DH47" s="41">
        <v>2020</v>
      </c>
      <c r="DX47" s="10"/>
      <c r="DY47" s="10"/>
      <c r="DZ47" s="10"/>
      <c r="EA47" s="10"/>
      <c r="EB47" s="10"/>
      <c r="EC47" s="10"/>
      <c r="ED47" t="s">
        <v>661</v>
      </c>
    </row>
    <row r="48" spans="1:134" x14ac:dyDescent="0.35">
      <c r="A48" t="s">
        <v>660</v>
      </c>
      <c r="B48" s="22">
        <v>44561</v>
      </c>
      <c r="C48">
        <v>2021</v>
      </c>
      <c r="D48" t="s">
        <v>212</v>
      </c>
      <c r="E48" t="s">
        <v>213</v>
      </c>
      <c r="F48" s="10">
        <v>43721000</v>
      </c>
      <c r="G48" s="10">
        <v>41393000</v>
      </c>
      <c r="H48" s="10">
        <v>-239043000</v>
      </c>
      <c r="I48" s="10">
        <v>162301000</v>
      </c>
      <c r="J48" s="10">
        <v>-46110000</v>
      </c>
      <c r="M48" s="10">
        <v>81027000</v>
      </c>
      <c r="O48" s="10">
        <v>28000</v>
      </c>
      <c r="P48" s="10">
        <v>158117000</v>
      </c>
      <c r="Q48" s="10">
        <v>530352000</v>
      </c>
      <c r="R48" s="10">
        <v>28000</v>
      </c>
      <c r="S48" s="10">
        <v>912032000</v>
      </c>
      <c r="T48" s="10">
        <v>22661000</v>
      </c>
      <c r="U48" s="10">
        <v>27390000</v>
      </c>
      <c r="V48" s="10">
        <v>686815000</v>
      </c>
      <c r="Z48" s="10">
        <v>72321000</v>
      </c>
      <c r="AB48" s="10">
        <v>-3737000</v>
      </c>
      <c r="AC48" s="10">
        <v>91849000</v>
      </c>
      <c r="AD48" s="10">
        <v>100861000</v>
      </c>
      <c r="AE48" s="10">
        <v>87503000</v>
      </c>
      <c r="AF48" s="10">
        <v>418867000</v>
      </c>
      <c r="AJ48" s="10">
        <v>912032000</v>
      </c>
      <c r="AM48" s="10">
        <v>22187000</v>
      </c>
      <c r="AT48" s="10">
        <v>292992000</v>
      </c>
      <c r="AW48" s="10">
        <v>179824000</v>
      </c>
      <c r="AX48" s="10">
        <v>811171000</v>
      </c>
      <c r="BB48" s="10">
        <v>59913000</v>
      </c>
      <c r="BC48" s="10">
        <v>15804000</v>
      </c>
      <c r="BF48" s="10">
        <v>-3737000</v>
      </c>
      <c r="BG48" s="10">
        <v>9012000</v>
      </c>
      <c r="BH48" s="10">
        <v>30554000</v>
      </c>
      <c r="BI48" s="10">
        <v>14854000</v>
      </c>
      <c r="BM48" s="10">
        <v>372235000</v>
      </c>
      <c r="BN48" s="10">
        <v>44931000</v>
      </c>
      <c r="BO48" s="10">
        <v>72321000</v>
      </c>
      <c r="BR48" s="10">
        <v>15804000</v>
      </c>
      <c r="BS48" s="10">
        <v>0</v>
      </c>
      <c r="BT48" s="10">
        <v>41393000</v>
      </c>
      <c r="BV48" s="10">
        <v>753440000</v>
      </c>
      <c r="BW48" s="10">
        <v>59913000</v>
      </c>
      <c r="BX48" s="10">
        <v>912032000</v>
      </c>
      <c r="BY48" s="10">
        <v>811171000</v>
      </c>
      <c r="BZ48" s="10">
        <v>1014487000</v>
      </c>
      <c r="CA48" s="10">
        <v>912032000</v>
      </c>
      <c r="CC48" s="10">
        <v>912032000</v>
      </c>
      <c r="CD48" s="10">
        <v>102455000</v>
      </c>
      <c r="CE48" s="10">
        <v>327672000</v>
      </c>
      <c r="CF48" s="10">
        <v>30134000</v>
      </c>
      <c r="CG48" s="10">
        <v>1210000</v>
      </c>
      <c r="CH48" s="10">
        <v>15280000</v>
      </c>
      <c r="CI48" s="10">
        <v>614494000</v>
      </c>
      <c r="CM48" s="10">
        <v>43347000</v>
      </c>
      <c r="CN48" s="10">
        <v>99266000</v>
      </c>
      <c r="CO48" s="10">
        <v>16433000</v>
      </c>
      <c r="CP48" s="10">
        <v>16433000</v>
      </c>
      <c r="CR48"/>
      <c r="CS48" s="10">
        <v>24131000</v>
      </c>
      <c r="CT48" s="10">
        <v>31788000</v>
      </c>
      <c r="CW48"/>
      <c r="DA48"/>
      <c r="DB48" s="41"/>
      <c r="DF48"/>
      <c r="DH48" s="41">
        <v>2021</v>
      </c>
      <c r="DX48" s="10"/>
      <c r="DY48" s="10"/>
      <c r="DZ48" s="10"/>
      <c r="EA48" s="10"/>
      <c r="EB48" s="10"/>
      <c r="EC48" s="10"/>
      <c r="ED48" t="s">
        <v>661</v>
      </c>
    </row>
    <row r="49" spans="1:134" x14ac:dyDescent="0.35">
      <c r="A49" t="s">
        <v>660</v>
      </c>
      <c r="B49" s="22">
        <v>44926</v>
      </c>
      <c r="C49">
        <v>2022</v>
      </c>
      <c r="D49" t="s">
        <v>212</v>
      </c>
      <c r="E49" t="s">
        <v>213</v>
      </c>
      <c r="F49" s="10">
        <v>30088000</v>
      </c>
      <c r="G49" s="10">
        <v>20836000</v>
      </c>
      <c r="H49" s="10">
        <v>-270266000</v>
      </c>
      <c r="I49" s="10">
        <v>0</v>
      </c>
      <c r="J49" s="10">
        <v>-58078000</v>
      </c>
      <c r="M49" s="10">
        <v>89704000</v>
      </c>
      <c r="O49" s="10">
        <v>24000</v>
      </c>
      <c r="P49" s="10">
        <v>105372000</v>
      </c>
      <c r="Q49" s="10">
        <v>353813000</v>
      </c>
      <c r="R49" s="10">
        <v>24000</v>
      </c>
      <c r="S49" s="10">
        <v>755216000</v>
      </c>
      <c r="T49" s="10">
        <v>19195000</v>
      </c>
      <c r="U49" s="10">
        <v>27350000</v>
      </c>
      <c r="V49" s="10">
        <v>525073000</v>
      </c>
      <c r="Z49" s="10">
        <v>58376000</v>
      </c>
      <c r="AB49" s="10">
        <v>-7344000</v>
      </c>
      <c r="AC49" s="10">
        <v>91849000</v>
      </c>
      <c r="AD49" s="10">
        <v>98446000</v>
      </c>
      <c r="AE49" s="10">
        <v>78914000</v>
      </c>
      <c r="AF49" s="10">
        <v>446947000</v>
      </c>
      <c r="AJ49" s="10">
        <v>755216000</v>
      </c>
      <c r="AM49" s="10">
        <v>22166000</v>
      </c>
      <c r="AT49" s="10">
        <v>315882000</v>
      </c>
      <c r="AW49" s="10">
        <v>176681000</v>
      </c>
      <c r="AX49" s="10">
        <v>656770000</v>
      </c>
      <c r="BB49" s="10">
        <v>56961000</v>
      </c>
      <c r="BC49" s="10">
        <v>15004000</v>
      </c>
      <c r="BF49" s="10">
        <v>-7344000</v>
      </c>
      <c r="BG49" s="10">
        <v>6597000</v>
      </c>
      <c r="BH49" s="10">
        <v>20862000</v>
      </c>
      <c r="BI49" s="10">
        <v>10747000</v>
      </c>
      <c r="BM49" s="10">
        <v>248441000</v>
      </c>
      <c r="BN49" s="10">
        <v>31026000</v>
      </c>
      <c r="BO49" s="10">
        <v>58376000</v>
      </c>
      <c r="BS49" s="10">
        <v>0</v>
      </c>
      <c r="BT49" s="10">
        <v>20836000</v>
      </c>
      <c r="BV49" s="10">
        <v>762536000</v>
      </c>
      <c r="BW49" s="10">
        <v>56961000</v>
      </c>
      <c r="BX49" s="10">
        <v>755216000</v>
      </c>
      <c r="BY49" s="10">
        <v>656770000</v>
      </c>
      <c r="BZ49" s="10">
        <v>840096000</v>
      </c>
      <c r="CA49" s="10">
        <v>755216000</v>
      </c>
      <c r="CC49" s="10">
        <v>755216000</v>
      </c>
      <c r="CD49" s="10">
        <v>84880000</v>
      </c>
      <c r="CE49" s="10">
        <v>315023000</v>
      </c>
      <c r="CF49" s="10">
        <v>26504000</v>
      </c>
      <c r="CG49" s="10">
        <v>938000</v>
      </c>
      <c r="CH49" s="10">
        <v>15757000</v>
      </c>
      <c r="CI49" s="10">
        <v>466697000</v>
      </c>
      <c r="CM49" s="10">
        <v>44625000</v>
      </c>
      <c r="CN49" s="10">
        <v>135420000</v>
      </c>
      <c r="CO49" s="10">
        <v>19034000</v>
      </c>
      <c r="CP49" s="10">
        <v>19034000</v>
      </c>
      <c r="CR49"/>
      <c r="CS49" s="10">
        <v>75355000</v>
      </c>
      <c r="CT49" s="10">
        <v>15440000</v>
      </c>
      <c r="CW49"/>
      <c r="DA49"/>
      <c r="DB49" s="41"/>
      <c r="DF49"/>
      <c r="DH49" s="41">
        <v>2022</v>
      </c>
      <c r="DX49" s="10"/>
      <c r="DY49" s="10"/>
      <c r="DZ49" s="10"/>
      <c r="EA49" s="10"/>
      <c r="EB49" s="10"/>
      <c r="EC49" s="10"/>
      <c r="ED49" t="s">
        <v>661</v>
      </c>
    </row>
    <row r="50" spans="1:134" x14ac:dyDescent="0.35">
      <c r="A50" t="s">
        <v>660</v>
      </c>
      <c r="B50" s="22">
        <v>45291</v>
      </c>
      <c r="C50">
        <v>2023</v>
      </c>
      <c r="D50" t="s">
        <v>212</v>
      </c>
      <c r="E50" t="s">
        <v>213</v>
      </c>
      <c r="F50" s="10">
        <v>26390000</v>
      </c>
      <c r="G50" s="10">
        <v>14674000</v>
      </c>
      <c r="H50" s="10">
        <v>-302427000</v>
      </c>
      <c r="I50" s="10">
        <v>0</v>
      </c>
      <c r="J50" s="10">
        <v>-38473000</v>
      </c>
      <c r="M50" s="10">
        <v>92049000</v>
      </c>
      <c r="O50" s="10">
        <v>23000</v>
      </c>
      <c r="P50" s="10">
        <v>63929000</v>
      </c>
      <c r="Q50" s="10">
        <v>311569000</v>
      </c>
      <c r="R50" s="10">
        <v>23000</v>
      </c>
      <c r="S50" s="10">
        <v>752241000</v>
      </c>
      <c r="T50" s="10">
        <v>17022000</v>
      </c>
      <c r="U50" s="10">
        <v>21461000</v>
      </c>
      <c r="V50" s="10">
        <v>511600000</v>
      </c>
      <c r="Z50" s="10">
        <v>48867000</v>
      </c>
      <c r="AB50" s="10">
        <v>-1462000</v>
      </c>
      <c r="AC50" s="10">
        <v>91849000</v>
      </c>
      <c r="AD50" s="10">
        <v>96273000</v>
      </c>
      <c r="AE50" s="10">
        <v>53147000</v>
      </c>
      <c r="AF50" s="10">
        <v>466640000</v>
      </c>
      <c r="AJ50" s="10">
        <v>752241000</v>
      </c>
      <c r="AM50" s="10">
        <v>22178000</v>
      </c>
      <c r="AT50" s="10">
        <v>335391000</v>
      </c>
      <c r="AW50" s="10">
        <v>164213000</v>
      </c>
      <c r="AX50" s="10">
        <v>655968000</v>
      </c>
      <c r="BB50" s="10">
        <v>56738000</v>
      </c>
      <c r="BC50" s="10">
        <v>22193000</v>
      </c>
      <c r="BF50" s="10">
        <v>-1462000</v>
      </c>
      <c r="BG50" s="10">
        <v>4424000</v>
      </c>
      <c r="BH50" s="10">
        <v>19457000</v>
      </c>
      <c r="BI50" s="10">
        <v>12516000</v>
      </c>
      <c r="BM50" s="10">
        <v>247640000</v>
      </c>
      <c r="BN50" s="10">
        <v>27406000</v>
      </c>
      <c r="BO50" s="10">
        <v>48867000</v>
      </c>
      <c r="BS50" s="10">
        <v>0</v>
      </c>
      <c r="BT50" s="10">
        <v>14674000</v>
      </c>
      <c r="BV50" s="10">
        <v>753680000</v>
      </c>
      <c r="BW50" s="10">
        <v>56738000</v>
      </c>
      <c r="BX50" s="10">
        <v>752241000</v>
      </c>
      <c r="BY50" s="10">
        <v>655968000</v>
      </c>
      <c r="BZ50" s="10">
        <v>819868000</v>
      </c>
      <c r="CA50" s="10">
        <v>752241000</v>
      </c>
      <c r="CC50" s="10">
        <v>752241000</v>
      </c>
      <c r="CD50" s="10">
        <v>67627000</v>
      </c>
      <c r="CE50" s="10">
        <v>308268000</v>
      </c>
      <c r="CF50" s="10">
        <v>18760000</v>
      </c>
      <c r="CG50" s="10">
        <v>1016000</v>
      </c>
      <c r="CH50" s="10">
        <v>6244000</v>
      </c>
      <c r="CI50" s="10">
        <v>462733000</v>
      </c>
      <c r="CM50" s="10">
        <v>41970000</v>
      </c>
      <c r="CN50" s="10">
        <v>163164000</v>
      </c>
      <c r="CO50" s="10">
        <v>28325000</v>
      </c>
      <c r="CP50" s="10">
        <v>28325000</v>
      </c>
      <c r="CR50"/>
      <c r="CS50" s="10">
        <v>96467000</v>
      </c>
      <c r="CT50" s="10">
        <v>24727000</v>
      </c>
      <c r="CW50"/>
      <c r="DA50"/>
      <c r="DB50" s="41"/>
      <c r="DF50"/>
      <c r="DH50" s="41">
        <v>2023</v>
      </c>
      <c r="DX50" s="10"/>
      <c r="DY50" s="10"/>
      <c r="DZ50" s="10"/>
      <c r="EA50" s="10"/>
      <c r="EB50" s="10"/>
      <c r="EC50" s="10"/>
      <c r="ED50" t="s">
        <v>661</v>
      </c>
    </row>
    <row r="52" spans="1:134" x14ac:dyDescent="0.35">
      <c r="CI52"/>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5D0B-2092-4744-B0F1-0ED89B0BE026}">
  <sheetPr>
    <tabColor theme="7" tint="0.79998168889431442"/>
  </sheetPr>
  <dimension ref="A1:CU65"/>
  <sheetViews>
    <sheetView showGridLines="0" workbookViewId="0">
      <selection activeCell="G1" sqref="G1"/>
    </sheetView>
  </sheetViews>
  <sheetFormatPr defaultRowHeight="14.5" x14ac:dyDescent="0.35"/>
  <cols>
    <col min="1" max="1" width="14.6328125" bestFit="1" customWidth="1"/>
    <col min="2" max="2" width="10.90625" bestFit="1" customWidth="1"/>
    <col min="3" max="3" width="6.81640625" bestFit="1" customWidth="1"/>
    <col min="4" max="4" width="12.54296875" bestFit="1" customWidth="1"/>
    <col min="5" max="5" width="14.54296875" bestFit="1" customWidth="1"/>
    <col min="6" max="6" width="24.90625" style="10" bestFit="1" customWidth="1"/>
    <col min="7" max="7" width="23.54296875" style="10" bestFit="1" customWidth="1"/>
    <col min="8" max="8" width="20.54296875" style="10" bestFit="1" customWidth="1"/>
    <col min="9" max="9" width="41.7265625" style="10" bestFit="1" customWidth="1"/>
    <col min="10" max="10" width="41.453125" style="10" bestFit="1" customWidth="1"/>
    <col min="11" max="11" width="42.26953125" style="10" bestFit="1" customWidth="1"/>
    <col min="12" max="12" width="25.81640625" style="10" bestFit="1" customWidth="1"/>
    <col min="13" max="13" width="26.08984375" style="10" bestFit="1" customWidth="1"/>
    <col min="14" max="14" width="38.08984375" style="10" bestFit="1" customWidth="1"/>
    <col min="15" max="15" width="29.26953125" style="10" bestFit="1" customWidth="1"/>
    <col min="16" max="16" width="31.7265625" style="10" bestFit="1" customWidth="1"/>
    <col min="17" max="17" width="30.36328125" style="10" bestFit="1" customWidth="1"/>
    <col min="18" max="18" width="18.81640625" style="10" bestFit="1" customWidth="1"/>
    <col min="19" max="19" width="37.08984375" style="10" bestFit="1" customWidth="1"/>
    <col min="20" max="20" width="24.26953125" style="10" bestFit="1" customWidth="1"/>
    <col min="21" max="21" width="22" style="10" bestFit="1" customWidth="1"/>
    <col min="22" max="22" width="25.36328125" style="10" bestFit="1" customWidth="1"/>
    <col min="23" max="23" width="29.81640625" style="10" bestFit="1" customWidth="1"/>
    <col min="24" max="24" width="17.08984375" style="10" bestFit="1" customWidth="1"/>
    <col min="25" max="25" width="24" style="10" bestFit="1" customWidth="1"/>
    <col min="26" max="26" width="25.08984375" style="10" bestFit="1" customWidth="1"/>
    <col min="27" max="27" width="21.08984375" style="10" bestFit="1" customWidth="1"/>
    <col min="28" max="28" width="14.7265625" style="10" bestFit="1" customWidth="1"/>
    <col min="29" max="29" width="34.7265625" style="10" bestFit="1" customWidth="1"/>
    <col min="30" max="30" width="29.81640625" style="10" bestFit="1" customWidth="1"/>
    <col min="31" max="31" width="37.36328125" style="10" bestFit="1" customWidth="1"/>
    <col min="32" max="32" width="30.1796875" style="10" bestFit="1" customWidth="1"/>
    <col min="33" max="33" width="18.453125" style="10" bestFit="1" customWidth="1"/>
    <col min="34" max="34" width="20.26953125" style="10" bestFit="1" customWidth="1"/>
    <col min="35" max="35" width="16" style="10" bestFit="1" customWidth="1"/>
    <col min="36" max="36" width="32.1796875" style="10" bestFit="1" customWidth="1"/>
    <col min="37" max="37" width="27" style="10" bestFit="1" customWidth="1"/>
    <col min="38" max="38" width="33.08984375" style="10" bestFit="1" customWidth="1"/>
    <col min="39" max="39" width="30.54296875" style="10" bestFit="1" customWidth="1"/>
    <col min="40" max="40" width="20" style="10" bestFit="1" customWidth="1"/>
    <col min="41" max="41" width="24.1796875" style="10" bestFit="1" customWidth="1"/>
    <col min="42" max="42" width="17.7265625" style="10" bestFit="1" customWidth="1"/>
    <col min="43" max="43" width="24.1796875" style="10" bestFit="1" customWidth="1"/>
    <col min="44" max="44" width="25.26953125" style="10" bestFit="1" customWidth="1"/>
    <col min="45" max="45" width="29.26953125" style="10" bestFit="1" customWidth="1"/>
    <col min="46" max="46" width="27" style="10" bestFit="1" customWidth="1"/>
    <col min="47" max="47" width="36.7265625" style="10" bestFit="1" customWidth="1"/>
    <col min="48" max="48" width="13.54296875" style="10" bestFit="1" customWidth="1"/>
    <col min="49" max="49" width="36.90625" style="10" bestFit="1" customWidth="1"/>
    <col min="50" max="50" width="31.7265625" style="10" bestFit="1" customWidth="1"/>
    <col min="51" max="51" width="29.26953125" style="10" bestFit="1" customWidth="1"/>
    <col min="52" max="52" width="27.1796875" style="10" bestFit="1" customWidth="1"/>
    <col min="53" max="53" width="27" style="10" bestFit="1" customWidth="1"/>
    <col min="54" max="54" width="27.08984375" style="10" bestFit="1" customWidth="1"/>
    <col min="55" max="55" width="25.1796875" style="10" bestFit="1" customWidth="1"/>
    <col min="56" max="56" width="27.453125" style="10" bestFit="1" customWidth="1"/>
    <col min="57" max="57" width="24.36328125" style="10" bestFit="1" customWidth="1"/>
    <col min="58" max="58" width="20.81640625" style="10" bestFit="1" customWidth="1"/>
    <col min="59" max="59" width="22.90625" style="10" bestFit="1" customWidth="1"/>
    <col min="60" max="60" width="42.08984375" style="10" bestFit="1" customWidth="1"/>
    <col min="61" max="61" width="21.6328125" style="10" bestFit="1" customWidth="1"/>
    <col min="62" max="62" width="24.36328125" style="10" bestFit="1" customWidth="1"/>
    <col min="63" max="63" width="35" style="10" bestFit="1" customWidth="1"/>
    <col min="64" max="64" width="21.36328125" style="10" bestFit="1" customWidth="1"/>
    <col min="65" max="65" width="23.81640625" style="10" bestFit="1" customWidth="1"/>
    <col min="66" max="66" width="17.26953125" style="10" bestFit="1" customWidth="1"/>
    <col min="67" max="67" width="20.1796875" style="10" bestFit="1" customWidth="1"/>
    <col min="68" max="68" width="26.7265625" style="10" bestFit="1" customWidth="1"/>
    <col min="69" max="69" width="17" style="10" bestFit="1" customWidth="1"/>
    <col min="70" max="70" width="19.453125" style="10" bestFit="1" customWidth="1"/>
    <col min="71" max="71" width="12.90625" style="10" bestFit="1" customWidth="1"/>
    <col min="72" max="72" width="26.36328125" style="10" bestFit="1" customWidth="1"/>
    <col min="73" max="73" width="41.26953125" style="10" bestFit="1" customWidth="1"/>
    <col min="74" max="74" width="23.54296875" style="10" bestFit="1" customWidth="1"/>
    <col min="75" max="75" width="26.81640625" style="10" bestFit="1" customWidth="1"/>
    <col min="76" max="76" width="28.54296875" style="10" bestFit="1" customWidth="1"/>
    <col min="77" max="77" width="20.36328125" style="10" bestFit="1" customWidth="1"/>
    <col min="78" max="78" width="28.1796875" style="10" bestFit="1" customWidth="1"/>
    <col min="79" max="79" width="20.453125" style="10" bestFit="1" customWidth="1"/>
    <col min="80" max="80" width="21.81640625" style="10" bestFit="1" customWidth="1"/>
    <col min="81" max="81" width="27.90625" style="10" bestFit="1" customWidth="1"/>
    <col min="82" max="82" width="15.1796875" style="10" bestFit="1" customWidth="1"/>
    <col min="83" max="83" width="22.90625" style="10" bestFit="1" customWidth="1"/>
    <col min="84" max="84" width="27.90625" style="10" bestFit="1" customWidth="1"/>
    <col min="85" max="85" width="36" style="10" bestFit="1" customWidth="1"/>
    <col min="86" max="86" width="24.36328125" style="10" bestFit="1" customWidth="1"/>
    <col min="87" max="87" width="24.81640625" style="10" bestFit="1" customWidth="1"/>
    <col min="88" max="88" width="25.90625" style="10" bestFit="1" customWidth="1"/>
    <col min="89" max="89" width="10.6328125" style="10" bestFit="1" customWidth="1"/>
    <col min="90" max="90" width="39.7265625" style="10" bestFit="1" customWidth="1"/>
    <col min="91" max="91" width="39.36328125" style="10" bestFit="1" customWidth="1"/>
    <col min="92" max="92" width="40.26953125" style="10" bestFit="1" customWidth="1"/>
    <col min="93" max="93" width="22.6328125" style="10" bestFit="1" customWidth="1"/>
    <col min="94" max="94" width="28.26953125" style="10" bestFit="1" customWidth="1"/>
    <col min="95" max="95" width="25.453125" style="10" bestFit="1" customWidth="1"/>
    <col min="96" max="96" width="30.08984375" bestFit="1" customWidth="1"/>
    <col min="97" max="97" width="31.26953125" bestFit="1" customWidth="1"/>
    <col min="98" max="98" width="23.453125" bestFit="1" customWidth="1"/>
    <col min="99" max="99" width="8.08984375" bestFit="1" customWidth="1"/>
    <col min="100" max="100" width="23.453125" bestFit="1" customWidth="1"/>
    <col min="101" max="101" width="8.08984375" bestFit="1" customWidth="1"/>
    <col min="102" max="102" width="31.26953125" bestFit="1" customWidth="1"/>
    <col min="103" max="103" width="23.453125" bestFit="1" customWidth="1"/>
    <col min="104" max="104" width="8.08984375" bestFit="1" customWidth="1"/>
    <col min="105" max="105" width="30.08984375" bestFit="1" customWidth="1"/>
    <col min="106" max="106" width="31.26953125" bestFit="1" customWidth="1"/>
    <col min="107" max="107" width="23.453125" bestFit="1" customWidth="1"/>
    <col min="108" max="108" width="8.08984375" bestFit="1" customWidth="1"/>
    <col min="109" max="109" width="8.26953125" bestFit="1" customWidth="1"/>
    <col min="110" max="110" width="10.6328125" bestFit="1" customWidth="1"/>
    <col min="111" max="111" width="30.08984375" bestFit="1" customWidth="1"/>
    <col min="112" max="112" width="31.26953125" bestFit="1" customWidth="1"/>
    <col min="113" max="113" width="23.453125" bestFit="1" customWidth="1"/>
    <col min="114" max="114" width="8.08984375" bestFit="1" customWidth="1"/>
    <col min="115" max="115" width="25.453125" bestFit="1" customWidth="1"/>
    <col min="116" max="116" width="44.1796875" bestFit="1" customWidth="1"/>
    <col min="117" max="117" width="30.08984375" bestFit="1" customWidth="1"/>
    <col min="118" max="118" width="31.26953125" bestFit="1" customWidth="1"/>
    <col min="119" max="119" width="10.6328125" bestFit="1" customWidth="1"/>
    <col min="120" max="120" width="23.453125" bestFit="1" customWidth="1"/>
    <col min="121" max="121" width="8.08984375" customWidth="1"/>
    <col min="122" max="122" width="23.453125" bestFit="1" customWidth="1"/>
    <col min="123" max="123" width="8.08984375" bestFit="1" customWidth="1"/>
    <col min="124" max="124" width="30.08984375" bestFit="1" customWidth="1"/>
    <col min="125" max="125" width="10.6328125" bestFit="1" customWidth="1"/>
    <col min="126" max="126" width="31.26953125" bestFit="1" customWidth="1"/>
    <col min="127" max="127" width="23.453125" bestFit="1" customWidth="1"/>
    <col min="128" max="128" width="8.08984375" bestFit="1" customWidth="1"/>
    <col min="129" max="129" width="30.08984375" bestFit="1" customWidth="1"/>
    <col min="130" max="130" width="31.26953125" bestFit="1" customWidth="1"/>
    <col min="131" max="131" width="23.453125" bestFit="1" customWidth="1"/>
    <col min="132" max="132" width="8.08984375" bestFit="1" customWidth="1"/>
    <col min="133" max="133" width="30.08984375" customWidth="1"/>
    <col min="134" max="134" width="10.6328125" bestFit="1" customWidth="1"/>
    <col min="135" max="135" width="31.26953125" bestFit="1" customWidth="1"/>
    <col min="136" max="136" width="23.453125" bestFit="1" customWidth="1"/>
    <col min="137" max="137" width="8.08984375" bestFit="1" customWidth="1"/>
    <col min="138" max="138" width="31.26953125" bestFit="1" customWidth="1"/>
    <col min="139" max="139" width="23.453125" bestFit="1" customWidth="1"/>
    <col min="140" max="140" width="8.08984375" bestFit="1" customWidth="1"/>
    <col min="141" max="141" width="30.08984375" bestFit="1" customWidth="1"/>
    <col min="142" max="142" width="31.26953125" bestFit="1" customWidth="1"/>
    <col min="143" max="143" width="23.453125" bestFit="1" customWidth="1"/>
    <col min="144" max="144" width="8.08984375" bestFit="1" customWidth="1"/>
    <col min="145" max="145" width="10.7265625" bestFit="1" customWidth="1"/>
    <col min="146" max="148" width="17" bestFit="1" customWidth="1"/>
    <col min="149" max="149" width="8.1796875" bestFit="1" customWidth="1"/>
    <col min="150" max="150" width="16.36328125" bestFit="1" customWidth="1"/>
    <col min="151" max="151" width="30.08984375" bestFit="1" customWidth="1"/>
    <col min="152" max="152" width="31.26953125" bestFit="1" customWidth="1"/>
    <col min="153" max="153" width="10.6328125" bestFit="1" customWidth="1"/>
    <col min="154" max="154" width="23.453125" customWidth="1"/>
    <col min="155" max="156" width="8.08984375" bestFit="1" customWidth="1"/>
    <col min="157" max="157" width="25.453125" bestFit="1" customWidth="1"/>
    <col min="158" max="158" width="10.6328125" bestFit="1" customWidth="1"/>
    <col min="159" max="159" width="30.08984375" bestFit="1" customWidth="1"/>
    <col min="160" max="160" width="31.26953125" customWidth="1"/>
    <col min="161" max="161" width="23.453125" bestFit="1" customWidth="1"/>
    <col min="162" max="162" width="8.08984375" bestFit="1" customWidth="1"/>
    <col min="163" max="163" width="23.453125" bestFit="1" customWidth="1"/>
    <col min="164" max="164" width="8.08984375" customWidth="1"/>
    <col min="165" max="165" width="32.453125" bestFit="1" customWidth="1"/>
    <col min="166" max="166" width="24.08984375" customWidth="1"/>
    <col min="167" max="167" width="8.26953125" bestFit="1" customWidth="1"/>
    <col min="168" max="168" width="8.26953125" customWidth="1"/>
  </cols>
  <sheetData>
    <row r="1" spans="1:99" x14ac:dyDescent="0.35">
      <c r="A1" t="s">
        <v>139</v>
      </c>
      <c r="B1" t="s">
        <v>140</v>
      </c>
      <c r="C1" t="s">
        <v>475</v>
      </c>
      <c r="D1" t="s">
        <v>141</v>
      </c>
      <c r="E1" t="s">
        <v>142</v>
      </c>
      <c r="F1" s="10" t="s">
        <v>336</v>
      </c>
      <c r="G1" s="10" t="s">
        <v>337</v>
      </c>
      <c r="H1" s="10" t="s">
        <v>338</v>
      </c>
      <c r="I1" s="10" t="s">
        <v>339</v>
      </c>
      <c r="J1" s="10" t="s">
        <v>340</v>
      </c>
      <c r="K1" s="10" t="s">
        <v>341</v>
      </c>
      <c r="L1" s="10" t="s">
        <v>342</v>
      </c>
      <c r="M1" s="10" t="s">
        <v>343</v>
      </c>
      <c r="N1" s="10" t="s">
        <v>344</v>
      </c>
      <c r="O1" s="10" t="s">
        <v>345</v>
      </c>
      <c r="P1" s="10" t="s">
        <v>346</v>
      </c>
      <c r="Q1" s="10" t="s">
        <v>347</v>
      </c>
      <c r="R1" s="10" t="s">
        <v>348</v>
      </c>
      <c r="S1" s="10" t="s">
        <v>349</v>
      </c>
      <c r="T1" s="10" t="s">
        <v>350</v>
      </c>
      <c r="U1" s="10" t="s">
        <v>351</v>
      </c>
      <c r="V1" s="10" t="s">
        <v>352</v>
      </c>
      <c r="W1" s="10" t="s">
        <v>353</v>
      </c>
      <c r="X1" s="10" t="s">
        <v>354</v>
      </c>
      <c r="Y1" s="10" t="s">
        <v>355</v>
      </c>
      <c r="Z1" s="10" t="s">
        <v>356</v>
      </c>
      <c r="AA1" s="10" t="s">
        <v>357</v>
      </c>
      <c r="AB1" s="10" t="s">
        <v>358</v>
      </c>
      <c r="AC1" s="10" t="s">
        <v>359</v>
      </c>
      <c r="AD1" s="10" t="s">
        <v>360</v>
      </c>
      <c r="AE1" s="10" t="s">
        <v>361</v>
      </c>
      <c r="AF1" s="10" t="s">
        <v>362</v>
      </c>
      <c r="AG1" s="10" t="s">
        <v>363</v>
      </c>
      <c r="AH1" s="10" t="s">
        <v>364</v>
      </c>
      <c r="AI1" s="10" t="s">
        <v>365</v>
      </c>
      <c r="AJ1" s="10" t="s">
        <v>366</v>
      </c>
      <c r="AK1" s="10" t="s">
        <v>367</v>
      </c>
      <c r="AL1" s="10" t="s">
        <v>368</v>
      </c>
      <c r="AM1" s="10" t="s">
        <v>369</v>
      </c>
      <c r="AN1" s="10" t="s">
        <v>370</v>
      </c>
      <c r="AO1" s="10" t="s">
        <v>371</v>
      </c>
      <c r="AP1" s="10" t="s">
        <v>372</v>
      </c>
      <c r="AQ1" s="10" t="s">
        <v>373</v>
      </c>
      <c r="AR1" s="10" t="s">
        <v>374</v>
      </c>
      <c r="AS1" s="10" t="s">
        <v>375</v>
      </c>
      <c r="AT1" s="10" t="s">
        <v>376</v>
      </c>
      <c r="AU1" s="10" t="s">
        <v>377</v>
      </c>
      <c r="AV1" s="10" t="s">
        <v>163</v>
      </c>
      <c r="AW1" s="10" t="s">
        <v>378</v>
      </c>
      <c r="AX1" s="10" t="s">
        <v>379</v>
      </c>
      <c r="AY1" s="10" t="s">
        <v>380</v>
      </c>
      <c r="AZ1" s="10" t="s">
        <v>381</v>
      </c>
      <c r="BA1" s="10" t="s">
        <v>382</v>
      </c>
      <c r="BB1" s="10" t="s">
        <v>383</v>
      </c>
      <c r="BC1" s="10" t="s">
        <v>384</v>
      </c>
      <c r="BD1" s="10" t="s">
        <v>385</v>
      </c>
      <c r="BE1" t="s">
        <v>635</v>
      </c>
      <c r="BF1" s="10" t="s">
        <v>386</v>
      </c>
      <c r="BG1" s="10" t="s">
        <v>387</v>
      </c>
      <c r="BH1" s="10" t="s">
        <v>388</v>
      </c>
      <c r="BI1" s="10" t="s">
        <v>389</v>
      </c>
      <c r="BJ1" s="10" t="s">
        <v>390</v>
      </c>
      <c r="BK1" s="10" t="s">
        <v>391</v>
      </c>
      <c r="BL1" s="10" t="s">
        <v>392</v>
      </c>
      <c r="BM1" s="10" t="s">
        <v>393</v>
      </c>
      <c r="BN1" s="10" t="s">
        <v>394</v>
      </c>
      <c r="BO1" s="10" t="s">
        <v>395</v>
      </c>
      <c r="BP1" s="10" t="s">
        <v>396</v>
      </c>
      <c r="BQ1" s="10" t="s">
        <v>397</v>
      </c>
      <c r="BR1" s="10" t="s">
        <v>398</v>
      </c>
      <c r="BS1" s="10" t="s">
        <v>399</v>
      </c>
      <c r="BT1" s="10" t="s">
        <v>400</v>
      </c>
      <c r="BU1" s="10" t="s">
        <v>401</v>
      </c>
      <c r="BV1" s="10" t="s">
        <v>402</v>
      </c>
      <c r="BW1" s="10" t="s">
        <v>403</v>
      </c>
      <c r="BX1" s="10" t="s">
        <v>404</v>
      </c>
      <c r="BY1" s="10" t="s">
        <v>405</v>
      </c>
      <c r="BZ1" s="10" t="s">
        <v>406</v>
      </c>
      <c r="CA1" s="10" t="s">
        <v>407</v>
      </c>
      <c r="CB1" s="10" t="s">
        <v>408</v>
      </c>
      <c r="CC1" s="10" t="s">
        <v>409</v>
      </c>
      <c r="CD1" s="10" t="s">
        <v>410</v>
      </c>
      <c r="CE1" s="10" t="s">
        <v>411</v>
      </c>
      <c r="CF1" s="10" t="s">
        <v>412</v>
      </c>
      <c r="CG1" s="10" t="s">
        <v>413</v>
      </c>
      <c r="CH1" t="s">
        <v>638</v>
      </c>
      <c r="CI1" s="10" t="s">
        <v>414</v>
      </c>
      <c r="CJ1" s="10" t="s">
        <v>415</v>
      </c>
      <c r="CK1" t="s">
        <v>623</v>
      </c>
      <c r="CL1" s="10" t="s">
        <v>416</v>
      </c>
      <c r="CM1" s="10" t="s">
        <v>417</v>
      </c>
      <c r="CN1" s="10" t="s">
        <v>418</v>
      </c>
      <c r="CO1" s="10" t="s">
        <v>419</v>
      </c>
      <c r="CP1" s="10" t="s">
        <v>420</v>
      </c>
      <c r="CQ1" s="10" t="s">
        <v>421</v>
      </c>
      <c r="CR1" s="10" t="s">
        <v>422</v>
      </c>
      <c r="CS1" s="10" t="s">
        <v>423</v>
      </c>
      <c r="CT1" s="10" t="s">
        <v>424</v>
      </c>
      <c r="CU1" t="s">
        <v>211</v>
      </c>
    </row>
    <row r="2" spans="1:99" x14ac:dyDescent="0.35">
      <c r="A2" t="s">
        <v>642</v>
      </c>
      <c r="B2" s="22">
        <v>43830</v>
      </c>
      <c r="C2">
        <v>2019</v>
      </c>
      <c r="D2" t="s">
        <v>212</v>
      </c>
      <c r="E2" t="s">
        <v>213</v>
      </c>
      <c r="AL2" s="10">
        <v>239000</v>
      </c>
      <c r="BE2" s="41"/>
      <c r="CH2" s="41"/>
      <c r="CK2" s="41">
        <v>2019</v>
      </c>
      <c r="CR2" s="10"/>
      <c r="CS2" s="10"/>
      <c r="CT2" s="10"/>
      <c r="CU2" t="s">
        <v>643</v>
      </c>
    </row>
    <row r="3" spans="1:99" x14ac:dyDescent="0.35">
      <c r="A3" t="s">
        <v>642</v>
      </c>
      <c r="B3" s="22">
        <v>44196</v>
      </c>
      <c r="C3">
        <v>2020</v>
      </c>
      <c r="D3" t="s">
        <v>212</v>
      </c>
      <c r="E3" t="s">
        <v>213</v>
      </c>
      <c r="G3" s="10">
        <v>198037000</v>
      </c>
      <c r="H3" s="10">
        <v>-17597000</v>
      </c>
      <c r="I3" s="10">
        <v>2066000</v>
      </c>
      <c r="J3" s="10">
        <v>-25640000</v>
      </c>
      <c r="K3" s="10">
        <v>37013000</v>
      </c>
      <c r="L3" s="10">
        <v>-5830000</v>
      </c>
      <c r="M3" s="10">
        <v>870000</v>
      </c>
      <c r="N3" s="10">
        <v>13925000</v>
      </c>
      <c r="O3" s="10">
        <v>-674000</v>
      </c>
      <c r="P3" s="10">
        <v>3291000</v>
      </c>
      <c r="Q3" s="10">
        <v>1620000</v>
      </c>
      <c r="R3" s="10">
        <v>-5511000</v>
      </c>
      <c r="S3" s="10">
        <v>-4641000</v>
      </c>
      <c r="T3" s="10">
        <v>31000</v>
      </c>
      <c r="U3" s="10">
        <v>-7249000</v>
      </c>
      <c r="V3" s="10">
        <v>-31000</v>
      </c>
      <c r="W3" s="10">
        <v>-8177000</v>
      </c>
      <c r="X3" s="10">
        <v>13439000</v>
      </c>
      <c r="AA3" s="10">
        <v>-82000</v>
      </c>
      <c r="AB3" s="10">
        <v>-82000</v>
      </c>
      <c r="AC3" s="10">
        <v>18581000</v>
      </c>
      <c r="AD3" s="10">
        <v>18581000</v>
      </c>
      <c r="AF3" s="10">
        <v>486000</v>
      </c>
      <c r="AG3" s="10">
        <v>211962000</v>
      </c>
      <c r="AH3" s="10">
        <v>2066000</v>
      </c>
      <c r="AI3" s="10">
        <v>19416000</v>
      </c>
      <c r="AN3" s="10">
        <v>-25640000</v>
      </c>
      <c r="AS3" s="10">
        <v>0</v>
      </c>
      <c r="AV3" s="10">
        <v>-5829000</v>
      </c>
      <c r="AW3" s="10">
        <v>-5829000</v>
      </c>
      <c r="AX3" s="10">
        <v>-8206000</v>
      </c>
      <c r="BA3" s="10">
        <v>-350000</v>
      </c>
      <c r="BB3" s="10">
        <v>163000</v>
      </c>
      <c r="BC3" s="10">
        <v>-17342000</v>
      </c>
      <c r="BE3" s="41"/>
      <c r="BF3" s="10">
        <v>37013000</v>
      </c>
      <c r="BG3" s="10">
        <v>770000</v>
      </c>
      <c r="BI3" s="10">
        <v>1053000</v>
      </c>
      <c r="BK3" s="10">
        <v>2416000</v>
      </c>
      <c r="BL3" s="10">
        <v>0</v>
      </c>
      <c r="BM3" s="10">
        <v>-22751000</v>
      </c>
      <c r="BN3" s="10">
        <v>-17342000</v>
      </c>
      <c r="BR3" s="10">
        <v>14545000</v>
      </c>
      <c r="BT3" s="10">
        <v>8203000</v>
      </c>
      <c r="BZ3" s="10">
        <v>319000</v>
      </c>
      <c r="CA3" s="10">
        <v>7591000</v>
      </c>
      <c r="CB3" s="10">
        <v>319000</v>
      </c>
      <c r="CE3" s="10">
        <v>770000</v>
      </c>
      <c r="CH3" s="41"/>
      <c r="CK3" s="41">
        <v>2020</v>
      </c>
      <c r="CR3" s="10">
        <v>14348000</v>
      </c>
      <c r="CS3" s="10">
        <v>-255000</v>
      </c>
      <c r="CT3" s="10">
        <v>-255000</v>
      </c>
      <c r="CU3" t="s">
        <v>643</v>
      </c>
    </row>
    <row r="4" spans="1:99" x14ac:dyDescent="0.35">
      <c r="A4" t="s">
        <v>642</v>
      </c>
      <c r="B4" s="22">
        <v>44561</v>
      </c>
      <c r="C4">
        <v>2021</v>
      </c>
      <c r="D4" t="s">
        <v>212</v>
      </c>
      <c r="E4" t="s">
        <v>213</v>
      </c>
      <c r="F4" s="10">
        <v>0</v>
      </c>
      <c r="G4" s="10">
        <v>211962000</v>
      </c>
      <c r="H4" s="10">
        <v>-24067000</v>
      </c>
      <c r="I4" s="10">
        <v>15000000</v>
      </c>
      <c r="J4" s="10">
        <v>-14645000</v>
      </c>
      <c r="K4" s="10">
        <v>23633000</v>
      </c>
      <c r="L4" s="10">
        <v>-6476000</v>
      </c>
      <c r="M4" s="10">
        <v>10231000</v>
      </c>
      <c r="N4" s="10">
        <v>23562000</v>
      </c>
      <c r="O4" s="10">
        <v>-15991000</v>
      </c>
      <c r="P4" s="10">
        <v>16668000</v>
      </c>
      <c r="Q4" s="10">
        <v>945000</v>
      </c>
      <c r="R4" s="10">
        <v>-7617000</v>
      </c>
      <c r="S4" s="10">
        <v>2614000</v>
      </c>
      <c r="T4" s="10">
        <v>-8104000</v>
      </c>
      <c r="U4" s="10">
        <v>-5422000</v>
      </c>
      <c r="V4" s="10">
        <v>-20065000</v>
      </c>
      <c r="W4" s="10">
        <v>-6127000</v>
      </c>
      <c r="X4" s="10">
        <v>23988000</v>
      </c>
      <c r="AA4" s="10">
        <v>14444000</v>
      </c>
      <c r="AB4" s="10">
        <v>14444000</v>
      </c>
      <c r="AC4" s="10">
        <v>21628000</v>
      </c>
      <c r="AD4" s="10">
        <v>21628000</v>
      </c>
      <c r="AF4" s="10">
        <v>-426000</v>
      </c>
      <c r="AG4" s="10">
        <v>235524000</v>
      </c>
      <c r="AH4" s="10">
        <v>15000000</v>
      </c>
      <c r="AI4" s="10">
        <v>-434000</v>
      </c>
      <c r="AL4" s="10">
        <v>1544000</v>
      </c>
      <c r="AN4" s="10">
        <v>-14645000</v>
      </c>
      <c r="AS4" s="10">
        <v>0</v>
      </c>
      <c r="AV4" s="10">
        <v>-6333000</v>
      </c>
      <c r="AW4" s="10">
        <v>-6333000</v>
      </c>
      <c r="AX4" s="10">
        <v>9269000</v>
      </c>
      <c r="BA4" s="10">
        <v>-647000</v>
      </c>
      <c r="BB4" s="10">
        <v>153000</v>
      </c>
      <c r="BC4" s="10">
        <v>-23935000</v>
      </c>
      <c r="BE4" s="41"/>
      <c r="BF4" s="10">
        <v>23633000</v>
      </c>
      <c r="BG4" s="10">
        <v>1456000</v>
      </c>
      <c r="BI4" s="10">
        <v>-11596000</v>
      </c>
      <c r="BK4" s="10">
        <v>15647000</v>
      </c>
      <c r="BL4" s="10">
        <v>0</v>
      </c>
      <c r="BM4" s="10">
        <v>-9987000</v>
      </c>
      <c r="BN4" s="10">
        <v>-23935000</v>
      </c>
      <c r="BR4" s="10">
        <v>19256000</v>
      </c>
      <c r="BT4" s="10">
        <v>10943000</v>
      </c>
      <c r="BZ4" s="10">
        <v>-1141000</v>
      </c>
      <c r="CA4" s="10">
        <v>-10775000</v>
      </c>
      <c r="CB4" s="10">
        <v>-1141000</v>
      </c>
      <c r="CE4" s="10">
        <v>1456000</v>
      </c>
      <c r="CH4" s="41"/>
      <c r="CK4" s="41">
        <v>2021</v>
      </c>
      <c r="CR4" s="10">
        <v>13156000</v>
      </c>
      <c r="CS4" s="10">
        <v>-132000</v>
      </c>
      <c r="CT4" s="10">
        <v>-132000</v>
      </c>
      <c r="CU4" t="s">
        <v>643</v>
      </c>
    </row>
    <row r="5" spans="1:99" x14ac:dyDescent="0.35">
      <c r="A5" t="s">
        <v>642</v>
      </c>
      <c r="B5" s="22">
        <v>44926</v>
      </c>
      <c r="C5">
        <v>2022</v>
      </c>
      <c r="D5" t="s">
        <v>212</v>
      </c>
      <c r="E5" t="s">
        <v>213</v>
      </c>
      <c r="F5" s="10">
        <v>0</v>
      </c>
      <c r="G5" s="10">
        <v>235524000</v>
      </c>
      <c r="H5" s="10">
        <v>-21222000</v>
      </c>
      <c r="I5" s="10">
        <v>380000</v>
      </c>
      <c r="J5" s="10">
        <v>-10877000</v>
      </c>
      <c r="K5" s="10">
        <v>-37532000</v>
      </c>
      <c r="L5" s="10">
        <v>6759000</v>
      </c>
      <c r="M5" s="10">
        <v>-6106000</v>
      </c>
      <c r="N5" s="10">
        <v>-48510000</v>
      </c>
      <c r="O5" s="10">
        <v>3483000</v>
      </c>
      <c r="P5" s="10">
        <v>-3395000</v>
      </c>
      <c r="Q5" s="10">
        <v>5037000</v>
      </c>
      <c r="R5" s="10">
        <v>6677000</v>
      </c>
      <c r="S5" s="10">
        <v>571000</v>
      </c>
      <c r="T5" s="10">
        <v>6803000</v>
      </c>
      <c r="U5" s="10">
        <v>-51618000</v>
      </c>
      <c r="V5" s="10">
        <v>-44720000</v>
      </c>
      <c r="W5" s="10">
        <v>-51337000</v>
      </c>
      <c r="X5" s="10">
        <v>-48029000</v>
      </c>
      <c r="AA5" s="10">
        <v>0</v>
      </c>
      <c r="AB5" s="10">
        <v>0</v>
      </c>
      <c r="AC5" s="10">
        <v>23514000</v>
      </c>
      <c r="AD5" s="10">
        <v>23514000</v>
      </c>
      <c r="AF5" s="10">
        <v>-481000</v>
      </c>
      <c r="AG5" s="10">
        <v>187014000</v>
      </c>
      <c r="AH5" s="10">
        <v>380000</v>
      </c>
      <c r="AI5" s="10">
        <v>-58754000</v>
      </c>
      <c r="AL5" s="10">
        <v>499000</v>
      </c>
      <c r="AN5" s="10">
        <v>-10877000</v>
      </c>
      <c r="AS5" s="10">
        <v>0</v>
      </c>
      <c r="AV5" s="10">
        <v>-83772000</v>
      </c>
      <c r="AW5" s="10">
        <v>-83772000</v>
      </c>
      <c r="AX5" s="10">
        <v>10014000</v>
      </c>
      <c r="BA5" s="10">
        <v>-1355000</v>
      </c>
      <c r="BB5" s="10">
        <v>331000</v>
      </c>
      <c r="BC5" s="10">
        <v>-21222000</v>
      </c>
      <c r="BE5" s="41"/>
      <c r="BF5" s="10">
        <v>-37532000</v>
      </c>
      <c r="BG5" s="10">
        <v>55102000</v>
      </c>
      <c r="BI5" s="10">
        <v>-15386000</v>
      </c>
      <c r="BK5" s="10">
        <v>1735000</v>
      </c>
      <c r="BL5" s="10">
        <v>0</v>
      </c>
      <c r="BM5" s="10">
        <v>0</v>
      </c>
      <c r="BN5" s="10">
        <v>-21222000</v>
      </c>
      <c r="BR5" s="10">
        <v>10014000</v>
      </c>
      <c r="BT5" s="10">
        <v>12283000</v>
      </c>
      <c r="BZ5" s="10">
        <v>-82000</v>
      </c>
      <c r="CA5" s="10">
        <v>-5601000</v>
      </c>
      <c r="CB5" s="10">
        <v>-82000</v>
      </c>
      <c r="CE5" s="10">
        <v>55102000</v>
      </c>
      <c r="CH5" s="41"/>
      <c r="CK5" s="41">
        <v>2022</v>
      </c>
      <c r="CR5" s="10">
        <v>15447000</v>
      </c>
      <c r="CS5" s="10">
        <v>0</v>
      </c>
      <c r="CT5" s="10">
        <v>0</v>
      </c>
      <c r="CU5" t="s">
        <v>643</v>
      </c>
    </row>
    <row r="6" spans="1:99" x14ac:dyDescent="0.35">
      <c r="A6" t="s">
        <v>642</v>
      </c>
      <c r="B6" s="22">
        <v>45291</v>
      </c>
      <c r="C6">
        <v>2023</v>
      </c>
      <c r="D6" t="s">
        <v>212</v>
      </c>
      <c r="E6" t="s">
        <v>213</v>
      </c>
      <c r="F6" s="10">
        <v>32894000</v>
      </c>
      <c r="G6" s="10">
        <v>187014000</v>
      </c>
      <c r="H6" s="10">
        <v>-27011000</v>
      </c>
      <c r="I6" s="10">
        <v>960000</v>
      </c>
      <c r="J6" s="10">
        <v>-59315000</v>
      </c>
      <c r="K6" s="10">
        <v>-3234000</v>
      </c>
      <c r="L6" s="10">
        <v>-9177000</v>
      </c>
      <c r="M6" s="10">
        <v>-508000</v>
      </c>
      <c r="N6" s="10">
        <v>-61522000</v>
      </c>
      <c r="O6" s="10">
        <v>2303000</v>
      </c>
      <c r="P6" s="10">
        <v>-3456000</v>
      </c>
      <c r="Q6" s="10">
        <v>490000</v>
      </c>
      <c r="R6" s="10">
        <v>-9150000</v>
      </c>
      <c r="S6" s="10">
        <v>-9658000</v>
      </c>
      <c r="T6" s="10">
        <v>5583000</v>
      </c>
      <c r="U6" s="10">
        <v>11129000</v>
      </c>
      <c r="V6" s="10">
        <v>14269000</v>
      </c>
      <c r="W6" s="10">
        <v>10141000</v>
      </c>
      <c r="X6" s="10">
        <v>-61589000</v>
      </c>
      <c r="AA6" s="10">
        <v>-251000</v>
      </c>
      <c r="AB6" s="10">
        <v>-251000</v>
      </c>
      <c r="AC6" s="10">
        <v>18152000</v>
      </c>
      <c r="AD6" s="10">
        <v>18152000</v>
      </c>
      <c r="AF6" s="10">
        <v>67000</v>
      </c>
      <c r="AG6" s="10">
        <v>125492000</v>
      </c>
      <c r="AH6" s="10">
        <v>960000</v>
      </c>
      <c r="AI6" s="10">
        <v>-30245000</v>
      </c>
      <c r="AN6" s="10">
        <v>-59315000</v>
      </c>
      <c r="AS6" s="10">
        <v>-29633000</v>
      </c>
      <c r="AV6" s="10">
        <v>-102449000</v>
      </c>
      <c r="AW6" s="10">
        <v>-102449000</v>
      </c>
      <c r="AX6" s="10">
        <v>-2869000</v>
      </c>
      <c r="BA6" s="10">
        <v>-518000</v>
      </c>
      <c r="BB6" s="10">
        <v>198000</v>
      </c>
      <c r="BC6" s="10">
        <v>-26517000</v>
      </c>
      <c r="BE6" s="41"/>
      <c r="BF6" s="10">
        <v>-3234000</v>
      </c>
      <c r="BG6" s="10">
        <v>4424000</v>
      </c>
      <c r="BI6" s="10">
        <v>8879000</v>
      </c>
      <c r="BK6" s="10">
        <v>1478000</v>
      </c>
      <c r="BL6" s="10">
        <v>-29633000</v>
      </c>
      <c r="BM6" s="10">
        <v>-26869000</v>
      </c>
      <c r="BN6" s="10">
        <v>-26517000</v>
      </c>
      <c r="BR6" s="10">
        <v>24000000</v>
      </c>
      <c r="BT6" s="10">
        <v>7427000</v>
      </c>
      <c r="BZ6" s="10">
        <v>27000</v>
      </c>
      <c r="CA6" s="10">
        <v>7878000</v>
      </c>
      <c r="CB6" s="10">
        <v>27000</v>
      </c>
      <c r="CE6" s="10">
        <v>4424000</v>
      </c>
      <c r="CH6" s="41"/>
      <c r="CK6" s="41">
        <v>2023</v>
      </c>
      <c r="CR6" s="10">
        <v>13421000</v>
      </c>
      <c r="CS6" s="10">
        <v>-494000</v>
      </c>
      <c r="CT6" s="10">
        <v>-494000</v>
      </c>
      <c r="CU6" t="s">
        <v>643</v>
      </c>
    </row>
    <row r="7" spans="1:99" x14ac:dyDescent="0.35">
      <c r="A7" t="s">
        <v>642</v>
      </c>
      <c r="B7" s="22">
        <v>45473</v>
      </c>
      <c r="C7">
        <v>2024</v>
      </c>
      <c r="D7" t="s">
        <v>214</v>
      </c>
      <c r="E7" t="s">
        <v>213</v>
      </c>
      <c r="G7" s="10">
        <v>167687000</v>
      </c>
      <c r="H7" s="10">
        <v>-20692000</v>
      </c>
      <c r="I7" s="10">
        <v>518000</v>
      </c>
      <c r="J7" s="10">
        <v>-67485000</v>
      </c>
      <c r="K7" s="10">
        <v>977000</v>
      </c>
      <c r="L7" s="10">
        <v>-6071000</v>
      </c>
      <c r="M7" s="10">
        <v>2553000</v>
      </c>
      <c r="N7" s="10">
        <v>-66208000</v>
      </c>
      <c r="O7" s="10">
        <v>1429000</v>
      </c>
      <c r="P7" s="10">
        <v>-2519000</v>
      </c>
      <c r="Q7" s="10">
        <v>858000</v>
      </c>
      <c r="R7" s="10">
        <v>-6071000</v>
      </c>
      <c r="S7" s="10">
        <v>-3518000</v>
      </c>
      <c r="T7" s="10">
        <v>3193000</v>
      </c>
      <c r="U7" s="10">
        <v>5187000</v>
      </c>
      <c r="V7" s="10">
        <v>8634000</v>
      </c>
      <c r="W7" s="10">
        <v>4401000</v>
      </c>
      <c r="X7" s="10">
        <v>-65990000</v>
      </c>
      <c r="AA7" s="10">
        <v>-474000</v>
      </c>
      <c r="AB7" s="10">
        <v>-474000</v>
      </c>
      <c r="AC7" s="10">
        <v>20368000</v>
      </c>
      <c r="AD7" s="10">
        <v>20368000</v>
      </c>
      <c r="AF7" s="10">
        <v>-218000</v>
      </c>
      <c r="AG7" s="10">
        <v>101697000</v>
      </c>
      <c r="AH7" s="10">
        <v>518000</v>
      </c>
      <c r="AI7" s="10">
        <v>-19715000</v>
      </c>
      <c r="AN7" s="10">
        <v>-67485000</v>
      </c>
      <c r="AV7" s="10">
        <v>-92442000</v>
      </c>
      <c r="AW7" s="10">
        <v>-92442000</v>
      </c>
      <c r="AX7" s="10">
        <v>-17373000</v>
      </c>
      <c r="BA7" s="10">
        <v>-316000</v>
      </c>
      <c r="BB7" s="10">
        <v>213000</v>
      </c>
      <c r="BC7" s="10">
        <v>-18602000</v>
      </c>
      <c r="BE7" s="41"/>
      <c r="BF7" s="10">
        <v>977000</v>
      </c>
      <c r="BG7" s="10">
        <v>4421000</v>
      </c>
      <c r="BK7" s="10">
        <v>834000</v>
      </c>
      <c r="BM7" s="10">
        <v>-46373000</v>
      </c>
      <c r="BN7" s="10">
        <v>-18602000</v>
      </c>
      <c r="BR7" s="10">
        <v>29000000</v>
      </c>
      <c r="BT7" s="10">
        <v>4952000</v>
      </c>
      <c r="BZ7" s="10">
        <v>0</v>
      </c>
      <c r="CA7" s="10">
        <v>4004000</v>
      </c>
      <c r="CB7" s="10">
        <v>0</v>
      </c>
      <c r="CE7" s="10">
        <v>4421000</v>
      </c>
      <c r="CH7" s="41"/>
      <c r="CK7" s="41">
        <v>2024</v>
      </c>
      <c r="CR7" s="10">
        <v>12633000</v>
      </c>
      <c r="CS7" s="10">
        <v>-2090000</v>
      </c>
      <c r="CT7" s="10">
        <v>-2090000</v>
      </c>
      <c r="CU7" t="s">
        <v>643</v>
      </c>
    </row>
    <row r="8" spans="1:99" x14ac:dyDescent="0.35">
      <c r="A8" t="s">
        <v>644</v>
      </c>
      <c r="B8" s="22">
        <v>43830</v>
      </c>
      <c r="C8">
        <v>2019</v>
      </c>
      <c r="D8" t="s">
        <v>212</v>
      </c>
      <c r="E8" t="s">
        <v>213</v>
      </c>
      <c r="Q8" s="10">
        <v>-258000</v>
      </c>
      <c r="U8" s="10">
        <v>0</v>
      </c>
      <c r="AM8" s="10">
        <v>297000</v>
      </c>
      <c r="AP8" s="10">
        <v>15000000</v>
      </c>
      <c r="AQ8" s="10">
        <v>15000000</v>
      </c>
      <c r="AY8" s="10">
        <v>15000000</v>
      </c>
      <c r="AZ8" s="10">
        <v>15000000</v>
      </c>
      <c r="BA8" s="10">
        <v>-1770000</v>
      </c>
      <c r="BD8" s="10">
        <v>81676000</v>
      </c>
      <c r="BE8" s="41"/>
      <c r="BJ8" s="10">
        <v>82000000</v>
      </c>
      <c r="BP8" s="10">
        <v>-324000</v>
      </c>
      <c r="BZ8" s="10">
        <v>0</v>
      </c>
      <c r="CB8" s="10">
        <v>0</v>
      </c>
      <c r="CE8" s="10">
        <v>0</v>
      </c>
      <c r="CF8" s="10">
        <v>15000000</v>
      </c>
      <c r="CH8" s="41"/>
      <c r="CI8" s="10">
        <v>15000000</v>
      </c>
      <c r="CK8" s="41">
        <v>2019</v>
      </c>
      <c r="CQ8" s="10">
        <v>-324000</v>
      </c>
      <c r="CR8" s="10"/>
      <c r="CS8" s="10"/>
      <c r="CT8" s="10"/>
      <c r="CU8" t="s">
        <v>645</v>
      </c>
    </row>
    <row r="9" spans="1:99" x14ac:dyDescent="0.35">
      <c r="A9" t="s">
        <v>644</v>
      </c>
      <c r="B9" s="22">
        <v>44196</v>
      </c>
      <c r="C9">
        <v>2020</v>
      </c>
      <c r="D9" t="s">
        <v>212</v>
      </c>
      <c r="E9" t="s">
        <v>213</v>
      </c>
      <c r="G9" s="10">
        <v>35891000</v>
      </c>
      <c r="H9" s="10">
        <v>-17502000</v>
      </c>
      <c r="I9" s="10">
        <v>214781000</v>
      </c>
      <c r="J9" s="10">
        <v>58289000</v>
      </c>
      <c r="K9" s="10">
        <v>-67881000</v>
      </c>
      <c r="L9" s="10">
        <v>2198000</v>
      </c>
      <c r="M9" s="10">
        <v>2837000</v>
      </c>
      <c r="N9" s="10">
        <v>205189000</v>
      </c>
      <c r="O9" s="10">
        <v>-290000</v>
      </c>
      <c r="P9" s="10">
        <v>-2483000</v>
      </c>
      <c r="Q9" s="10">
        <v>-290000</v>
      </c>
      <c r="R9" s="10">
        <v>2198000</v>
      </c>
      <c r="S9" s="10">
        <v>5035000</v>
      </c>
      <c r="T9" s="10">
        <v>-252000</v>
      </c>
      <c r="U9" s="10">
        <v>35000</v>
      </c>
      <c r="V9" s="10">
        <v>2045000</v>
      </c>
      <c r="X9" s="10">
        <v>205189000</v>
      </c>
      <c r="Y9" s="10">
        <v>215691000</v>
      </c>
      <c r="AC9" s="10">
        <v>1025000</v>
      </c>
      <c r="AD9" s="10">
        <v>1025000</v>
      </c>
      <c r="AG9" s="10">
        <v>241080000</v>
      </c>
      <c r="AH9" s="10">
        <v>214781000</v>
      </c>
      <c r="AI9" s="10">
        <v>-85383000</v>
      </c>
      <c r="AL9" s="10">
        <v>0</v>
      </c>
      <c r="AM9" s="10">
        <v>0</v>
      </c>
      <c r="AN9" s="10">
        <v>58289000</v>
      </c>
      <c r="AO9" s="10">
        <v>215691000</v>
      </c>
      <c r="AP9" s="10">
        <v>0</v>
      </c>
      <c r="AQ9" s="10">
        <v>0</v>
      </c>
      <c r="AT9" s="10">
        <v>215691000</v>
      </c>
      <c r="AV9" s="10">
        <v>-81355000</v>
      </c>
      <c r="AW9" s="10">
        <v>-81355000</v>
      </c>
      <c r="AX9" s="10">
        <v>75791000</v>
      </c>
      <c r="AY9" s="10">
        <v>0</v>
      </c>
      <c r="AZ9" s="10">
        <v>0</v>
      </c>
      <c r="BA9" s="10">
        <v>-1731000</v>
      </c>
      <c r="BC9" s="10">
        <v>-17502000</v>
      </c>
      <c r="BD9" s="10">
        <v>0</v>
      </c>
      <c r="BE9" s="41">
        <v>-23000</v>
      </c>
      <c r="BF9" s="10">
        <v>-67881000</v>
      </c>
      <c r="BI9" s="10">
        <v>1973000</v>
      </c>
      <c r="BJ9" s="10">
        <v>0</v>
      </c>
      <c r="BK9" s="10">
        <v>821000</v>
      </c>
      <c r="BM9" s="10">
        <v>-207986000</v>
      </c>
      <c r="BN9" s="10">
        <v>-17502000</v>
      </c>
      <c r="BP9" s="10">
        <v>0</v>
      </c>
      <c r="BR9" s="10">
        <v>283777000</v>
      </c>
      <c r="BT9" s="10">
        <v>8454000</v>
      </c>
      <c r="BZ9" s="10">
        <v>0</v>
      </c>
      <c r="CB9" s="10">
        <v>0</v>
      </c>
      <c r="CD9" s="10">
        <v>1025000</v>
      </c>
      <c r="CE9" s="10">
        <v>0</v>
      </c>
      <c r="CF9" s="10">
        <v>0</v>
      </c>
      <c r="CH9" s="41"/>
      <c r="CI9" s="10">
        <v>0</v>
      </c>
      <c r="CK9" s="41">
        <v>2020</v>
      </c>
      <c r="CQ9" s="10">
        <v>0</v>
      </c>
      <c r="CR9" s="10"/>
      <c r="CS9" s="10"/>
      <c r="CT9" s="10"/>
      <c r="CU9" t="s">
        <v>645</v>
      </c>
    </row>
    <row r="10" spans="1:99" x14ac:dyDescent="0.35">
      <c r="A10" t="s">
        <v>644</v>
      </c>
      <c r="B10" s="22">
        <v>44561</v>
      </c>
      <c r="C10">
        <v>2021</v>
      </c>
      <c r="D10" t="s">
        <v>212</v>
      </c>
      <c r="E10" t="s">
        <v>213</v>
      </c>
      <c r="G10" s="10">
        <v>241080000</v>
      </c>
      <c r="H10" s="10">
        <v>-13244000</v>
      </c>
      <c r="I10" s="10">
        <v>2476000</v>
      </c>
      <c r="J10" s="10">
        <v>15461000</v>
      </c>
      <c r="K10" s="10">
        <v>-124982000</v>
      </c>
      <c r="L10" s="10">
        <v>652000</v>
      </c>
      <c r="M10" s="10">
        <v>12569000</v>
      </c>
      <c r="N10" s="10">
        <v>-107045000</v>
      </c>
      <c r="O10" s="10">
        <v>-488000</v>
      </c>
      <c r="P10" s="10">
        <v>-2988000</v>
      </c>
      <c r="R10" s="10">
        <v>652000</v>
      </c>
      <c r="S10" s="10">
        <v>13221000</v>
      </c>
      <c r="T10" s="10">
        <v>-3298000</v>
      </c>
      <c r="U10" s="10">
        <v>0</v>
      </c>
      <c r="V10" s="10">
        <v>6447000</v>
      </c>
      <c r="X10" s="10">
        <v>-107045000</v>
      </c>
      <c r="Y10" s="10">
        <v>0</v>
      </c>
      <c r="AC10" s="10">
        <v>4484000</v>
      </c>
      <c r="AD10" s="10">
        <v>4484000</v>
      </c>
      <c r="AG10" s="10">
        <v>134035000</v>
      </c>
      <c r="AH10" s="10">
        <v>2476000</v>
      </c>
      <c r="AI10" s="10">
        <v>-138226000</v>
      </c>
      <c r="AL10" s="10">
        <v>0</v>
      </c>
      <c r="AN10" s="10">
        <v>15461000</v>
      </c>
      <c r="AO10" s="10">
        <v>0</v>
      </c>
      <c r="AT10" s="10">
        <v>0</v>
      </c>
      <c r="AV10" s="10">
        <v>-165164000</v>
      </c>
      <c r="AW10" s="10">
        <v>-165164000</v>
      </c>
      <c r="AX10" s="10">
        <v>28705000</v>
      </c>
      <c r="BA10" s="10">
        <v>-1555000</v>
      </c>
      <c r="BC10" s="10">
        <v>-13244000</v>
      </c>
      <c r="BE10" s="41">
        <v>624000</v>
      </c>
      <c r="BF10" s="10">
        <v>-124982000</v>
      </c>
      <c r="BG10" s="10">
        <v>157000</v>
      </c>
      <c r="BI10" s="10">
        <v>2754000</v>
      </c>
      <c r="BK10" s="10">
        <v>4031000</v>
      </c>
      <c r="BM10" s="10">
        <v>-128705000</v>
      </c>
      <c r="BN10" s="10">
        <v>-13244000</v>
      </c>
      <c r="BR10" s="10">
        <v>157410000</v>
      </c>
      <c r="BT10" s="10">
        <v>25873000</v>
      </c>
      <c r="CD10" s="10">
        <v>4484000</v>
      </c>
      <c r="CE10" s="10">
        <v>157000</v>
      </c>
      <c r="CH10" s="41"/>
      <c r="CK10" s="41">
        <v>2021</v>
      </c>
      <c r="CR10" s="10"/>
      <c r="CS10" s="10"/>
      <c r="CT10" s="10"/>
      <c r="CU10" t="s">
        <v>645</v>
      </c>
    </row>
    <row r="11" spans="1:99" x14ac:dyDescent="0.35">
      <c r="A11" t="s">
        <v>644</v>
      </c>
      <c r="B11" s="22">
        <v>44926</v>
      </c>
      <c r="C11">
        <v>2022</v>
      </c>
      <c r="D11" t="s">
        <v>212</v>
      </c>
      <c r="E11" t="s">
        <v>213</v>
      </c>
      <c r="G11" s="10">
        <v>134035000</v>
      </c>
      <c r="H11" s="10">
        <v>-10206000</v>
      </c>
      <c r="I11" s="10">
        <v>219382000</v>
      </c>
      <c r="J11" s="10">
        <v>-225644000</v>
      </c>
      <c r="K11" s="10">
        <v>-5853000</v>
      </c>
      <c r="L11" s="10">
        <v>-3002000</v>
      </c>
      <c r="M11" s="10">
        <v>13705000</v>
      </c>
      <c r="N11" s="10">
        <v>-12115000</v>
      </c>
      <c r="O11" s="10">
        <v>-967000</v>
      </c>
      <c r="P11" s="10">
        <v>-3856000</v>
      </c>
      <c r="Q11" s="10">
        <v>148931000</v>
      </c>
      <c r="R11" s="10">
        <v>-3002000</v>
      </c>
      <c r="S11" s="10">
        <v>10703000</v>
      </c>
      <c r="T11" s="10">
        <v>359000</v>
      </c>
      <c r="U11" s="10">
        <v>0</v>
      </c>
      <c r="V11" s="10">
        <v>155170000</v>
      </c>
      <c r="X11" s="10">
        <v>-12115000</v>
      </c>
      <c r="Y11" s="10">
        <v>217987000</v>
      </c>
      <c r="AC11" s="10">
        <v>6075000</v>
      </c>
      <c r="AD11" s="10">
        <v>6075000</v>
      </c>
      <c r="AG11" s="10">
        <v>121920000</v>
      </c>
      <c r="AH11" s="10">
        <v>219382000</v>
      </c>
      <c r="AI11" s="10">
        <v>-16059000</v>
      </c>
      <c r="AL11" s="10">
        <v>0</v>
      </c>
      <c r="AN11" s="10">
        <v>-225644000</v>
      </c>
      <c r="AO11" s="10">
        <v>217987000</v>
      </c>
      <c r="AT11" s="10">
        <v>217987000</v>
      </c>
      <c r="AV11" s="10">
        <v>-221102000</v>
      </c>
      <c r="AW11" s="10">
        <v>-221102000</v>
      </c>
      <c r="AX11" s="10">
        <v>-215438000</v>
      </c>
      <c r="BC11" s="10">
        <v>-10206000</v>
      </c>
      <c r="BE11" s="41">
        <v>-2713000</v>
      </c>
      <c r="BF11" s="10">
        <v>-5853000</v>
      </c>
      <c r="BG11" s="10">
        <v>112000</v>
      </c>
      <c r="BI11" s="10">
        <v>12007000</v>
      </c>
      <c r="BK11" s="10">
        <v>1395000</v>
      </c>
      <c r="BM11" s="10">
        <v>-540022000</v>
      </c>
      <c r="BN11" s="10">
        <v>-10206000</v>
      </c>
      <c r="BR11" s="10">
        <v>324584000</v>
      </c>
      <c r="BT11" s="10">
        <v>44710000</v>
      </c>
      <c r="CD11" s="10">
        <v>6075000</v>
      </c>
      <c r="CE11" s="10">
        <v>112000</v>
      </c>
      <c r="CH11" s="41"/>
      <c r="CK11" s="41">
        <v>2022</v>
      </c>
      <c r="CR11" s="10"/>
      <c r="CS11" s="10"/>
      <c r="CT11" s="10"/>
      <c r="CU11" t="s">
        <v>645</v>
      </c>
    </row>
    <row r="12" spans="1:99" x14ac:dyDescent="0.35">
      <c r="A12" t="s">
        <v>644</v>
      </c>
      <c r="B12" s="22">
        <v>45291</v>
      </c>
      <c r="C12">
        <v>2023</v>
      </c>
      <c r="D12" t="s">
        <v>212</v>
      </c>
      <c r="E12" t="s">
        <v>213</v>
      </c>
      <c r="G12" s="10">
        <v>121920000</v>
      </c>
      <c r="H12" s="10">
        <v>-12381000</v>
      </c>
      <c r="I12" s="10">
        <v>115068000</v>
      </c>
      <c r="J12" s="10">
        <v>68355000</v>
      </c>
      <c r="K12" s="10">
        <v>-192231000</v>
      </c>
      <c r="L12" s="10">
        <v>-992000</v>
      </c>
      <c r="M12" s="10">
        <v>-3214000</v>
      </c>
      <c r="N12" s="10">
        <v>-8808000</v>
      </c>
      <c r="O12" s="10">
        <v>194000</v>
      </c>
      <c r="P12" s="10">
        <v>-2262000</v>
      </c>
      <c r="Q12" s="10">
        <v>-2130000</v>
      </c>
      <c r="R12" s="10">
        <v>-992000</v>
      </c>
      <c r="S12" s="10">
        <v>-4206000</v>
      </c>
      <c r="T12" s="10">
        <v>1711000</v>
      </c>
      <c r="V12" s="10">
        <v>-6693000</v>
      </c>
      <c r="X12" s="10">
        <v>-8808000</v>
      </c>
      <c r="Y12" s="10">
        <v>113564000</v>
      </c>
      <c r="AC12" s="10">
        <v>8277000</v>
      </c>
      <c r="AD12" s="10">
        <v>8277000</v>
      </c>
      <c r="AG12" s="10">
        <v>113112000</v>
      </c>
      <c r="AH12" s="10">
        <v>115068000</v>
      </c>
      <c r="AI12" s="10">
        <v>-204612000</v>
      </c>
      <c r="AL12" s="10">
        <v>625000</v>
      </c>
      <c r="AN12" s="10">
        <v>68355000</v>
      </c>
      <c r="AO12" s="10">
        <v>113564000</v>
      </c>
      <c r="AT12" s="10">
        <v>113564000</v>
      </c>
      <c r="AV12" s="10">
        <v>-246416000</v>
      </c>
      <c r="AW12" s="10">
        <v>-246416000</v>
      </c>
      <c r="AX12" s="10">
        <v>80736000</v>
      </c>
      <c r="BC12" s="10">
        <v>-12381000</v>
      </c>
      <c r="BE12" s="41">
        <v>-9140000</v>
      </c>
      <c r="BF12" s="10">
        <v>-192231000</v>
      </c>
      <c r="BI12" s="10">
        <v>15194000</v>
      </c>
      <c r="BK12" s="10">
        <v>1504000</v>
      </c>
      <c r="BM12" s="10">
        <v>-365039000</v>
      </c>
      <c r="BN12" s="10">
        <v>-12381000</v>
      </c>
      <c r="BR12" s="10">
        <v>445775000</v>
      </c>
      <c r="BT12" s="10">
        <v>46547000</v>
      </c>
      <c r="CD12" s="10">
        <v>8277000</v>
      </c>
      <c r="CH12" s="41"/>
      <c r="CK12" s="41">
        <v>2023</v>
      </c>
      <c r="CR12" s="10"/>
      <c r="CS12" s="10"/>
      <c r="CT12" s="10"/>
      <c r="CU12" t="s">
        <v>645</v>
      </c>
    </row>
    <row r="13" spans="1:99" x14ac:dyDescent="0.35">
      <c r="A13" t="s">
        <v>644</v>
      </c>
      <c r="B13" s="22">
        <v>45473</v>
      </c>
      <c r="C13">
        <v>2024</v>
      </c>
      <c r="D13" t="s">
        <v>214</v>
      </c>
      <c r="E13" t="s">
        <v>213</v>
      </c>
      <c r="G13" s="10">
        <v>151344000</v>
      </c>
      <c r="H13" s="10">
        <v>-8229000</v>
      </c>
      <c r="I13" s="10">
        <v>45808000</v>
      </c>
      <c r="J13" s="10">
        <v>38031000</v>
      </c>
      <c r="K13" s="10">
        <v>-167920000</v>
      </c>
      <c r="L13" s="10">
        <v>-146000</v>
      </c>
      <c r="M13" s="10">
        <v>-970000</v>
      </c>
      <c r="N13" s="10">
        <v>-84081000</v>
      </c>
      <c r="O13" s="10">
        <v>688000</v>
      </c>
      <c r="P13" s="10">
        <v>-2267000</v>
      </c>
      <c r="Q13" s="10">
        <v>-2911000</v>
      </c>
      <c r="R13" s="10">
        <v>-146000</v>
      </c>
      <c r="S13" s="10">
        <v>-1116000</v>
      </c>
      <c r="T13" s="10">
        <v>5826000</v>
      </c>
      <c r="V13" s="10">
        <v>220000</v>
      </c>
      <c r="X13" s="10">
        <v>-84081000</v>
      </c>
      <c r="Y13" s="10">
        <v>44617000</v>
      </c>
      <c r="AC13" s="10">
        <v>8892000</v>
      </c>
      <c r="AD13" s="10">
        <v>8892000</v>
      </c>
      <c r="AG13" s="10">
        <v>67263000</v>
      </c>
      <c r="AH13" s="10">
        <v>45808000</v>
      </c>
      <c r="AI13" s="10">
        <v>-176149000</v>
      </c>
      <c r="AN13" s="10">
        <v>38031000</v>
      </c>
      <c r="AO13" s="10">
        <v>44617000</v>
      </c>
      <c r="AT13" s="10">
        <v>44617000</v>
      </c>
      <c r="AV13" s="10">
        <v>-220402000</v>
      </c>
      <c r="AW13" s="10">
        <v>-220402000</v>
      </c>
      <c r="AX13" s="10">
        <v>46228000</v>
      </c>
      <c r="BC13" s="10">
        <v>-8197000</v>
      </c>
      <c r="BE13" s="41">
        <v>-8447000</v>
      </c>
      <c r="BF13" s="10">
        <v>-167920000</v>
      </c>
      <c r="BI13" s="10">
        <v>14276000</v>
      </c>
      <c r="BK13" s="10">
        <v>1263000</v>
      </c>
      <c r="BM13" s="10">
        <v>-316375000</v>
      </c>
      <c r="BN13" s="10">
        <v>-8229000</v>
      </c>
      <c r="BR13" s="10">
        <v>362603000</v>
      </c>
      <c r="BT13" s="10">
        <v>37541000</v>
      </c>
      <c r="CD13" s="10">
        <v>8892000</v>
      </c>
      <c r="CH13" s="41"/>
      <c r="CK13" s="41">
        <v>2024</v>
      </c>
      <c r="CR13" s="10"/>
      <c r="CS13" s="10"/>
      <c r="CT13" s="10"/>
      <c r="CU13" t="s">
        <v>645</v>
      </c>
    </row>
    <row r="14" spans="1:99" x14ac:dyDescent="0.35">
      <c r="A14" t="s">
        <v>646</v>
      </c>
      <c r="B14" s="22">
        <v>43830</v>
      </c>
      <c r="C14">
        <v>2019</v>
      </c>
      <c r="D14" t="s">
        <v>212</v>
      </c>
      <c r="E14" t="s">
        <v>213</v>
      </c>
      <c r="AO14" s="10">
        <v>169804000</v>
      </c>
      <c r="AS14" s="10">
        <v>-5185000</v>
      </c>
      <c r="BD14" s="10">
        <v>169804000</v>
      </c>
      <c r="BE14" s="41"/>
      <c r="BJ14" s="10">
        <v>169804000</v>
      </c>
      <c r="BL14" s="10">
        <v>-5185000</v>
      </c>
      <c r="CH14" s="41"/>
      <c r="CK14" s="41">
        <v>2019</v>
      </c>
      <c r="CR14" s="10"/>
      <c r="CS14" s="10"/>
      <c r="CT14" s="10"/>
      <c r="CU14" t="s">
        <v>647</v>
      </c>
    </row>
    <row r="15" spans="1:99" x14ac:dyDescent="0.35">
      <c r="A15" t="s">
        <v>646</v>
      </c>
      <c r="B15" s="22">
        <v>44196</v>
      </c>
      <c r="C15">
        <v>2020</v>
      </c>
      <c r="D15" t="s">
        <v>212</v>
      </c>
      <c r="E15" t="s">
        <v>213</v>
      </c>
      <c r="F15" s="10">
        <v>291000</v>
      </c>
      <c r="G15" s="10">
        <v>83984000</v>
      </c>
      <c r="H15" s="10">
        <v>-5023000</v>
      </c>
      <c r="I15" s="10">
        <v>6367000</v>
      </c>
      <c r="J15" s="10">
        <v>36792000</v>
      </c>
      <c r="K15" s="10">
        <v>-41604000</v>
      </c>
      <c r="L15" s="10">
        <v>15000</v>
      </c>
      <c r="M15" s="10">
        <v>7689000</v>
      </c>
      <c r="N15" s="10">
        <v>759000</v>
      </c>
      <c r="O15" s="10">
        <v>4960000</v>
      </c>
      <c r="P15" s="10">
        <v>-4529000</v>
      </c>
      <c r="R15" s="10">
        <v>15000</v>
      </c>
      <c r="S15" s="10">
        <v>7704000</v>
      </c>
      <c r="T15" s="10">
        <v>2472000</v>
      </c>
      <c r="U15" s="10">
        <v>-3173000</v>
      </c>
      <c r="V15" s="10">
        <v>7434000</v>
      </c>
      <c r="W15" s="10">
        <v>-3173000</v>
      </c>
      <c r="X15" s="10">
        <v>1555000</v>
      </c>
      <c r="Z15" s="10">
        <v>0</v>
      </c>
      <c r="AC15" s="10">
        <v>3058000</v>
      </c>
      <c r="AD15" s="10">
        <v>3058000</v>
      </c>
      <c r="AF15" s="10">
        <v>-796000</v>
      </c>
      <c r="AG15" s="10">
        <v>84743000</v>
      </c>
      <c r="AH15" s="10">
        <v>6367000</v>
      </c>
      <c r="AI15" s="10">
        <v>-46627000</v>
      </c>
      <c r="AL15" s="10">
        <v>30000</v>
      </c>
      <c r="AN15" s="10">
        <v>36792000</v>
      </c>
      <c r="AO15" s="10">
        <v>0</v>
      </c>
      <c r="AS15" s="10">
        <v>0</v>
      </c>
      <c r="AT15" s="10">
        <v>0</v>
      </c>
      <c r="AV15" s="10">
        <v>-75234000</v>
      </c>
      <c r="AW15" s="10">
        <v>-75234000</v>
      </c>
      <c r="AX15" s="10">
        <v>41815000</v>
      </c>
      <c r="BC15" s="10">
        <v>-5023000</v>
      </c>
      <c r="BD15" s="10">
        <v>0</v>
      </c>
      <c r="BE15" s="41"/>
      <c r="BF15" s="10">
        <v>-41604000</v>
      </c>
      <c r="BI15" s="10">
        <v>239000</v>
      </c>
      <c r="BJ15" s="10">
        <v>0</v>
      </c>
      <c r="BK15" s="10">
        <v>6367000</v>
      </c>
      <c r="BL15" s="10">
        <v>0</v>
      </c>
      <c r="BM15" s="10">
        <v>-77600000</v>
      </c>
      <c r="BN15" s="10">
        <v>-5023000</v>
      </c>
      <c r="BP15" s="10">
        <v>0</v>
      </c>
      <c r="BR15" s="10">
        <v>119415000</v>
      </c>
      <c r="BT15" s="10">
        <v>22608000</v>
      </c>
      <c r="CH15" s="41"/>
      <c r="CK15" s="41">
        <v>2020</v>
      </c>
      <c r="CR15" s="10"/>
      <c r="CS15" s="10"/>
      <c r="CT15" s="10"/>
      <c r="CU15" t="s">
        <v>647</v>
      </c>
    </row>
    <row r="16" spans="1:99" x14ac:dyDescent="0.35">
      <c r="A16" t="s">
        <v>646</v>
      </c>
      <c r="B16" s="22">
        <v>44561</v>
      </c>
      <c r="C16">
        <v>2021</v>
      </c>
      <c r="D16" t="s">
        <v>212</v>
      </c>
      <c r="E16" t="s">
        <v>213</v>
      </c>
      <c r="F16" s="10">
        <v>317000</v>
      </c>
      <c r="G16" s="10">
        <v>84743000</v>
      </c>
      <c r="H16" s="10">
        <v>-8846000</v>
      </c>
      <c r="I16" s="10">
        <v>637576000</v>
      </c>
      <c r="J16" s="10">
        <v>-149522000</v>
      </c>
      <c r="K16" s="10">
        <v>-51268000</v>
      </c>
      <c r="L16" s="10">
        <v>2759000</v>
      </c>
      <c r="M16" s="10">
        <v>420000</v>
      </c>
      <c r="N16" s="10">
        <v>437069000</v>
      </c>
      <c r="O16" s="10">
        <v>6605000</v>
      </c>
      <c r="P16" s="10">
        <v>-5844000</v>
      </c>
      <c r="R16" s="10">
        <v>2759000</v>
      </c>
      <c r="S16" s="10">
        <v>3179000</v>
      </c>
      <c r="T16" s="10">
        <v>-3717000</v>
      </c>
      <c r="U16" s="10">
        <v>-8172000</v>
      </c>
      <c r="V16" s="10">
        <v>-7949000</v>
      </c>
      <c r="W16" s="10">
        <v>-8172000</v>
      </c>
      <c r="X16" s="10">
        <v>436786000</v>
      </c>
      <c r="Z16" s="10">
        <v>0</v>
      </c>
      <c r="AC16" s="10">
        <v>4172000</v>
      </c>
      <c r="AD16" s="10">
        <v>4172000</v>
      </c>
      <c r="AF16" s="10">
        <v>283000</v>
      </c>
      <c r="AG16" s="10">
        <v>521812000</v>
      </c>
      <c r="AH16" s="10">
        <v>637576000</v>
      </c>
      <c r="AI16" s="10">
        <v>-60114000</v>
      </c>
      <c r="AL16" s="10">
        <v>313000</v>
      </c>
      <c r="AN16" s="10">
        <v>-149522000</v>
      </c>
      <c r="AT16" s="10">
        <v>0</v>
      </c>
      <c r="AV16" s="10">
        <v>-95325000</v>
      </c>
      <c r="AW16" s="10">
        <v>-95325000</v>
      </c>
      <c r="AX16" s="10">
        <v>-140676000</v>
      </c>
      <c r="BA16" s="10">
        <v>622242000</v>
      </c>
      <c r="BC16" s="10">
        <v>-8846000</v>
      </c>
      <c r="BE16" s="41">
        <v>340000</v>
      </c>
      <c r="BF16" s="10">
        <v>-51268000</v>
      </c>
      <c r="BI16" s="10">
        <v>-337000</v>
      </c>
      <c r="BK16" s="10">
        <v>15334000</v>
      </c>
      <c r="BM16" s="10">
        <v>-199832000</v>
      </c>
      <c r="BN16" s="10">
        <v>-8846000</v>
      </c>
      <c r="BP16" s="10">
        <v>0</v>
      </c>
      <c r="BR16" s="10">
        <v>59156000</v>
      </c>
      <c r="BT16" s="10">
        <v>47514000</v>
      </c>
      <c r="CH16" s="41"/>
      <c r="CK16" s="41">
        <v>2021</v>
      </c>
      <c r="CR16" s="10"/>
      <c r="CS16" s="10"/>
      <c r="CT16" s="10"/>
      <c r="CU16" t="s">
        <v>647</v>
      </c>
    </row>
    <row r="17" spans="1:99" x14ac:dyDescent="0.35">
      <c r="A17" t="s">
        <v>646</v>
      </c>
      <c r="B17" s="22">
        <v>44926</v>
      </c>
      <c r="C17">
        <v>2022</v>
      </c>
      <c r="D17" t="s">
        <v>212</v>
      </c>
      <c r="E17" t="s">
        <v>213</v>
      </c>
      <c r="F17" s="10">
        <v>71000</v>
      </c>
      <c r="G17" s="10">
        <v>521812000</v>
      </c>
      <c r="H17" s="10">
        <v>-3161000</v>
      </c>
      <c r="I17" s="10">
        <v>-64348000</v>
      </c>
      <c r="J17" s="10">
        <v>-342448000</v>
      </c>
      <c r="K17" s="10">
        <v>-60503000</v>
      </c>
      <c r="L17" s="10">
        <v>-1578000</v>
      </c>
      <c r="M17" s="10">
        <v>7697000</v>
      </c>
      <c r="N17" s="10">
        <v>-466576000</v>
      </c>
      <c r="O17" s="10">
        <v>6867000</v>
      </c>
      <c r="P17" s="10">
        <v>-7132000</v>
      </c>
      <c r="R17" s="10">
        <v>-1578000</v>
      </c>
      <c r="S17" s="10">
        <v>6119000</v>
      </c>
      <c r="T17" s="10">
        <v>3751000</v>
      </c>
      <c r="U17" s="10">
        <v>-168000</v>
      </c>
      <c r="V17" s="10">
        <v>9437000</v>
      </c>
      <c r="W17" s="10">
        <v>-168000</v>
      </c>
      <c r="X17" s="10">
        <v>-467299000</v>
      </c>
      <c r="Z17" s="10">
        <v>-77232000</v>
      </c>
      <c r="AC17" s="10">
        <v>5656000</v>
      </c>
      <c r="AD17" s="10">
        <v>5656000</v>
      </c>
      <c r="AF17" s="10">
        <v>723000</v>
      </c>
      <c r="AG17" s="10">
        <v>55236000</v>
      </c>
      <c r="AH17" s="10">
        <v>-64348000</v>
      </c>
      <c r="AI17" s="10">
        <v>-63664000</v>
      </c>
      <c r="AL17" s="10">
        <v>1201000</v>
      </c>
      <c r="AN17" s="10">
        <v>-342448000</v>
      </c>
      <c r="AT17" s="10">
        <v>-77232000</v>
      </c>
      <c r="AV17" s="10">
        <v>-137916000</v>
      </c>
      <c r="AW17" s="10">
        <v>-137916000</v>
      </c>
      <c r="AX17" s="10">
        <v>-334287000</v>
      </c>
      <c r="BA17" s="10">
        <v>-1009000</v>
      </c>
      <c r="BB17" s="10">
        <v>-5000000</v>
      </c>
      <c r="BC17" s="10">
        <v>-3161000</v>
      </c>
      <c r="BE17" s="41">
        <v>151000</v>
      </c>
      <c r="BF17" s="10">
        <v>-60503000</v>
      </c>
      <c r="BI17" s="10">
        <v>-2322000</v>
      </c>
      <c r="BK17" s="10">
        <v>13893000</v>
      </c>
      <c r="BM17" s="10">
        <v>-711887000</v>
      </c>
      <c r="BN17" s="10">
        <v>-3161000</v>
      </c>
      <c r="BP17" s="10">
        <v>-77232000</v>
      </c>
      <c r="BR17" s="10">
        <v>377600000</v>
      </c>
      <c r="BT17" s="10">
        <v>64420000</v>
      </c>
      <c r="CH17" s="41"/>
      <c r="CK17" s="41">
        <v>2022</v>
      </c>
      <c r="CR17" s="10"/>
      <c r="CS17" s="10"/>
      <c r="CT17" s="10"/>
      <c r="CU17" t="s">
        <v>647</v>
      </c>
    </row>
    <row r="18" spans="1:99" x14ac:dyDescent="0.35">
      <c r="A18" t="s">
        <v>646</v>
      </c>
      <c r="B18" s="22">
        <v>45291</v>
      </c>
      <c r="C18">
        <v>2023</v>
      </c>
      <c r="D18" t="s">
        <v>212</v>
      </c>
      <c r="E18" t="s">
        <v>213</v>
      </c>
      <c r="F18" s="10">
        <v>46000</v>
      </c>
      <c r="G18" s="10">
        <v>55236000</v>
      </c>
      <c r="H18" s="10">
        <v>-267000</v>
      </c>
      <c r="I18" s="10">
        <v>8916000</v>
      </c>
      <c r="J18" s="10">
        <v>66490000</v>
      </c>
      <c r="K18" s="10">
        <v>-59273000</v>
      </c>
      <c r="L18" s="10">
        <v>-2640000</v>
      </c>
      <c r="M18" s="10">
        <v>5338000</v>
      </c>
      <c r="N18" s="10">
        <v>16168000</v>
      </c>
      <c r="O18" s="10">
        <v>4694000</v>
      </c>
      <c r="P18" s="10">
        <v>-5676000</v>
      </c>
      <c r="R18" s="10">
        <v>-2640000</v>
      </c>
      <c r="S18" s="10">
        <v>2698000</v>
      </c>
      <c r="T18" s="10">
        <v>3399000</v>
      </c>
      <c r="U18" s="10">
        <v>3491000</v>
      </c>
      <c r="V18" s="10">
        <v>8606000</v>
      </c>
      <c r="W18" s="10">
        <v>3491000</v>
      </c>
      <c r="X18" s="10">
        <v>16133000</v>
      </c>
      <c r="Z18" s="10">
        <v>0</v>
      </c>
      <c r="AC18" s="10">
        <v>5769000</v>
      </c>
      <c r="AD18" s="10">
        <v>5769000</v>
      </c>
      <c r="AF18" s="10">
        <v>35000</v>
      </c>
      <c r="AG18" s="10">
        <v>71404000</v>
      </c>
      <c r="AH18" s="10">
        <v>8916000</v>
      </c>
      <c r="AI18" s="10">
        <v>-59540000</v>
      </c>
      <c r="AL18" s="10">
        <v>2407000</v>
      </c>
      <c r="AN18" s="10">
        <v>66490000</v>
      </c>
      <c r="AT18" s="10">
        <v>0</v>
      </c>
      <c r="AV18" s="10">
        <v>-147765000</v>
      </c>
      <c r="AW18" s="10">
        <v>-147765000</v>
      </c>
      <c r="AX18" s="10">
        <v>69257000</v>
      </c>
      <c r="BA18" s="10">
        <v>-273000</v>
      </c>
      <c r="BB18" s="10">
        <v>-2500000</v>
      </c>
      <c r="BC18" s="10">
        <v>-267000</v>
      </c>
      <c r="BE18" s="41">
        <v>-8607000</v>
      </c>
      <c r="BF18" s="10">
        <v>-59273000</v>
      </c>
      <c r="BI18" s="10">
        <v>-347000</v>
      </c>
      <c r="BK18" s="10">
        <v>9189000</v>
      </c>
      <c r="BM18" s="10">
        <v>-590610000</v>
      </c>
      <c r="BN18" s="10">
        <v>-267000</v>
      </c>
      <c r="BP18" s="10">
        <v>0</v>
      </c>
      <c r="BR18" s="10">
        <v>659867000</v>
      </c>
      <c r="BT18" s="10">
        <v>83025000</v>
      </c>
      <c r="CH18" s="41"/>
      <c r="CK18" s="41">
        <v>2023</v>
      </c>
      <c r="CR18" s="10"/>
      <c r="CS18" s="10"/>
      <c r="CT18" s="10"/>
      <c r="CU18" t="s">
        <v>647</v>
      </c>
    </row>
    <row r="19" spans="1:99" x14ac:dyDescent="0.35">
      <c r="A19" t="s">
        <v>646</v>
      </c>
      <c r="B19" s="22">
        <v>45473</v>
      </c>
      <c r="C19">
        <v>2024</v>
      </c>
      <c r="D19" t="s">
        <v>214</v>
      </c>
      <c r="E19" t="s">
        <v>213</v>
      </c>
      <c r="F19" s="10">
        <v>22806000</v>
      </c>
      <c r="G19" s="10">
        <v>85494000</v>
      </c>
      <c r="H19" s="10">
        <v>-249000</v>
      </c>
      <c r="I19" s="10">
        <v>-44466000</v>
      </c>
      <c r="J19" s="10">
        <v>75264000</v>
      </c>
      <c r="K19" s="10">
        <v>-52211000</v>
      </c>
      <c r="L19" s="10">
        <v>-3142000</v>
      </c>
      <c r="M19" s="10">
        <v>-3290000</v>
      </c>
      <c r="N19" s="10">
        <v>-21363000</v>
      </c>
      <c r="O19" s="10">
        <v>4665000</v>
      </c>
      <c r="P19" s="10">
        <v>-5837000</v>
      </c>
      <c r="R19" s="10">
        <v>-3142000</v>
      </c>
      <c r="S19" s="10">
        <v>-6432000</v>
      </c>
      <c r="T19" s="10">
        <v>2593000</v>
      </c>
      <c r="U19" s="10">
        <v>244000</v>
      </c>
      <c r="V19" s="10">
        <v>-4767000</v>
      </c>
      <c r="W19" s="10">
        <v>244000</v>
      </c>
      <c r="X19" s="10">
        <v>-21413000</v>
      </c>
      <c r="Z19" s="10">
        <v>-53484000</v>
      </c>
      <c r="AC19" s="10">
        <v>5394000</v>
      </c>
      <c r="AD19" s="10">
        <v>5394000</v>
      </c>
      <c r="AF19" s="10">
        <v>50000</v>
      </c>
      <c r="AG19" s="10">
        <v>64081000</v>
      </c>
      <c r="AH19" s="10">
        <v>-44466000</v>
      </c>
      <c r="AI19" s="10">
        <v>-52460000</v>
      </c>
      <c r="AN19" s="10">
        <v>75264000</v>
      </c>
      <c r="AT19" s="10">
        <v>-53484000</v>
      </c>
      <c r="AV19" s="10">
        <v>-149688000</v>
      </c>
      <c r="AW19" s="10">
        <v>-149688000</v>
      </c>
      <c r="AX19" s="10">
        <v>83013000</v>
      </c>
      <c r="BB19" s="10">
        <v>-7500000</v>
      </c>
      <c r="BC19" s="10">
        <v>-249000</v>
      </c>
      <c r="BE19" s="41">
        <v>-7696000</v>
      </c>
      <c r="BF19" s="10">
        <v>-52211000</v>
      </c>
      <c r="BI19" s="10">
        <v>366000</v>
      </c>
      <c r="BK19" s="10">
        <v>14991000</v>
      </c>
      <c r="BM19" s="10">
        <v>-415682000</v>
      </c>
      <c r="BN19" s="10">
        <v>-249000</v>
      </c>
      <c r="BP19" s="10">
        <v>-53484000</v>
      </c>
      <c r="BR19" s="10">
        <v>498695000</v>
      </c>
      <c r="BT19" s="10">
        <v>81374000</v>
      </c>
      <c r="CH19" s="41"/>
      <c r="CK19" s="41">
        <v>2024</v>
      </c>
      <c r="CR19" s="10"/>
      <c r="CS19" s="10"/>
      <c r="CT19" s="10"/>
      <c r="CU19" t="s">
        <v>647</v>
      </c>
    </row>
    <row r="20" spans="1:99" x14ac:dyDescent="0.35">
      <c r="A20" t="s">
        <v>648</v>
      </c>
      <c r="B20" s="22">
        <v>43830</v>
      </c>
      <c r="C20">
        <v>2019</v>
      </c>
      <c r="D20" t="s">
        <v>212</v>
      </c>
      <c r="E20" t="s">
        <v>213</v>
      </c>
      <c r="Q20" s="10">
        <v>-1745000</v>
      </c>
      <c r="BE20" s="41"/>
      <c r="BY20" s="10">
        <v>0</v>
      </c>
      <c r="CC20" s="10">
        <v>0</v>
      </c>
      <c r="CH20" s="41"/>
      <c r="CK20" s="41">
        <v>2019</v>
      </c>
      <c r="CR20" s="10"/>
      <c r="CS20" s="10"/>
      <c r="CT20" s="10"/>
      <c r="CU20" t="s">
        <v>649</v>
      </c>
    </row>
    <row r="21" spans="1:99" x14ac:dyDescent="0.35">
      <c r="A21" t="s">
        <v>648</v>
      </c>
      <c r="B21" s="22">
        <v>44196</v>
      </c>
      <c r="C21">
        <v>2020</v>
      </c>
      <c r="D21" t="s">
        <v>212</v>
      </c>
      <c r="E21" t="s">
        <v>213</v>
      </c>
      <c r="G21" s="10">
        <v>64478000</v>
      </c>
      <c r="H21" s="10">
        <v>-96298000</v>
      </c>
      <c r="I21" s="10">
        <v>101539000</v>
      </c>
      <c r="J21" s="10">
        <v>-96028000</v>
      </c>
      <c r="K21" s="10">
        <v>374000</v>
      </c>
      <c r="L21" s="10">
        <v>-7174000</v>
      </c>
      <c r="N21" s="10">
        <v>5885000</v>
      </c>
      <c r="O21" s="10">
        <v>-5447000</v>
      </c>
      <c r="P21" s="10">
        <v>-41124000</v>
      </c>
      <c r="Q21" s="10">
        <v>-4157000</v>
      </c>
      <c r="R21" s="10">
        <v>-15019000</v>
      </c>
      <c r="S21" s="10">
        <v>-15019000</v>
      </c>
      <c r="T21" s="10">
        <v>-8110000</v>
      </c>
      <c r="U21" s="10">
        <v>-6282000</v>
      </c>
      <c r="V21" s="10">
        <v>-76596000</v>
      </c>
      <c r="W21" s="10">
        <v>-6282000</v>
      </c>
      <c r="X21" s="10">
        <v>5885000</v>
      </c>
      <c r="Y21" s="10">
        <v>0</v>
      </c>
      <c r="AA21" s="10">
        <v>-789000</v>
      </c>
      <c r="AB21" s="10">
        <v>-789000</v>
      </c>
      <c r="AC21" s="10">
        <v>48086000</v>
      </c>
      <c r="AD21" s="10">
        <v>48086000</v>
      </c>
      <c r="AG21" s="10">
        <v>70363000</v>
      </c>
      <c r="AH21" s="10">
        <v>101539000</v>
      </c>
      <c r="AI21" s="10">
        <v>-95924000</v>
      </c>
      <c r="AJ21" s="10">
        <v>14072000</v>
      </c>
      <c r="AL21" s="10">
        <v>47000</v>
      </c>
      <c r="AM21" s="10">
        <v>20304000</v>
      </c>
      <c r="AN21" s="10">
        <v>-96028000</v>
      </c>
      <c r="AO21" s="10">
        <v>0</v>
      </c>
      <c r="AP21" s="10">
        <v>265307000</v>
      </c>
      <c r="AQ21" s="10">
        <v>265307000</v>
      </c>
      <c r="AR21" s="10">
        <v>-159603000</v>
      </c>
      <c r="AT21" s="10">
        <v>0</v>
      </c>
      <c r="AV21" s="10">
        <v>-3904000</v>
      </c>
      <c r="AW21" s="10">
        <v>-3904000</v>
      </c>
      <c r="AX21" s="10">
        <v>70000</v>
      </c>
      <c r="AY21" s="10">
        <v>105704000</v>
      </c>
      <c r="AZ21" s="10">
        <v>105704000</v>
      </c>
      <c r="BA21" s="10">
        <v>-4186000</v>
      </c>
      <c r="BC21" s="10">
        <v>-96098000</v>
      </c>
      <c r="BE21" s="41"/>
      <c r="BF21" s="10">
        <v>374000</v>
      </c>
      <c r="BG21" s="10">
        <v>14072000</v>
      </c>
      <c r="BI21" s="10">
        <v>17395000</v>
      </c>
      <c r="BK21" s="10">
        <v>21000</v>
      </c>
      <c r="BM21" s="10">
        <v>-927000</v>
      </c>
      <c r="BN21" s="10">
        <v>-96298000</v>
      </c>
      <c r="BO21" s="10">
        <v>-159603000</v>
      </c>
      <c r="BR21" s="10">
        <v>997000</v>
      </c>
      <c r="BS21" s="10">
        <v>200000</v>
      </c>
      <c r="BT21" s="10">
        <v>2110000</v>
      </c>
      <c r="BY21" s="10">
        <v>0</v>
      </c>
      <c r="BZ21" s="10">
        <v>-7845000</v>
      </c>
      <c r="CA21" s="10">
        <v>-614000</v>
      </c>
      <c r="CB21" s="10">
        <v>-7845000</v>
      </c>
      <c r="CC21" s="10">
        <v>0</v>
      </c>
      <c r="CH21" s="41"/>
      <c r="CK21" s="41">
        <v>2020</v>
      </c>
      <c r="CR21" s="10"/>
      <c r="CS21" s="10"/>
      <c r="CT21" s="10"/>
      <c r="CU21" t="s">
        <v>649</v>
      </c>
    </row>
    <row r="22" spans="1:99" x14ac:dyDescent="0.35">
      <c r="A22" t="s">
        <v>648</v>
      </c>
      <c r="B22" s="22">
        <v>44561</v>
      </c>
      <c r="C22">
        <v>2021</v>
      </c>
      <c r="D22" t="s">
        <v>212</v>
      </c>
      <c r="E22" t="s">
        <v>213</v>
      </c>
      <c r="F22" s="10">
        <v>0</v>
      </c>
      <c r="G22" s="10">
        <v>70363000</v>
      </c>
      <c r="H22" s="10">
        <v>-123332000</v>
      </c>
      <c r="I22" s="10">
        <v>212382000</v>
      </c>
      <c r="J22" s="10">
        <v>-123936000</v>
      </c>
      <c r="K22" s="10">
        <v>158976000</v>
      </c>
      <c r="L22" s="10">
        <v>5820000</v>
      </c>
      <c r="N22" s="10">
        <v>247422000</v>
      </c>
      <c r="O22" s="10">
        <v>2351000</v>
      </c>
      <c r="P22" s="10">
        <v>-8795000</v>
      </c>
      <c r="R22" s="10">
        <v>12673000</v>
      </c>
      <c r="S22" s="10">
        <v>12673000</v>
      </c>
      <c r="T22" s="10">
        <v>-8154000</v>
      </c>
      <c r="U22" s="10">
        <v>-481000</v>
      </c>
      <c r="V22" s="10">
        <v>-2890000</v>
      </c>
      <c r="W22" s="10">
        <v>-481000</v>
      </c>
      <c r="X22" s="10">
        <v>247422000</v>
      </c>
      <c r="Y22" s="10">
        <v>235894000</v>
      </c>
      <c r="Z22" s="10">
        <v>0</v>
      </c>
      <c r="AA22" s="10">
        <v>2209000</v>
      </c>
      <c r="AB22" s="10">
        <v>2209000</v>
      </c>
      <c r="AC22" s="10">
        <v>57075000</v>
      </c>
      <c r="AD22" s="10">
        <v>57075000</v>
      </c>
      <c r="AG22" s="10">
        <v>317785000</v>
      </c>
      <c r="AH22" s="10">
        <v>212382000</v>
      </c>
      <c r="AI22" s="10">
        <v>35644000</v>
      </c>
      <c r="AJ22" s="10">
        <v>2073000</v>
      </c>
      <c r="AL22" s="10">
        <v>172000</v>
      </c>
      <c r="AM22" s="10">
        <v>23601000</v>
      </c>
      <c r="AN22" s="10">
        <v>-123936000</v>
      </c>
      <c r="AO22" s="10">
        <v>235894000</v>
      </c>
      <c r="AP22" s="10">
        <v>80500000</v>
      </c>
      <c r="AQ22" s="10">
        <v>80500000</v>
      </c>
      <c r="AR22" s="10">
        <v>-97301000</v>
      </c>
      <c r="AT22" s="10">
        <v>235894000</v>
      </c>
      <c r="AV22" s="10">
        <v>81248000</v>
      </c>
      <c r="AW22" s="10">
        <v>81248000</v>
      </c>
      <c r="AX22" s="10">
        <v>-660000</v>
      </c>
      <c r="AY22" s="10">
        <v>-16801000</v>
      </c>
      <c r="AZ22" s="10">
        <v>-16801000</v>
      </c>
      <c r="BA22" s="10">
        <v>-10944000</v>
      </c>
      <c r="BC22" s="10">
        <v>-123276000</v>
      </c>
      <c r="BE22" s="41"/>
      <c r="BF22" s="10">
        <v>158976000</v>
      </c>
      <c r="BG22" s="10">
        <v>3297000</v>
      </c>
      <c r="BI22" s="10">
        <v>12475000</v>
      </c>
      <c r="BK22" s="10">
        <v>4233000</v>
      </c>
      <c r="BM22" s="10">
        <v>-1797000</v>
      </c>
      <c r="BN22" s="10">
        <v>-123332000</v>
      </c>
      <c r="BO22" s="10">
        <v>-97301000</v>
      </c>
      <c r="BP22" s="10">
        <v>0</v>
      </c>
      <c r="BR22" s="10">
        <v>1137000</v>
      </c>
      <c r="BS22" s="10">
        <v>56000</v>
      </c>
      <c r="BT22" s="10">
        <v>5562000</v>
      </c>
      <c r="BV22" s="10">
        <v>0</v>
      </c>
      <c r="BW22" s="10">
        <v>0</v>
      </c>
      <c r="BZ22" s="10">
        <v>6853000</v>
      </c>
      <c r="CA22" s="10">
        <v>-484000</v>
      </c>
      <c r="CB22" s="10">
        <v>6853000</v>
      </c>
      <c r="CD22" s="10">
        <v>57075000</v>
      </c>
      <c r="CH22" s="41"/>
      <c r="CK22" s="41">
        <v>2021</v>
      </c>
      <c r="CR22" s="10"/>
      <c r="CS22" s="10"/>
      <c r="CT22" s="10"/>
      <c r="CU22" t="s">
        <v>649</v>
      </c>
    </row>
    <row r="23" spans="1:99" x14ac:dyDescent="0.35">
      <c r="A23" t="s">
        <v>648</v>
      </c>
      <c r="B23" s="22">
        <v>44926</v>
      </c>
      <c r="C23">
        <v>2022</v>
      </c>
      <c r="D23" t="s">
        <v>212</v>
      </c>
      <c r="E23" t="s">
        <v>213</v>
      </c>
      <c r="F23" s="10">
        <v>0</v>
      </c>
      <c r="G23" s="10">
        <v>317785000</v>
      </c>
      <c r="H23" s="10">
        <v>-187922000</v>
      </c>
      <c r="I23" s="10">
        <v>7033000</v>
      </c>
      <c r="J23" s="10">
        <v>-349330000</v>
      </c>
      <c r="K23" s="10">
        <v>127440000</v>
      </c>
      <c r="L23" s="10">
        <v>17623000</v>
      </c>
      <c r="N23" s="10">
        <v>-214857000</v>
      </c>
      <c r="O23" s="10">
        <v>-8403000</v>
      </c>
      <c r="P23" s="10">
        <v>35215000</v>
      </c>
      <c r="R23" s="10">
        <v>22553000</v>
      </c>
      <c r="S23" s="10">
        <v>22553000</v>
      </c>
      <c r="T23" s="10">
        <v>-18506000</v>
      </c>
      <c r="U23" s="10">
        <v>-3312000</v>
      </c>
      <c r="V23" s="10">
        <v>24533000</v>
      </c>
      <c r="W23" s="10">
        <v>-3312000</v>
      </c>
      <c r="X23" s="10">
        <v>-214857000</v>
      </c>
      <c r="Y23" s="10">
        <v>0</v>
      </c>
      <c r="Z23" s="10">
        <v>-25054000</v>
      </c>
      <c r="AA23" s="10">
        <v>9893000</v>
      </c>
      <c r="AB23" s="10">
        <v>9893000</v>
      </c>
      <c r="AC23" s="10">
        <v>67641000</v>
      </c>
      <c r="AD23" s="10">
        <v>67641000</v>
      </c>
      <c r="AG23" s="10">
        <v>102928000</v>
      </c>
      <c r="AH23" s="10">
        <v>7033000</v>
      </c>
      <c r="AI23" s="10">
        <v>-60482000</v>
      </c>
      <c r="AJ23" s="10">
        <v>5600000</v>
      </c>
      <c r="AL23" s="10">
        <v>1691000</v>
      </c>
      <c r="AM23" s="10">
        <v>24051000</v>
      </c>
      <c r="AN23" s="10">
        <v>-349330000</v>
      </c>
      <c r="AO23" s="10">
        <v>0</v>
      </c>
      <c r="AP23" s="10">
        <v>188277000</v>
      </c>
      <c r="AQ23" s="10">
        <v>188277000</v>
      </c>
      <c r="AR23" s="10">
        <v>-155554000</v>
      </c>
      <c r="AT23" s="10">
        <v>-25054000</v>
      </c>
      <c r="AV23" s="10">
        <v>17676000</v>
      </c>
      <c r="AW23" s="10">
        <v>17676000</v>
      </c>
      <c r="AX23" s="10">
        <v>-172724000</v>
      </c>
      <c r="AY23" s="10">
        <v>32723000</v>
      </c>
      <c r="AZ23" s="10">
        <v>32723000</v>
      </c>
      <c r="BA23" s="10">
        <v>-2601000</v>
      </c>
      <c r="BB23" s="10">
        <v>8865000</v>
      </c>
      <c r="BC23" s="10">
        <v>-185471000</v>
      </c>
      <c r="BE23" s="41"/>
      <c r="BF23" s="10">
        <v>127440000</v>
      </c>
      <c r="BG23" s="10">
        <v>7157000</v>
      </c>
      <c r="BI23" s="10">
        <v>-2234000</v>
      </c>
      <c r="BK23" s="10">
        <v>1965000</v>
      </c>
      <c r="BM23" s="10">
        <v>-178960000</v>
      </c>
      <c r="BN23" s="10">
        <v>-187922000</v>
      </c>
      <c r="BO23" s="10">
        <v>-155554000</v>
      </c>
      <c r="BP23" s="10">
        <v>-25054000</v>
      </c>
      <c r="BR23" s="10">
        <v>6236000</v>
      </c>
      <c r="BS23" s="10">
        <v>2451000</v>
      </c>
      <c r="BT23" s="10">
        <v>2774000</v>
      </c>
      <c r="BV23" s="10">
        <v>0</v>
      </c>
      <c r="BW23" s="10">
        <v>0</v>
      </c>
      <c r="BZ23" s="10">
        <v>4930000</v>
      </c>
      <c r="CA23" s="10">
        <v>-3014000</v>
      </c>
      <c r="CB23" s="10">
        <v>4930000</v>
      </c>
      <c r="CD23" s="10">
        <v>67641000</v>
      </c>
      <c r="CH23" s="41"/>
      <c r="CK23" s="41">
        <v>2022</v>
      </c>
      <c r="CR23" s="10"/>
      <c r="CS23" s="10"/>
      <c r="CT23" s="10"/>
      <c r="CU23" t="s">
        <v>649</v>
      </c>
    </row>
    <row r="24" spans="1:99" x14ac:dyDescent="0.35">
      <c r="A24" t="s">
        <v>648</v>
      </c>
      <c r="B24" s="22">
        <v>45291</v>
      </c>
      <c r="C24">
        <v>2023</v>
      </c>
      <c r="D24" t="s">
        <v>212</v>
      </c>
      <c r="E24" t="s">
        <v>213</v>
      </c>
      <c r="F24" s="10">
        <v>184000</v>
      </c>
      <c r="G24" s="10">
        <v>102928000</v>
      </c>
      <c r="H24" s="10">
        <v>-218160000</v>
      </c>
      <c r="I24" s="10">
        <v>-42137000</v>
      </c>
      <c r="J24" s="10">
        <v>-171231000</v>
      </c>
      <c r="K24" s="10">
        <v>174120000</v>
      </c>
      <c r="L24" s="10">
        <v>-3028000</v>
      </c>
      <c r="N24" s="10">
        <v>-39248000</v>
      </c>
      <c r="O24" s="10">
        <v>-2881000</v>
      </c>
      <c r="P24" s="10">
        <v>1376000</v>
      </c>
      <c r="R24" s="10">
        <v>-2598000</v>
      </c>
      <c r="S24" s="10">
        <v>-2598000</v>
      </c>
      <c r="T24" s="10">
        <v>-16898000</v>
      </c>
      <c r="U24" s="10">
        <v>-2667000</v>
      </c>
      <c r="V24" s="10">
        <v>-25126000</v>
      </c>
      <c r="W24" s="10">
        <v>-2667000</v>
      </c>
      <c r="X24" s="10">
        <v>-39248000</v>
      </c>
      <c r="Y24" s="10">
        <v>0</v>
      </c>
      <c r="Z24" s="10">
        <v>-68585000</v>
      </c>
      <c r="AA24" s="10">
        <v>21555000</v>
      </c>
      <c r="AB24" s="10">
        <v>21555000</v>
      </c>
      <c r="AC24" s="10">
        <v>89451000</v>
      </c>
      <c r="AD24" s="10">
        <v>89451000</v>
      </c>
      <c r="AG24" s="10">
        <v>63680000</v>
      </c>
      <c r="AH24" s="10">
        <v>-42137000</v>
      </c>
      <c r="AI24" s="10">
        <v>-44040000</v>
      </c>
      <c r="AJ24" s="10">
        <v>6066000</v>
      </c>
      <c r="AL24" s="10">
        <v>1498000</v>
      </c>
      <c r="AM24" s="10">
        <v>41454000</v>
      </c>
      <c r="AN24" s="10">
        <v>-171231000</v>
      </c>
      <c r="AO24" s="10">
        <v>0</v>
      </c>
      <c r="AP24" s="10">
        <v>119200000</v>
      </c>
      <c r="AQ24" s="10">
        <v>119200000</v>
      </c>
      <c r="AR24" s="10">
        <v>-91159000</v>
      </c>
      <c r="AT24" s="10">
        <v>-68585000</v>
      </c>
      <c r="AV24" s="10">
        <v>72181000</v>
      </c>
      <c r="AW24" s="10">
        <v>72181000</v>
      </c>
      <c r="AX24" s="10">
        <v>41976000</v>
      </c>
      <c r="AY24" s="10">
        <v>28041000</v>
      </c>
      <c r="AZ24" s="10">
        <v>28041000</v>
      </c>
      <c r="BA24" s="10">
        <v>-4253000</v>
      </c>
      <c r="BC24" s="10">
        <v>-213207000</v>
      </c>
      <c r="BE24" s="41"/>
      <c r="BF24" s="10">
        <v>174120000</v>
      </c>
      <c r="BG24" s="10">
        <v>6066000</v>
      </c>
      <c r="BI24" s="10">
        <v>535000</v>
      </c>
      <c r="BK24" s="10">
        <v>2660000</v>
      </c>
      <c r="BM24" s="10">
        <v>-95535000</v>
      </c>
      <c r="BN24" s="10">
        <v>-218160000</v>
      </c>
      <c r="BO24" s="10">
        <v>-91159000</v>
      </c>
      <c r="BP24" s="10">
        <v>-68585000</v>
      </c>
      <c r="BR24" s="10">
        <v>137511000</v>
      </c>
      <c r="BS24" s="10">
        <v>4953000</v>
      </c>
      <c r="BT24" s="10">
        <v>9274000</v>
      </c>
      <c r="BV24" s="10">
        <v>1300000</v>
      </c>
      <c r="BW24" s="10">
        <v>1300000</v>
      </c>
      <c r="BZ24" s="10">
        <v>430000</v>
      </c>
      <c r="CA24" s="10">
        <v>-1458000</v>
      </c>
      <c r="CB24" s="10">
        <v>430000</v>
      </c>
      <c r="CD24" s="10">
        <v>88151000</v>
      </c>
      <c r="CH24" s="41"/>
      <c r="CK24" s="41">
        <v>2023</v>
      </c>
      <c r="CR24" s="10"/>
      <c r="CS24" s="10"/>
      <c r="CT24" s="10"/>
      <c r="CU24" t="s">
        <v>649</v>
      </c>
    </row>
    <row r="25" spans="1:99" x14ac:dyDescent="0.35">
      <c r="A25" t="s">
        <v>648</v>
      </c>
      <c r="B25" s="22">
        <v>45473</v>
      </c>
      <c r="C25">
        <v>2024</v>
      </c>
      <c r="D25" t="s">
        <v>214</v>
      </c>
      <c r="E25" t="s">
        <v>213</v>
      </c>
      <c r="G25" s="10">
        <v>94211000</v>
      </c>
      <c r="H25" s="10">
        <v>-64039000</v>
      </c>
      <c r="I25" s="10">
        <v>-177805000</v>
      </c>
      <c r="J25" s="10">
        <v>332000</v>
      </c>
      <c r="K25" s="10">
        <v>117299000</v>
      </c>
      <c r="L25" s="10">
        <v>3341000</v>
      </c>
      <c r="N25" s="10">
        <v>-60174000</v>
      </c>
      <c r="O25" s="10">
        <v>-3859000</v>
      </c>
      <c r="P25" s="10">
        <v>-16763000</v>
      </c>
      <c r="R25" s="10">
        <v>3015000</v>
      </c>
      <c r="S25" s="10">
        <v>3015000</v>
      </c>
      <c r="T25" s="10">
        <v>-17660000</v>
      </c>
      <c r="U25" s="10">
        <v>-13134000</v>
      </c>
      <c r="V25" s="10">
        <v>-51291000</v>
      </c>
      <c r="W25" s="10">
        <v>-13134000</v>
      </c>
      <c r="X25" s="10">
        <v>-60174000</v>
      </c>
      <c r="Z25" s="10">
        <v>-57829000</v>
      </c>
      <c r="AA25" s="10">
        <v>14825000</v>
      </c>
      <c r="AB25" s="10">
        <v>14825000</v>
      </c>
      <c r="AC25" s="10">
        <v>95076000</v>
      </c>
      <c r="AD25" s="10">
        <v>95076000</v>
      </c>
      <c r="AG25" s="10">
        <v>34037000</v>
      </c>
      <c r="AH25" s="10">
        <v>-177805000</v>
      </c>
      <c r="AI25" s="10">
        <v>53260000</v>
      </c>
      <c r="AN25" s="10">
        <v>332000</v>
      </c>
      <c r="AP25" s="10">
        <v>10000000</v>
      </c>
      <c r="AQ25" s="10">
        <v>10000000</v>
      </c>
      <c r="AR25" s="10">
        <v>-128317000</v>
      </c>
      <c r="AT25" s="10">
        <v>-57829000</v>
      </c>
      <c r="AV25" s="10">
        <v>50360000</v>
      </c>
      <c r="AW25" s="10">
        <v>50360000</v>
      </c>
      <c r="AX25" s="10">
        <v>52508000</v>
      </c>
      <c r="AY25" s="10">
        <v>-118317000</v>
      </c>
      <c r="AZ25" s="10">
        <v>-118317000</v>
      </c>
      <c r="BA25" s="10">
        <v>-4319000</v>
      </c>
      <c r="BC25" s="10">
        <v>-59086000</v>
      </c>
      <c r="BE25" s="41"/>
      <c r="BF25" s="10">
        <v>117299000</v>
      </c>
      <c r="BI25" s="10">
        <v>-7195000</v>
      </c>
      <c r="BM25" s="10">
        <v>-77708000</v>
      </c>
      <c r="BN25" s="10">
        <v>-64039000</v>
      </c>
      <c r="BO25" s="10">
        <v>-128317000</v>
      </c>
      <c r="BP25" s="10">
        <v>-57829000</v>
      </c>
      <c r="BR25" s="10">
        <v>130216000</v>
      </c>
      <c r="BZ25" s="10">
        <v>-326000</v>
      </c>
      <c r="CA25" s="10">
        <v>-2890000</v>
      </c>
      <c r="CB25" s="10">
        <v>-326000</v>
      </c>
      <c r="CH25" s="41"/>
      <c r="CK25" s="41">
        <v>2024</v>
      </c>
      <c r="CR25" s="10"/>
      <c r="CS25" s="10"/>
      <c r="CT25" s="10"/>
      <c r="CU25" t="s">
        <v>649</v>
      </c>
    </row>
    <row r="26" spans="1:99" x14ac:dyDescent="0.35">
      <c r="A26" t="s">
        <v>650</v>
      </c>
      <c r="B26" s="22">
        <v>44286</v>
      </c>
      <c r="C26">
        <v>2021</v>
      </c>
      <c r="D26" t="s">
        <v>212</v>
      </c>
      <c r="E26" t="s">
        <v>213</v>
      </c>
      <c r="G26" s="10">
        <v>255607000</v>
      </c>
      <c r="H26" s="10">
        <v>-25537000</v>
      </c>
      <c r="I26" s="10">
        <v>-6982000</v>
      </c>
      <c r="J26" s="10">
        <v>-23349000</v>
      </c>
      <c r="K26" s="10">
        <v>114031000</v>
      </c>
      <c r="L26" s="10">
        <v>47229000</v>
      </c>
      <c r="N26" s="10">
        <v>83700000</v>
      </c>
      <c r="R26" s="10">
        <v>47229000</v>
      </c>
      <c r="S26" s="10">
        <v>47229000</v>
      </c>
      <c r="T26" s="10">
        <v>6380000</v>
      </c>
      <c r="U26" s="10">
        <v>-58618000</v>
      </c>
      <c r="V26" s="10">
        <v>-22708000</v>
      </c>
      <c r="W26" s="10">
        <v>-4597000</v>
      </c>
      <c r="X26" s="10">
        <v>83700000</v>
      </c>
      <c r="Z26" s="10">
        <v>-1441000</v>
      </c>
      <c r="AA26" s="10">
        <v>326000</v>
      </c>
      <c r="AB26" s="10">
        <v>326000</v>
      </c>
      <c r="AC26" s="10">
        <v>6324000</v>
      </c>
      <c r="AD26" s="10">
        <v>6324000</v>
      </c>
      <c r="AE26" s="10">
        <v>0</v>
      </c>
      <c r="AG26" s="10">
        <v>339307000</v>
      </c>
      <c r="AH26" s="10">
        <v>-6982000</v>
      </c>
      <c r="AI26" s="10">
        <v>88494000</v>
      </c>
      <c r="AJ26" s="10">
        <v>-22037000</v>
      </c>
      <c r="AL26" s="10">
        <v>19469000</v>
      </c>
      <c r="AM26" s="10">
        <v>468000</v>
      </c>
      <c r="AN26" s="10">
        <v>-23349000</v>
      </c>
      <c r="AP26" s="10">
        <v>64000</v>
      </c>
      <c r="AQ26" s="10">
        <v>64000</v>
      </c>
      <c r="AR26" s="10">
        <v>-2788000</v>
      </c>
      <c r="AS26" s="10">
        <v>0</v>
      </c>
      <c r="AT26" s="10">
        <v>-1441000</v>
      </c>
      <c r="AV26" s="10">
        <v>76646000</v>
      </c>
      <c r="AW26" s="10">
        <v>76646000</v>
      </c>
      <c r="AX26" s="10">
        <v>1948000</v>
      </c>
      <c r="AY26" s="10">
        <v>-2724000</v>
      </c>
      <c r="AZ26" s="10">
        <v>-2724000</v>
      </c>
      <c r="BA26" s="10">
        <v>-5493000</v>
      </c>
      <c r="BC26" s="10">
        <v>-25297000</v>
      </c>
      <c r="BE26" s="41"/>
      <c r="BF26" s="10">
        <v>114031000</v>
      </c>
      <c r="BG26" s="10">
        <v>-21921000</v>
      </c>
      <c r="BI26" s="10">
        <v>72165000</v>
      </c>
      <c r="BK26" s="10">
        <v>2676000</v>
      </c>
      <c r="BL26" s="10">
        <v>0</v>
      </c>
      <c r="BM26" s="10">
        <v>-17518000</v>
      </c>
      <c r="BN26" s="10">
        <v>-25537000</v>
      </c>
      <c r="BO26" s="10">
        <v>-2788000</v>
      </c>
      <c r="BP26" s="10">
        <v>-1441000</v>
      </c>
      <c r="BQ26" s="10">
        <v>0</v>
      </c>
      <c r="BR26" s="10">
        <v>19466000</v>
      </c>
      <c r="BS26" s="10">
        <v>240000</v>
      </c>
      <c r="BT26" s="10">
        <v>4392000</v>
      </c>
      <c r="CA26" s="10">
        <v>-17699000</v>
      </c>
      <c r="CE26" s="10">
        <v>116000</v>
      </c>
      <c r="CH26" s="41"/>
      <c r="CK26" s="41">
        <v>2021</v>
      </c>
      <c r="CR26" s="10">
        <v>-1193000</v>
      </c>
      <c r="CS26" s="10"/>
      <c r="CT26" s="10"/>
      <c r="CU26" t="s">
        <v>651</v>
      </c>
    </row>
    <row r="27" spans="1:99" x14ac:dyDescent="0.35">
      <c r="A27" t="s">
        <v>650</v>
      </c>
      <c r="B27" s="22">
        <v>44651</v>
      </c>
      <c r="C27">
        <v>2022</v>
      </c>
      <c r="D27" t="s">
        <v>212</v>
      </c>
      <c r="E27" t="s">
        <v>213</v>
      </c>
      <c r="G27" s="10">
        <v>339307000</v>
      </c>
      <c r="H27" s="10">
        <v>-18653000</v>
      </c>
      <c r="I27" s="10">
        <v>-65095000</v>
      </c>
      <c r="J27" s="10">
        <v>-159102000</v>
      </c>
      <c r="K27" s="10">
        <v>144224000</v>
      </c>
      <c r="L27" s="10">
        <v>38228000</v>
      </c>
      <c r="N27" s="10">
        <v>-79973000</v>
      </c>
      <c r="R27" s="10">
        <v>38228000</v>
      </c>
      <c r="S27" s="10">
        <v>38228000</v>
      </c>
      <c r="T27" s="10">
        <v>-28309000</v>
      </c>
      <c r="U27" s="10">
        <v>-95164000</v>
      </c>
      <c r="V27" s="10">
        <v>-159049000</v>
      </c>
      <c r="W27" s="10">
        <v>-27268000</v>
      </c>
      <c r="X27" s="10">
        <v>-79973000</v>
      </c>
      <c r="Z27" s="10">
        <v>-59599000</v>
      </c>
      <c r="AA27" s="10">
        <v>-1732000</v>
      </c>
      <c r="AB27" s="10">
        <v>-1732000</v>
      </c>
      <c r="AC27" s="10">
        <v>11017000</v>
      </c>
      <c r="AD27" s="10">
        <v>11017000</v>
      </c>
      <c r="AE27" s="10">
        <v>0</v>
      </c>
      <c r="AG27" s="10">
        <v>259334000</v>
      </c>
      <c r="AH27" s="10">
        <v>-65095000</v>
      </c>
      <c r="AI27" s="10">
        <v>125571000</v>
      </c>
      <c r="AJ27" s="10">
        <v>-18364000</v>
      </c>
      <c r="AL27" s="10">
        <v>31415000</v>
      </c>
      <c r="AM27" s="10">
        <v>451000</v>
      </c>
      <c r="AN27" s="10">
        <v>-159102000</v>
      </c>
      <c r="AP27" s="10">
        <v>106000</v>
      </c>
      <c r="AQ27" s="10">
        <v>106000</v>
      </c>
      <c r="AR27" s="10">
        <v>-9383000</v>
      </c>
      <c r="AS27" s="10">
        <v>-141429000</v>
      </c>
      <c r="AT27" s="10">
        <v>-59599000</v>
      </c>
      <c r="AV27" s="10">
        <v>197699000</v>
      </c>
      <c r="AW27" s="10">
        <v>197742000</v>
      </c>
      <c r="AX27" s="10">
        <v>-349000</v>
      </c>
      <c r="AY27" s="10">
        <v>-9277000</v>
      </c>
      <c r="AZ27" s="10">
        <v>-9277000</v>
      </c>
      <c r="BA27" s="10">
        <v>-641000</v>
      </c>
      <c r="BC27" s="10">
        <v>-17324000</v>
      </c>
      <c r="BE27" s="41"/>
      <c r="BF27" s="10">
        <v>144224000</v>
      </c>
      <c r="BG27" s="10">
        <v>-18584000</v>
      </c>
      <c r="BI27" s="10">
        <v>110096000</v>
      </c>
      <c r="BK27" s="10">
        <v>4422000</v>
      </c>
      <c r="BL27" s="10">
        <v>-141429000</v>
      </c>
      <c r="BM27" s="10">
        <v>-12799000</v>
      </c>
      <c r="BN27" s="10">
        <v>-18653000</v>
      </c>
      <c r="BO27" s="10">
        <v>-9383000</v>
      </c>
      <c r="BP27" s="10">
        <v>-59599000</v>
      </c>
      <c r="BQ27" s="10">
        <v>0</v>
      </c>
      <c r="BR27" s="10">
        <v>12450000</v>
      </c>
      <c r="BS27" s="10">
        <v>1329000</v>
      </c>
      <c r="BT27" s="10">
        <v>5059000</v>
      </c>
      <c r="BV27" s="10">
        <v>1400000</v>
      </c>
      <c r="BW27" s="10">
        <v>1400000</v>
      </c>
      <c r="CA27" s="10">
        <v>-73804000</v>
      </c>
      <c r="CD27" s="10">
        <v>9600000</v>
      </c>
      <c r="CE27" s="10">
        <v>-220000</v>
      </c>
      <c r="CH27" s="41"/>
      <c r="CK27" s="41">
        <v>2022</v>
      </c>
      <c r="CR27" s="10">
        <v>-325000</v>
      </c>
      <c r="CS27" s="10"/>
      <c r="CT27" s="10"/>
      <c r="CU27" t="s">
        <v>651</v>
      </c>
    </row>
    <row r="28" spans="1:99" x14ac:dyDescent="0.35">
      <c r="A28" t="s">
        <v>650</v>
      </c>
      <c r="B28" s="22">
        <v>45016</v>
      </c>
      <c r="C28">
        <v>2023</v>
      </c>
      <c r="D28" t="s">
        <v>212</v>
      </c>
      <c r="E28" t="s">
        <v>213</v>
      </c>
      <c r="G28" s="10">
        <v>259334000</v>
      </c>
      <c r="H28" s="10">
        <v>-44106000</v>
      </c>
      <c r="I28" s="10">
        <v>-102196000</v>
      </c>
      <c r="J28" s="10">
        <v>-129341000</v>
      </c>
      <c r="K28" s="10">
        <v>255693000</v>
      </c>
      <c r="L28" s="10">
        <v>-13403000</v>
      </c>
      <c r="N28" s="10">
        <v>24156000</v>
      </c>
      <c r="R28" s="10">
        <v>-13403000</v>
      </c>
      <c r="S28" s="10">
        <v>-13403000</v>
      </c>
      <c r="T28" s="10">
        <v>-20037000</v>
      </c>
      <c r="U28" s="10">
        <v>-121812000</v>
      </c>
      <c r="V28" s="10">
        <v>-116386000</v>
      </c>
      <c r="W28" s="10">
        <v>10238000</v>
      </c>
      <c r="X28" s="10">
        <v>24156000</v>
      </c>
      <c r="Z28" s="10">
        <v>-103412000</v>
      </c>
      <c r="AA28" s="10">
        <v>2110000</v>
      </c>
      <c r="AB28" s="10">
        <v>2110000</v>
      </c>
      <c r="AC28" s="10">
        <v>16903000</v>
      </c>
      <c r="AD28" s="10">
        <v>16903000</v>
      </c>
      <c r="AE28" s="10">
        <v>4306000</v>
      </c>
      <c r="AG28" s="10">
        <v>283490000</v>
      </c>
      <c r="AH28" s="10">
        <v>-102196000</v>
      </c>
      <c r="AI28" s="10">
        <v>211587000</v>
      </c>
      <c r="AJ28" s="10">
        <v>-12300000</v>
      </c>
      <c r="AL28" s="10">
        <v>82438000</v>
      </c>
      <c r="AM28" s="10">
        <v>619000</v>
      </c>
      <c r="AN28" s="10">
        <v>-129341000</v>
      </c>
      <c r="AP28" s="10">
        <v>0</v>
      </c>
      <c r="AQ28" s="10">
        <v>0</v>
      </c>
      <c r="AR28" s="10">
        <v>-641000</v>
      </c>
      <c r="AS28" s="10">
        <v>-93449000</v>
      </c>
      <c r="AT28" s="10">
        <v>-103412000</v>
      </c>
      <c r="AV28" s="10">
        <v>240554000</v>
      </c>
      <c r="AW28" s="10">
        <v>240841000</v>
      </c>
      <c r="AX28" s="10">
        <v>6398000</v>
      </c>
      <c r="AY28" s="10">
        <v>-641000</v>
      </c>
      <c r="AZ28" s="10">
        <v>-641000</v>
      </c>
      <c r="BA28" s="10">
        <v>-1852000</v>
      </c>
      <c r="BC28" s="10">
        <v>-42290000</v>
      </c>
      <c r="BE28" s="41"/>
      <c r="BF28" s="10">
        <v>255693000</v>
      </c>
      <c r="BG28" s="10">
        <v>-8275000</v>
      </c>
      <c r="BI28" s="10">
        <v>114753000</v>
      </c>
      <c r="BK28" s="10">
        <v>3709000</v>
      </c>
      <c r="BL28" s="10">
        <v>-105662000</v>
      </c>
      <c r="BM28" s="10">
        <v>-12533000</v>
      </c>
      <c r="BN28" s="10">
        <v>-44106000</v>
      </c>
      <c r="BO28" s="10">
        <v>-641000</v>
      </c>
      <c r="BP28" s="10">
        <v>-103412000</v>
      </c>
      <c r="BQ28" s="10">
        <v>12213000</v>
      </c>
      <c r="BR28" s="10">
        <v>18931000</v>
      </c>
      <c r="BS28" s="10">
        <v>1816000</v>
      </c>
      <c r="BT28" s="10">
        <v>6264000</v>
      </c>
      <c r="BV28" s="10">
        <v>2100000</v>
      </c>
      <c r="BW28" s="10">
        <v>2100000</v>
      </c>
      <c r="CA28" s="10">
        <v>38866000</v>
      </c>
      <c r="CD28" s="10">
        <v>14800000</v>
      </c>
      <c r="CE28" s="10">
        <v>-281000</v>
      </c>
      <c r="CH28" s="41"/>
      <c r="CK28" s="41">
        <v>2023</v>
      </c>
      <c r="CR28" s="10">
        <v>-517000</v>
      </c>
      <c r="CS28" s="10"/>
      <c r="CT28" s="10"/>
      <c r="CU28" t="s">
        <v>651</v>
      </c>
    </row>
    <row r="29" spans="1:99" x14ac:dyDescent="0.35">
      <c r="A29" t="s">
        <v>650</v>
      </c>
      <c r="B29" s="22">
        <v>45382</v>
      </c>
      <c r="C29">
        <v>2024</v>
      </c>
      <c r="D29" t="s">
        <v>212</v>
      </c>
      <c r="E29" t="s">
        <v>213</v>
      </c>
      <c r="G29" s="10">
        <v>283490000</v>
      </c>
      <c r="H29" s="10">
        <v>-17421000</v>
      </c>
      <c r="I29" s="10">
        <v>-107710000</v>
      </c>
      <c r="J29" s="10">
        <v>-31709000</v>
      </c>
      <c r="K29" s="10">
        <v>224682000</v>
      </c>
      <c r="L29" s="10">
        <v>-22258000</v>
      </c>
      <c r="N29" s="10">
        <v>85263000</v>
      </c>
      <c r="R29" s="10">
        <v>-22258000</v>
      </c>
      <c r="S29" s="10">
        <v>-22258000</v>
      </c>
      <c r="T29" s="10">
        <v>7971000</v>
      </c>
      <c r="U29" s="10">
        <v>-99679000</v>
      </c>
      <c r="V29" s="10">
        <v>-69110000</v>
      </c>
      <c r="W29" s="10">
        <v>11566000</v>
      </c>
      <c r="X29" s="10">
        <v>85263000</v>
      </c>
      <c r="Z29" s="10">
        <v>-109309000</v>
      </c>
      <c r="AA29" s="10">
        <v>-3081000</v>
      </c>
      <c r="AB29" s="10">
        <v>-3081000</v>
      </c>
      <c r="AC29" s="10">
        <v>18525000</v>
      </c>
      <c r="AD29" s="10">
        <v>18525000</v>
      </c>
      <c r="AE29" s="10">
        <v>0</v>
      </c>
      <c r="AG29" s="10">
        <v>368753000</v>
      </c>
      <c r="AH29" s="10">
        <v>-107710000</v>
      </c>
      <c r="AI29" s="10">
        <v>207261000</v>
      </c>
      <c r="AJ29" s="10">
        <v>-9041000</v>
      </c>
      <c r="AL29" s="10">
        <v>36757000</v>
      </c>
      <c r="AM29" s="10">
        <v>801000</v>
      </c>
      <c r="AN29" s="10">
        <v>-31709000</v>
      </c>
      <c r="AP29" s="10">
        <v>0</v>
      </c>
      <c r="AQ29" s="10">
        <v>0</v>
      </c>
      <c r="AR29" s="10">
        <v>-488000</v>
      </c>
      <c r="AS29" s="10">
        <v>-19195000</v>
      </c>
      <c r="AT29" s="10">
        <v>-109309000</v>
      </c>
      <c r="AV29" s="10">
        <v>157817000</v>
      </c>
      <c r="AW29" s="10">
        <v>157905000</v>
      </c>
      <c r="AX29" s="10">
        <v>102000</v>
      </c>
      <c r="AY29" s="10">
        <v>-488000</v>
      </c>
      <c r="AZ29" s="10">
        <v>-488000</v>
      </c>
      <c r="BA29" s="10">
        <v>-2408000</v>
      </c>
      <c r="BC29" s="10">
        <v>-12616000</v>
      </c>
      <c r="BE29" s="41"/>
      <c r="BF29" s="10">
        <v>224682000</v>
      </c>
      <c r="BG29" s="10">
        <v>-8909000</v>
      </c>
      <c r="BI29" s="10">
        <v>123224000</v>
      </c>
      <c r="BK29" s="10">
        <v>4495000</v>
      </c>
      <c r="BL29" s="10">
        <v>-19195000</v>
      </c>
      <c r="BM29" s="10">
        <v>-13026000</v>
      </c>
      <c r="BN29" s="10">
        <v>-17421000</v>
      </c>
      <c r="BO29" s="10">
        <v>-488000</v>
      </c>
      <c r="BP29" s="10">
        <v>-109309000</v>
      </c>
      <c r="BQ29" s="10">
        <v>0</v>
      </c>
      <c r="BR29" s="10">
        <v>13128000</v>
      </c>
      <c r="BS29" s="10">
        <v>4805000</v>
      </c>
      <c r="BT29" s="10">
        <v>6760000</v>
      </c>
      <c r="BV29" s="10">
        <v>1600000</v>
      </c>
      <c r="BW29" s="10">
        <v>1600000</v>
      </c>
      <c r="CA29" s="10">
        <v>44856000</v>
      </c>
      <c r="CD29" s="10">
        <v>17000000</v>
      </c>
      <c r="CE29" s="10">
        <v>132000</v>
      </c>
      <c r="CH29" s="41"/>
      <c r="CK29" s="41">
        <v>2024</v>
      </c>
      <c r="CR29" s="10">
        <v>-632000</v>
      </c>
      <c r="CS29" s="10"/>
      <c r="CT29" s="10"/>
      <c r="CU29" t="s">
        <v>651</v>
      </c>
    </row>
    <row r="30" spans="1:99" x14ac:dyDescent="0.35">
      <c r="A30" t="s">
        <v>650</v>
      </c>
      <c r="B30" s="22">
        <v>45473</v>
      </c>
      <c r="C30">
        <v>2024</v>
      </c>
      <c r="D30" t="s">
        <v>214</v>
      </c>
      <c r="E30" t="s">
        <v>213</v>
      </c>
      <c r="G30" s="10">
        <v>366379000</v>
      </c>
      <c r="H30" s="10">
        <v>-18213000</v>
      </c>
      <c r="I30" s="10">
        <v>-138083000</v>
      </c>
      <c r="J30" s="10">
        <v>-39144000</v>
      </c>
      <c r="K30" s="10">
        <v>189782000</v>
      </c>
      <c r="L30" s="10">
        <v>-2448000</v>
      </c>
      <c r="N30" s="10">
        <v>12555000</v>
      </c>
      <c r="R30" s="10">
        <v>-2448000</v>
      </c>
      <c r="S30" s="10">
        <v>-2448000</v>
      </c>
      <c r="T30" s="10">
        <v>-1532000</v>
      </c>
      <c r="U30" s="10">
        <v>-109372000</v>
      </c>
      <c r="V30" s="10">
        <v>-81111000</v>
      </c>
      <c r="W30" s="10">
        <v>-103000</v>
      </c>
      <c r="X30" s="10">
        <v>12558000</v>
      </c>
      <c r="Z30" s="10">
        <v>-138772000</v>
      </c>
      <c r="AA30" s="10">
        <v>-1206000</v>
      </c>
      <c r="AB30" s="10">
        <v>-1206000</v>
      </c>
      <c r="AC30" s="10">
        <v>18720000</v>
      </c>
      <c r="AD30" s="10">
        <v>18720000</v>
      </c>
      <c r="AG30" s="10">
        <v>378937000</v>
      </c>
      <c r="AH30" s="10">
        <v>-138083000</v>
      </c>
      <c r="AI30" s="10">
        <v>171569000</v>
      </c>
      <c r="AJ30" s="10">
        <v>-6053000</v>
      </c>
      <c r="AL30" s="10">
        <v>33354000</v>
      </c>
      <c r="AM30" s="10">
        <v>638000</v>
      </c>
      <c r="AN30" s="10">
        <v>-39144000</v>
      </c>
      <c r="AR30" s="10">
        <v>-382000</v>
      </c>
      <c r="AT30" s="10">
        <v>-138772000</v>
      </c>
      <c r="AV30" s="10">
        <v>145889000</v>
      </c>
      <c r="AW30" s="10">
        <v>145923000</v>
      </c>
      <c r="AX30" s="10">
        <v>-2117000</v>
      </c>
      <c r="AY30" s="10">
        <v>-382000</v>
      </c>
      <c r="AZ30" s="10">
        <v>-382000</v>
      </c>
      <c r="BA30" s="10">
        <v>-3274000</v>
      </c>
      <c r="BC30" s="10">
        <v>-17832000</v>
      </c>
      <c r="BE30" s="41"/>
      <c r="BF30" s="10">
        <v>189782000</v>
      </c>
      <c r="BG30" s="10">
        <v>-6100000</v>
      </c>
      <c r="BI30" s="10">
        <v>106601000</v>
      </c>
      <c r="BK30" s="10">
        <v>4345000</v>
      </c>
      <c r="BM30" s="10">
        <v>-15863000</v>
      </c>
      <c r="BN30" s="10">
        <v>-18213000</v>
      </c>
      <c r="BO30" s="10">
        <v>-382000</v>
      </c>
      <c r="BP30" s="10">
        <v>-138772000</v>
      </c>
      <c r="BR30" s="10">
        <v>13746000</v>
      </c>
      <c r="BS30" s="10">
        <v>381000</v>
      </c>
      <c r="BT30" s="10">
        <v>7517000</v>
      </c>
      <c r="CA30" s="10">
        <v>32241000</v>
      </c>
      <c r="CE30" s="10">
        <v>-47000</v>
      </c>
      <c r="CH30" s="41"/>
      <c r="CK30" s="41">
        <v>2024</v>
      </c>
      <c r="CR30" s="10">
        <v>-562000</v>
      </c>
      <c r="CS30" s="10"/>
      <c r="CT30" s="10"/>
      <c r="CU30" t="s">
        <v>651</v>
      </c>
    </row>
    <row r="31" spans="1:99" x14ac:dyDescent="0.35">
      <c r="A31" t="s">
        <v>652</v>
      </c>
      <c r="B31" s="22">
        <v>43861</v>
      </c>
      <c r="C31">
        <v>2020</v>
      </c>
      <c r="D31" t="s">
        <v>212</v>
      </c>
      <c r="E31" t="s">
        <v>213</v>
      </c>
      <c r="Z31" s="10">
        <v>-68000</v>
      </c>
      <c r="AT31" s="10">
        <v>-68000</v>
      </c>
      <c r="BE31" s="41"/>
      <c r="BP31" s="10">
        <v>-68000</v>
      </c>
      <c r="CH31" s="41"/>
      <c r="CK31" s="41">
        <v>2020</v>
      </c>
      <c r="CR31" s="10"/>
      <c r="CS31" s="10"/>
      <c r="CT31" s="10"/>
      <c r="CU31" t="s">
        <v>653</v>
      </c>
    </row>
    <row r="32" spans="1:99" x14ac:dyDescent="0.35">
      <c r="A32" t="s">
        <v>652</v>
      </c>
      <c r="B32" s="22">
        <v>44227</v>
      </c>
      <c r="C32">
        <v>2021</v>
      </c>
      <c r="D32" t="s">
        <v>212</v>
      </c>
      <c r="E32" t="s">
        <v>213</v>
      </c>
      <c r="G32" s="10">
        <v>220969000</v>
      </c>
      <c r="H32" s="10">
        <v>-7657000</v>
      </c>
      <c r="I32" s="10">
        <v>-128832000</v>
      </c>
      <c r="J32" s="10">
        <v>-768000</v>
      </c>
      <c r="K32" s="10">
        <v>227420000</v>
      </c>
      <c r="L32" s="10">
        <v>16748000</v>
      </c>
      <c r="M32" s="10">
        <v>2099000</v>
      </c>
      <c r="N32" s="10">
        <v>97820000</v>
      </c>
      <c r="Q32" s="10">
        <v>14166000</v>
      </c>
      <c r="R32" s="10">
        <v>24748000</v>
      </c>
      <c r="S32" s="10">
        <v>26847000</v>
      </c>
      <c r="T32" s="10">
        <v>9745000</v>
      </c>
      <c r="U32" s="10">
        <v>313000</v>
      </c>
      <c r="V32" s="10">
        <v>71266000</v>
      </c>
      <c r="X32" s="10">
        <v>97820000</v>
      </c>
      <c r="Z32" s="10">
        <v>-372000</v>
      </c>
      <c r="AA32" s="10">
        <v>-1298000</v>
      </c>
      <c r="AB32" s="10">
        <v>-1298000</v>
      </c>
      <c r="AC32" s="10">
        <v>20863000</v>
      </c>
      <c r="AD32" s="10">
        <v>20863000</v>
      </c>
      <c r="AG32" s="10">
        <v>318789000</v>
      </c>
      <c r="AH32" s="10">
        <v>-128832000</v>
      </c>
      <c r="AI32" s="10">
        <v>219763000</v>
      </c>
      <c r="AN32" s="10">
        <v>-768000</v>
      </c>
      <c r="AT32" s="10">
        <v>-372000</v>
      </c>
      <c r="AV32" s="10">
        <v>130139000</v>
      </c>
      <c r="AW32" s="10">
        <v>130139000</v>
      </c>
      <c r="AX32" s="10">
        <v>6716000</v>
      </c>
      <c r="BB32" s="10">
        <v>62000</v>
      </c>
      <c r="BC32" s="10">
        <v>-7546000</v>
      </c>
      <c r="BE32" s="41"/>
      <c r="BF32" s="10">
        <v>227420000</v>
      </c>
      <c r="BI32" s="10">
        <v>6450000</v>
      </c>
      <c r="BM32" s="10">
        <v>-17629000</v>
      </c>
      <c r="BN32" s="10">
        <v>-7657000</v>
      </c>
      <c r="BP32" s="10">
        <v>-372000</v>
      </c>
      <c r="BR32" s="10">
        <v>24345000</v>
      </c>
      <c r="BS32" s="10">
        <v>111000</v>
      </c>
      <c r="BY32" s="10">
        <v>-128460000</v>
      </c>
      <c r="BZ32" s="10">
        <v>8000000</v>
      </c>
      <c r="CA32" s="10">
        <v>20195000</v>
      </c>
      <c r="CB32" s="10">
        <v>8000000</v>
      </c>
      <c r="CC32" s="10">
        <v>-128460000</v>
      </c>
      <c r="CH32" s="41"/>
      <c r="CK32" s="41">
        <v>2021</v>
      </c>
      <c r="CR32" s="10"/>
      <c r="CS32" s="10"/>
      <c r="CT32" s="10"/>
      <c r="CU32" t="s">
        <v>653</v>
      </c>
    </row>
    <row r="33" spans="1:99" x14ac:dyDescent="0.35">
      <c r="A33" t="s">
        <v>652</v>
      </c>
      <c r="B33" s="22">
        <v>44592</v>
      </c>
      <c r="C33">
        <v>2022</v>
      </c>
      <c r="D33" t="s">
        <v>212</v>
      </c>
      <c r="E33" t="s">
        <v>213</v>
      </c>
      <c r="G33" s="10">
        <v>318789000</v>
      </c>
      <c r="H33" s="10">
        <v>-19100000</v>
      </c>
      <c r="I33" s="10">
        <v>-347798000</v>
      </c>
      <c r="J33" s="10">
        <v>-28775000</v>
      </c>
      <c r="K33" s="10">
        <v>311754000</v>
      </c>
      <c r="L33" s="10">
        <v>15914000</v>
      </c>
      <c r="M33" s="10">
        <v>832000</v>
      </c>
      <c r="N33" s="10">
        <v>-64819000</v>
      </c>
      <c r="Q33" s="10">
        <v>31058000</v>
      </c>
      <c r="R33" s="10">
        <v>709000</v>
      </c>
      <c r="S33" s="10">
        <v>1541000</v>
      </c>
      <c r="T33" s="10">
        <v>1062000</v>
      </c>
      <c r="U33" s="10">
        <v>-3281000</v>
      </c>
      <c r="V33" s="10">
        <v>29348000</v>
      </c>
      <c r="X33" s="10">
        <v>-64819000</v>
      </c>
      <c r="Z33" s="10">
        <v>0</v>
      </c>
      <c r="AA33" s="10">
        <v>-381000</v>
      </c>
      <c r="AB33" s="10">
        <v>-381000</v>
      </c>
      <c r="AC33" s="10">
        <v>18689000</v>
      </c>
      <c r="AD33" s="10">
        <v>18689000</v>
      </c>
      <c r="AG33" s="10">
        <v>253970000</v>
      </c>
      <c r="AH33" s="10">
        <v>-347798000</v>
      </c>
      <c r="AI33" s="10">
        <v>292654000</v>
      </c>
      <c r="AN33" s="10">
        <v>-28775000</v>
      </c>
      <c r="AT33" s="10">
        <v>0</v>
      </c>
      <c r="AV33" s="10">
        <v>254820000</v>
      </c>
      <c r="AW33" s="10">
        <v>254820000</v>
      </c>
      <c r="AX33" s="10">
        <v>-10599000</v>
      </c>
      <c r="BB33" s="10">
        <v>-30000</v>
      </c>
      <c r="BC33" s="10">
        <v>-18146000</v>
      </c>
      <c r="BE33" s="41"/>
      <c r="BF33" s="10">
        <v>311754000</v>
      </c>
      <c r="BI33" s="10">
        <v>9278000</v>
      </c>
      <c r="BM33" s="10">
        <v>-18778000</v>
      </c>
      <c r="BN33" s="10">
        <v>-19100000</v>
      </c>
      <c r="BP33" s="10">
        <v>0</v>
      </c>
      <c r="BR33" s="10">
        <v>8179000</v>
      </c>
      <c r="BS33" s="10">
        <v>954000</v>
      </c>
      <c r="BY33" s="10">
        <v>-347798000</v>
      </c>
      <c r="BZ33" s="10">
        <v>-15205000</v>
      </c>
      <c r="CA33" s="10">
        <v>-1032000</v>
      </c>
      <c r="CB33" s="10">
        <v>-15205000</v>
      </c>
      <c r="CC33" s="10">
        <v>-347798000</v>
      </c>
      <c r="CH33" s="41"/>
      <c r="CK33" s="41">
        <v>2022</v>
      </c>
      <c r="CR33" s="10"/>
      <c r="CS33" s="10"/>
      <c r="CT33" s="10"/>
      <c r="CU33" t="s">
        <v>653</v>
      </c>
    </row>
    <row r="34" spans="1:99" x14ac:dyDescent="0.35">
      <c r="A34" t="s">
        <v>652</v>
      </c>
      <c r="B34" s="22">
        <v>44957</v>
      </c>
      <c r="C34">
        <v>2023</v>
      </c>
      <c r="D34" t="s">
        <v>212</v>
      </c>
      <c r="E34" t="s">
        <v>213</v>
      </c>
      <c r="G34" s="10">
        <v>253970000</v>
      </c>
      <c r="H34" s="10">
        <v>-30360000</v>
      </c>
      <c r="I34" s="10">
        <v>-202876000</v>
      </c>
      <c r="J34" s="10">
        <v>-41399000</v>
      </c>
      <c r="K34" s="10">
        <v>242382000</v>
      </c>
      <c r="L34" s="10">
        <v>-16213000</v>
      </c>
      <c r="M34" s="10">
        <v>-459000</v>
      </c>
      <c r="N34" s="10">
        <v>-1893000</v>
      </c>
      <c r="Q34" s="10">
        <v>-433000</v>
      </c>
      <c r="R34" s="10">
        <v>-18209000</v>
      </c>
      <c r="S34" s="10">
        <v>-18668000</v>
      </c>
      <c r="T34" s="10">
        <v>-2352000</v>
      </c>
      <c r="U34" s="10">
        <v>-94000</v>
      </c>
      <c r="V34" s="10">
        <v>-44586000</v>
      </c>
      <c r="X34" s="10">
        <v>-1893000</v>
      </c>
      <c r="Z34" s="10">
        <v>0</v>
      </c>
      <c r="AA34" s="10">
        <v>1142000</v>
      </c>
      <c r="AB34" s="10">
        <v>1142000</v>
      </c>
      <c r="AC34" s="10">
        <v>18855000</v>
      </c>
      <c r="AD34" s="10">
        <v>18855000</v>
      </c>
      <c r="AG34" s="10">
        <v>252077000</v>
      </c>
      <c r="AH34" s="10">
        <v>-202876000</v>
      </c>
      <c r="AI34" s="10">
        <v>212022000</v>
      </c>
      <c r="AN34" s="10">
        <v>-41399000</v>
      </c>
      <c r="AT34" s="10">
        <v>0</v>
      </c>
      <c r="AV34" s="10">
        <v>254626000</v>
      </c>
      <c r="AW34" s="10">
        <v>254626000</v>
      </c>
      <c r="AX34" s="10">
        <v>-11009000</v>
      </c>
      <c r="BB34" s="10">
        <v>-30000</v>
      </c>
      <c r="BC34" s="10">
        <v>-30360000</v>
      </c>
      <c r="BE34" s="41"/>
      <c r="BF34" s="10">
        <v>242382000</v>
      </c>
      <c r="BI34" s="10">
        <v>12345000</v>
      </c>
      <c r="BM34" s="10">
        <v>-34039000</v>
      </c>
      <c r="BN34" s="10">
        <v>-30360000</v>
      </c>
      <c r="BP34" s="10">
        <v>0</v>
      </c>
      <c r="BR34" s="10">
        <v>23030000</v>
      </c>
      <c r="BS34" s="10">
        <v>0</v>
      </c>
      <c r="BY34" s="10">
        <v>-202876000</v>
      </c>
      <c r="BZ34" s="10">
        <v>-1996000</v>
      </c>
      <c r="CA34" s="10">
        <v>-23039000</v>
      </c>
      <c r="CB34" s="10">
        <v>-1996000</v>
      </c>
      <c r="CC34" s="10">
        <v>-202876000</v>
      </c>
      <c r="CH34" s="41"/>
      <c r="CK34" s="41">
        <v>2023</v>
      </c>
      <c r="CR34" s="10"/>
      <c r="CS34" s="10"/>
      <c r="CT34" s="10"/>
      <c r="CU34" t="s">
        <v>653</v>
      </c>
    </row>
    <row r="35" spans="1:99" x14ac:dyDescent="0.35">
      <c r="A35" t="s">
        <v>652</v>
      </c>
      <c r="B35" s="22">
        <v>45322</v>
      </c>
      <c r="C35">
        <v>2024</v>
      </c>
      <c r="D35" t="s">
        <v>212</v>
      </c>
      <c r="E35" t="s">
        <v>213</v>
      </c>
      <c r="G35" s="10">
        <v>252077000</v>
      </c>
      <c r="H35" s="10">
        <v>-37274000</v>
      </c>
      <c r="I35" s="10">
        <v>-196738000</v>
      </c>
      <c r="J35" s="10">
        <v>-41770000</v>
      </c>
      <c r="K35" s="10">
        <v>254644000</v>
      </c>
      <c r="L35" s="10">
        <v>92000</v>
      </c>
      <c r="M35" s="10">
        <v>-280000</v>
      </c>
      <c r="N35" s="10">
        <v>16136000</v>
      </c>
      <c r="Q35" s="10">
        <v>-690000</v>
      </c>
      <c r="R35" s="10">
        <v>9730000</v>
      </c>
      <c r="S35" s="10">
        <v>9450000</v>
      </c>
      <c r="T35" s="10">
        <v>-6366000</v>
      </c>
      <c r="U35" s="10">
        <v>-1015000</v>
      </c>
      <c r="V35" s="10">
        <v>223000</v>
      </c>
      <c r="X35" s="10">
        <v>16136000</v>
      </c>
      <c r="AA35" s="10">
        <v>-1089000</v>
      </c>
      <c r="AB35" s="10">
        <v>-1089000</v>
      </c>
      <c r="AC35" s="10">
        <v>20830000</v>
      </c>
      <c r="AD35" s="10">
        <v>20830000</v>
      </c>
      <c r="AG35" s="10">
        <v>268213000</v>
      </c>
      <c r="AH35" s="10">
        <v>-196738000</v>
      </c>
      <c r="AI35" s="10">
        <v>217370000</v>
      </c>
      <c r="AN35" s="10">
        <v>-41770000</v>
      </c>
      <c r="AV35" s="10">
        <v>219919000</v>
      </c>
      <c r="AW35" s="10">
        <v>219919000</v>
      </c>
      <c r="AX35" s="10">
        <v>-4474000</v>
      </c>
      <c r="BB35" s="10">
        <v>-26000</v>
      </c>
      <c r="BC35" s="10">
        <v>-37270000</v>
      </c>
      <c r="BE35" s="41"/>
      <c r="BF35" s="10">
        <v>254644000</v>
      </c>
      <c r="BI35" s="10">
        <v>14761000</v>
      </c>
      <c r="BM35" s="10">
        <v>-43389000</v>
      </c>
      <c r="BN35" s="10">
        <v>-37274000</v>
      </c>
      <c r="BR35" s="10">
        <v>38915000</v>
      </c>
      <c r="BS35" s="10">
        <v>4000</v>
      </c>
      <c r="BY35" s="10">
        <v>-196738000</v>
      </c>
      <c r="BZ35" s="10">
        <v>9638000</v>
      </c>
      <c r="CA35" s="10">
        <v>-1156000</v>
      </c>
      <c r="CB35" s="10">
        <v>9638000</v>
      </c>
      <c r="CC35" s="10">
        <v>-196738000</v>
      </c>
      <c r="CH35" s="41"/>
      <c r="CK35" s="41">
        <v>2024</v>
      </c>
      <c r="CR35" s="10"/>
      <c r="CS35" s="10"/>
      <c r="CT35" s="10"/>
      <c r="CU35" t="s">
        <v>653</v>
      </c>
    </row>
    <row r="36" spans="1:99" x14ac:dyDescent="0.35">
      <c r="A36" t="s">
        <v>652</v>
      </c>
      <c r="B36" s="22">
        <v>45504</v>
      </c>
      <c r="C36">
        <v>2024</v>
      </c>
      <c r="D36" t="s">
        <v>214</v>
      </c>
      <c r="E36" t="s">
        <v>213</v>
      </c>
      <c r="G36" s="10">
        <v>275583000</v>
      </c>
      <c r="H36" s="10">
        <v>-41708000</v>
      </c>
      <c r="I36" s="10">
        <v>-196967000</v>
      </c>
      <c r="J36" s="10">
        <v>-41984000</v>
      </c>
      <c r="K36" s="10">
        <v>250634000</v>
      </c>
      <c r="L36" s="10">
        <v>7014000</v>
      </c>
      <c r="M36" s="10">
        <v>-430000</v>
      </c>
      <c r="N36" s="10">
        <v>11683000</v>
      </c>
      <c r="Q36" s="10">
        <v>7015000</v>
      </c>
      <c r="R36" s="10">
        <v>9594000</v>
      </c>
      <c r="S36" s="10">
        <v>9164000</v>
      </c>
      <c r="T36" s="10">
        <v>-10781000</v>
      </c>
      <c r="U36" s="10">
        <v>-603000</v>
      </c>
      <c r="V36" s="10">
        <v>9451000</v>
      </c>
      <c r="X36" s="10">
        <v>11683000</v>
      </c>
      <c r="AA36" s="10">
        <v>-1068000</v>
      </c>
      <c r="AB36" s="10">
        <v>-1068000</v>
      </c>
      <c r="AC36" s="10">
        <v>22009000</v>
      </c>
      <c r="AD36" s="10">
        <v>22009000</v>
      </c>
      <c r="AG36" s="10">
        <v>287266000</v>
      </c>
      <c r="AH36" s="10">
        <v>-196967000</v>
      </c>
      <c r="AI36" s="10">
        <v>208926000</v>
      </c>
      <c r="AN36" s="10">
        <v>-41984000</v>
      </c>
      <c r="AV36" s="10">
        <v>205441000</v>
      </c>
      <c r="AW36" s="10">
        <v>205441000</v>
      </c>
      <c r="AX36" s="10">
        <v>-254000</v>
      </c>
      <c r="BC36" s="10">
        <v>-41704000</v>
      </c>
      <c r="BE36" s="41"/>
      <c r="BF36" s="10">
        <v>250634000</v>
      </c>
      <c r="BI36" s="10">
        <v>14801000</v>
      </c>
      <c r="BM36" s="10">
        <v>-40770000</v>
      </c>
      <c r="BN36" s="10">
        <v>-41708000</v>
      </c>
      <c r="BR36" s="10">
        <v>40516000</v>
      </c>
      <c r="BY36" s="10">
        <v>-196967000</v>
      </c>
      <c r="BZ36" s="10">
        <v>2580000</v>
      </c>
      <c r="CA36" s="10">
        <v>4656000</v>
      </c>
      <c r="CB36" s="10">
        <v>2580000</v>
      </c>
      <c r="CC36" s="10">
        <v>-196967000</v>
      </c>
      <c r="CH36" s="41"/>
      <c r="CK36" s="41">
        <v>2024</v>
      </c>
      <c r="CR36" s="10"/>
      <c r="CS36" s="10"/>
      <c r="CT36" s="10"/>
      <c r="CU36" t="s">
        <v>653</v>
      </c>
    </row>
    <row r="37" spans="1:99" x14ac:dyDescent="0.35">
      <c r="A37" t="s">
        <v>654</v>
      </c>
      <c r="B37" s="22">
        <v>43830</v>
      </c>
      <c r="C37">
        <v>2019</v>
      </c>
      <c r="D37" t="s">
        <v>212</v>
      </c>
      <c r="E37" t="s">
        <v>213</v>
      </c>
      <c r="AP37" s="10">
        <v>0</v>
      </c>
      <c r="AQ37" s="10">
        <v>0</v>
      </c>
      <c r="BA37" s="10">
        <v>-1200000</v>
      </c>
      <c r="BE37" s="41"/>
      <c r="BL37" s="10">
        <v>0</v>
      </c>
      <c r="BQ37" s="10">
        <v>0</v>
      </c>
      <c r="CH37" s="41"/>
      <c r="CK37" s="41">
        <v>2019</v>
      </c>
      <c r="CR37" s="10"/>
      <c r="CS37" s="10"/>
      <c r="CT37" s="10"/>
      <c r="CU37" t="s">
        <v>655</v>
      </c>
    </row>
    <row r="38" spans="1:99" x14ac:dyDescent="0.35">
      <c r="A38" t="s">
        <v>654</v>
      </c>
      <c r="B38" s="22">
        <v>43830</v>
      </c>
      <c r="C38">
        <v>2019</v>
      </c>
      <c r="D38" t="s">
        <v>214</v>
      </c>
      <c r="E38" t="s">
        <v>213</v>
      </c>
      <c r="BA38" s="10">
        <v>-1200000</v>
      </c>
      <c r="BE38" s="41"/>
      <c r="BL38" s="10">
        <v>0</v>
      </c>
      <c r="CH38" s="41"/>
      <c r="CK38" s="41">
        <v>2019</v>
      </c>
      <c r="CR38" s="10"/>
      <c r="CS38" s="10"/>
      <c r="CT38" s="10"/>
      <c r="CU38" t="s">
        <v>655</v>
      </c>
    </row>
    <row r="39" spans="1:99" x14ac:dyDescent="0.35">
      <c r="A39" t="s">
        <v>654</v>
      </c>
      <c r="B39" s="22">
        <v>44196</v>
      </c>
      <c r="C39">
        <v>2020</v>
      </c>
      <c r="D39" t="s">
        <v>212</v>
      </c>
      <c r="E39" t="s">
        <v>213</v>
      </c>
      <c r="F39" s="10">
        <v>0</v>
      </c>
      <c r="G39" s="10">
        <v>74551000</v>
      </c>
      <c r="H39" s="10">
        <v>-58314000</v>
      </c>
      <c r="I39" s="10">
        <v>-351136000</v>
      </c>
      <c r="J39" s="10">
        <v>17840000</v>
      </c>
      <c r="K39" s="10">
        <v>427603000</v>
      </c>
      <c r="L39" s="10">
        <v>-4863000</v>
      </c>
      <c r="M39" s="10">
        <v>21692000</v>
      </c>
      <c r="N39" s="10">
        <v>95637000</v>
      </c>
      <c r="O39" s="10">
        <v>-41948000</v>
      </c>
      <c r="Q39" s="10">
        <v>18564000</v>
      </c>
      <c r="R39" s="10">
        <v>-4863000</v>
      </c>
      <c r="S39" s="10">
        <v>16829000</v>
      </c>
      <c r="U39" s="10">
        <v>83353000</v>
      </c>
      <c r="V39" s="10">
        <v>76798000</v>
      </c>
      <c r="W39" s="10">
        <v>7091000</v>
      </c>
      <c r="X39" s="10">
        <v>94307000</v>
      </c>
      <c r="Z39" s="10">
        <v>-80589000</v>
      </c>
      <c r="AA39" s="10">
        <v>-34670000</v>
      </c>
      <c r="AB39" s="10">
        <v>-34670000</v>
      </c>
      <c r="AC39" s="10">
        <v>174744000</v>
      </c>
      <c r="AD39" s="10">
        <v>174744000</v>
      </c>
      <c r="AF39" s="10">
        <v>1330000</v>
      </c>
      <c r="AG39" s="10">
        <v>170188000</v>
      </c>
      <c r="AH39" s="10">
        <v>-351136000</v>
      </c>
      <c r="AI39" s="10">
        <v>369289000</v>
      </c>
      <c r="AL39" s="10">
        <v>43066000</v>
      </c>
      <c r="AM39" s="10">
        <v>31240000</v>
      </c>
      <c r="AN39" s="10">
        <v>17840000</v>
      </c>
      <c r="AP39" s="10">
        <v>1010286000</v>
      </c>
      <c r="AQ39" s="10">
        <v>1010286000</v>
      </c>
      <c r="AR39" s="10">
        <v>-1254859000</v>
      </c>
      <c r="AS39" s="10">
        <v>117424000</v>
      </c>
      <c r="AT39" s="10">
        <v>-80589000</v>
      </c>
      <c r="AV39" s="10">
        <v>146762000</v>
      </c>
      <c r="AW39" s="10">
        <v>143796000</v>
      </c>
      <c r="AX39" s="10">
        <v>-41270000</v>
      </c>
      <c r="AY39" s="10">
        <v>-244573000</v>
      </c>
      <c r="AZ39" s="10">
        <v>-244573000</v>
      </c>
      <c r="BC39" s="10">
        <v>-7379000</v>
      </c>
      <c r="BE39" s="41"/>
      <c r="BF39" s="10">
        <v>427603000</v>
      </c>
      <c r="BG39" s="10">
        <v>8300000</v>
      </c>
      <c r="BI39" s="10">
        <v>19500000</v>
      </c>
      <c r="BK39" s="10">
        <v>4855000</v>
      </c>
      <c r="BM39" s="10">
        <v>-77178000</v>
      </c>
      <c r="BN39" s="10">
        <v>-7379000</v>
      </c>
      <c r="BO39" s="10">
        <v>-1254859000</v>
      </c>
      <c r="BP39" s="10">
        <v>-80589000</v>
      </c>
      <c r="BQ39" s="10">
        <v>117424000</v>
      </c>
      <c r="BR39" s="10">
        <v>35908000</v>
      </c>
      <c r="BS39" s="10">
        <v>0</v>
      </c>
      <c r="BT39" s="10">
        <v>39135000</v>
      </c>
      <c r="BV39" s="10">
        <v>156826000</v>
      </c>
      <c r="BW39" s="10">
        <v>156826000</v>
      </c>
      <c r="BY39" s="10">
        <v>-30829000</v>
      </c>
      <c r="CC39" s="10">
        <v>-30829000</v>
      </c>
      <c r="CD39" s="10">
        <v>17918000</v>
      </c>
      <c r="CH39" s="41"/>
      <c r="CK39" s="41">
        <v>2020</v>
      </c>
      <c r="CR39" s="10"/>
      <c r="CS39" s="10">
        <v>-50935000</v>
      </c>
      <c r="CT39" s="10">
        <v>-50935000</v>
      </c>
      <c r="CU39" t="s">
        <v>655</v>
      </c>
    </row>
    <row r="40" spans="1:99" x14ac:dyDescent="0.35">
      <c r="A40" t="s">
        <v>654</v>
      </c>
      <c r="B40" s="22">
        <v>44561</v>
      </c>
      <c r="C40">
        <v>2021</v>
      </c>
      <c r="D40" t="s">
        <v>212</v>
      </c>
      <c r="E40" t="s">
        <v>213</v>
      </c>
      <c r="F40" s="10">
        <v>0</v>
      </c>
      <c r="G40" s="10">
        <v>170188000</v>
      </c>
      <c r="H40" s="10">
        <v>-14136000</v>
      </c>
      <c r="I40" s="10">
        <v>-196245000</v>
      </c>
      <c r="J40" s="10">
        <v>-6206000</v>
      </c>
      <c r="K40" s="10">
        <v>234789000</v>
      </c>
      <c r="L40" s="10">
        <v>-5234000</v>
      </c>
      <c r="M40" s="10">
        <v>-27910000</v>
      </c>
      <c r="N40" s="10">
        <v>30933000</v>
      </c>
      <c r="O40" s="10">
        <v>7497000</v>
      </c>
      <c r="Q40" s="10">
        <v>-651000</v>
      </c>
      <c r="R40" s="10">
        <v>-5234000</v>
      </c>
      <c r="S40" s="10">
        <v>-33144000</v>
      </c>
      <c r="U40" s="10">
        <v>30881000</v>
      </c>
      <c r="V40" s="10">
        <v>4583000</v>
      </c>
      <c r="W40" s="10">
        <v>-27615000</v>
      </c>
      <c r="X40" s="10">
        <v>32338000</v>
      </c>
      <c r="Z40" s="10">
        <v>-100804000</v>
      </c>
      <c r="AA40" s="10">
        <v>-978000</v>
      </c>
      <c r="AB40" s="10">
        <v>-978000</v>
      </c>
      <c r="AC40" s="10">
        <v>227202000</v>
      </c>
      <c r="AD40" s="10">
        <v>227202000</v>
      </c>
      <c r="AF40" s="10">
        <v>-1405000</v>
      </c>
      <c r="AG40" s="10">
        <v>201121000</v>
      </c>
      <c r="AH40" s="10">
        <v>-196245000</v>
      </c>
      <c r="AI40" s="10">
        <v>220653000</v>
      </c>
      <c r="AL40" s="10">
        <v>30865000</v>
      </c>
      <c r="AM40" s="10">
        <v>32363000</v>
      </c>
      <c r="AN40" s="10">
        <v>-6206000</v>
      </c>
      <c r="AP40" s="10">
        <v>0</v>
      </c>
      <c r="AQ40" s="10">
        <v>0</v>
      </c>
      <c r="AR40" s="10">
        <v>-84048000</v>
      </c>
      <c r="AS40" s="10">
        <v>-17400000</v>
      </c>
      <c r="AT40" s="10">
        <v>-100804000</v>
      </c>
      <c r="AV40" s="10">
        <v>-55457000</v>
      </c>
      <c r="AW40" s="10">
        <v>-58913000</v>
      </c>
      <c r="AX40" s="10">
        <v>25311000</v>
      </c>
      <c r="AY40" s="10">
        <v>-84048000</v>
      </c>
      <c r="AZ40" s="10">
        <v>-84048000</v>
      </c>
      <c r="BA40" s="10">
        <v>-4253000</v>
      </c>
      <c r="BC40" s="10">
        <v>-13931000</v>
      </c>
      <c r="BE40" s="41"/>
      <c r="BF40" s="10">
        <v>234789000</v>
      </c>
      <c r="BG40" s="10">
        <v>8012000</v>
      </c>
      <c r="BI40" s="10">
        <v>-3299000</v>
      </c>
      <c r="BK40" s="10">
        <v>13839000</v>
      </c>
      <c r="BL40" s="10">
        <v>-17400000</v>
      </c>
      <c r="BM40" s="10">
        <v>-67343000</v>
      </c>
      <c r="BN40" s="10">
        <v>-13950000</v>
      </c>
      <c r="BO40" s="10">
        <v>-84048000</v>
      </c>
      <c r="BP40" s="10">
        <v>-100804000</v>
      </c>
      <c r="BR40" s="10">
        <v>92654000</v>
      </c>
      <c r="BS40" s="10">
        <v>19000</v>
      </c>
      <c r="BT40" s="10">
        <v>58182000</v>
      </c>
      <c r="BV40" s="10">
        <v>203401000</v>
      </c>
      <c r="BW40" s="10">
        <v>203401000</v>
      </c>
      <c r="BY40" s="10">
        <v>-20979000</v>
      </c>
      <c r="CC40" s="10">
        <v>-20979000</v>
      </c>
      <c r="CD40" s="10">
        <v>23801000</v>
      </c>
      <c r="CH40" s="41"/>
      <c r="CK40" s="41">
        <v>2021</v>
      </c>
      <c r="CR40" s="10"/>
      <c r="CS40" s="10">
        <v>-186000</v>
      </c>
      <c r="CT40" s="10">
        <v>-186000</v>
      </c>
      <c r="CU40" t="s">
        <v>655</v>
      </c>
    </row>
    <row r="41" spans="1:99" x14ac:dyDescent="0.35">
      <c r="A41" t="s">
        <v>654</v>
      </c>
      <c r="B41" s="22">
        <v>44926</v>
      </c>
      <c r="C41">
        <v>2022</v>
      </c>
      <c r="D41" t="s">
        <v>212</v>
      </c>
      <c r="E41" t="s">
        <v>213</v>
      </c>
      <c r="F41" s="10">
        <v>354000000</v>
      </c>
      <c r="G41" s="10">
        <v>201121000</v>
      </c>
      <c r="H41" s="10">
        <v>-12866000</v>
      </c>
      <c r="I41" s="10">
        <v>-263257000</v>
      </c>
      <c r="J41" s="10">
        <v>-2913000</v>
      </c>
      <c r="K41" s="10">
        <v>183023000</v>
      </c>
      <c r="L41" s="10">
        <v>18601000</v>
      </c>
      <c r="M41" s="10">
        <v>-3614000</v>
      </c>
      <c r="N41" s="10">
        <v>-86566000</v>
      </c>
      <c r="O41" s="10">
        <v>-3243000</v>
      </c>
      <c r="Q41" s="10">
        <v>-215000</v>
      </c>
      <c r="R41" s="10">
        <v>18601000</v>
      </c>
      <c r="S41" s="10">
        <v>14987000</v>
      </c>
      <c r="U41" s="10">
        <v>-61781000</v>
      </c>
      <c r="V41" s="10">
        <v>-50252000</v>
      </c>
      <c r="W41" s="10">
        <v>24892000</v>
      </c>
      <c r="X41" s="10">
        <v>-83147000</v>
      </c>
      <c r="Z41" s="10">
        <v>-33201000</v>
      </c>
      <c r="AA41" s="10">
        <v>-40301000</v>
      </c>
      <c r="AB41" s="10">
        <v>-40301000</v>
      </c>
      <c r="AC41" s="10">
        <v>160387000</v>
      </c>
      <c r="AD41" s="10">
        <v>160387000</v>
      </c>
      <c r="AF41" s="10">
        <v>-3419000</v>
      </c>
      <c r="AG41" s="10">
        <v>114555000</v>
      </c>
      <c r="AH41" s="10">
        <v>-263257000</v>
      </c>
      <c r="AI41" s="10">
        <v>170157000</v>
      </c>
      <c r="AL41" s="10">
        <v>24782000</v>
      </c>
      <c r="AM41" s="10">
        <v>40505000</v>
      </c>
      <c r="AN41" s="10">
        <v>-2913000</v>
      </c>
      <c r="AP41" s="10">
        <v>0</v>
      </c>
      <c r="AQ41" s="10">
        <v>0</v>
      </c>
      <c r="AR41" s="10">
        <v>-40500000</v>
      </c>
      <c r="AS41" s="10">
        <v>-50473000</v>
      </c>
      <c r="AT41" s="10">
        <v>-33201000</v>
      </c>
      <c r="AV41" s="10">
        <v>-295880000</v>
      </c>
      <c r="AW41" s="10">
        <v>-298586000</v>
      </c>
      <c r="AX41" s="10">
        <v>60340000</v>
      </c>
      <c r="AY41" s="10">
        <v>-40500000</v>
      </c>
      <c r="AZ41" s="10">
        <v>-40500000</v>
      </c>
      <c r="BC41" s="10">
        <v>-12490000</v>
      </c>
      <c r="BE41" s="41"/>
      <c r="BF41" s="10">
        <v>183023000</v>
      </c>
      <c r="BI41" s="10">
        <v>5149000</v>
      </c>
      <c r="BK41" s="10">
        <v>14260000</v>
      </c>
      <c r="BL41" s="10">
        <v>-50473000</v>
      </c>
      <c r="BM41" s="10">
        <v>-4490000</v>
      </c>
      <c r="BN41" s="10">
        <v>-12576000</v>
      </c>
      <c r="BO41" s="10">
        <v>-40500000</v>
      </c>
      <c r="BP41" s="10">
        <v>-33201000</v>
      </c>
      <c r="BR41" s="10">
        <v>64830000</v>
      </c>
      <c r="BS41" s="10">
        <v>86000</v>
      </c>
      <c r="BT41" s="10">
        <v>52626000</v>
      </c>
      <c r="BV41" s="10">
        <v>143243000</v>
      </c>
      <c r="BW41" s="10">
        <v>143243000</v>
      </c>
      <c r="BY41" s="10">
        <v>-203816000</v>
      </c>
      <c r="CC41" s="10">
        <v>-203816000</v>
      </c>
      <c r="CD41" s="10">
        <v>17144000</v>
      </c>
      <c r="CH41" s="41"/>
      <c r="CK41" s="41">
        <v>2022</v>
      </c>
      <c r="CR41" s="10"/>
      <c r="CS41" s="10">
        <v>-290000</v>
      </c>
      <c r="CT41" s="10">
        <v>-290000</v>
      </c>
      <c r="CU41" t="s">
        <v>655</v>
      </c>
    </row>
    <row r="42" spans="1:99" x14ac:dyDescent="0.35">
      <c r="A42" t="s">
        <v>654</v>
      </c>
      <c r="B42" s="22">
        <v>45291</v>
      </c>
      <c r="C42">
        <v>2023</v>
      </c>
      <c r="D42" t="s">
        <v>212</v>
      </c>
      <c r="E42" t="s">
        <v>213</v>
      </c>
      <c r="F42" s="10">
        <v>0</v>
      </c>
      <c r="G42" s="10">
        <v>114555000</v>
      </c>
      <c r="H42" s="10">
        <v>-6343000</v>
      </c>
      <c r="I42" s="10">
        <v>-178262000</v>
      </c>
      <c r="J42" s="10">
        <v>-34488000</v>
      </c>
      <c r="K42" s="10">
        <v>152755000</v>
      </c>
      <c r="L42" s="10">
        <v>-894000</v>
      </c>
      <c r="M42" s="10">
        <v>-14604000</v>
      </c>
      <c r="N42" s="10">
        <v>-59995000</v>
      </c>
      <c r="O42" s="10">
        <v>-4502000</v>
      </c>
      <c r="Q42" s="10">
        <v>-7355000</v>
      </c>
      <c r="R42" s="10">
        <v>-894000</v>
      </c>
      <c r="S42" s="10">
        <v>-15498000</v>
      </c>
      <c r="U42" s="10">
        <v>-16035000</v>
      </c>
      <c r="V42" s="10">
        <v>-43390000</v>
      </c>
      <c r="W42" s="10">
        <v>18268000</v>
      </c>
      <c r="X42" s="10">
        <v>-59995000</v>
      </c>
      <c r="Z42" s="10">
        <v>-11274000</v>
      </c>
      <c r="AA42" s="10">
        <v>11392000</v>
      </c>
      <c r="AB42" s="10">
        <v>11392000</v>
      </c>
      <c r="AC42" s="10">
        <v>95274000</v>
      </c>
      <c r="AD42" s="10">
        <v>95274000</v>
      </c>
      <c r="AF42" s="10">
        <v>0</v>
      </c>
      <c r="AG42" s="10">
        <v>54560000</v>
      </c>
      <c r="AH42" s="10">
        <v>-178262000</v>
      </c>
      <c r="AI42" s="10">
        <v>146412000</v>
      </c>
      <c r="AL42" s="10">
        <v>10318000</v>
      </c>
      <c r="AM42" s="10">
        <v>57760000</v>
      </c>
      <c r="AN42" s="10">
        <v>-34488000</v>
      </c>
      <c r="AR42" s="10">
        <v>-148000000</v>
      </c>
      <c r="AS42" s="10">
        <v>0</v>
      </c>
      <c r="AT42" s="10">
        <v>-11274000</v>
      </c>
      <c r="AV42" s="10">
        <v>67372000</v>
      </c>
      <c r="AW42" s="10">
        <v>67372000</v>
      </c>
      <c r="AX42" s="10">
        <v>-28145000</v>
      </c>
      <c r="AY42" s="10">
        <v>-148000000</v>
      </c>
      <c r="AZ42" s="10">
        <v>-148000000</v>
      </c>
      <c r="BC42" s="10">
        <v>-3812000</v>
      </c>
      <c r="BE42" s="41"/>
      <c r="BF42" s="10">
        <v>152755000</v>
      </c>
      <c r="BI42" s="10">
        <v>4050000</v>
      </c>
      <c r="BK42" s="10">
        <v>2351000</v>
      </c>
      <c r="BL42" s="10">
        <v>0</v>
      </c>
      <c r="BM42" s="10">
        <v>-42845000</v>
      </c>
      <c r="BN42" s="10">
        <v>-3812000</v>
      </c>
      <c r="BO42" s="10">
        <v>-148000000</v>
      </c>
      <c r="BP42" s="10">
        <v>-11274000</v>
      </c>
      <c r="BR42" s="10">
        <v>14700000</v>
      </c>
      <c r="BS42" s="10">
        <v>0</v>
      </c>
      <c r="BT42" s="10">
        <v>18057000</v>
      </c>
      <c r="BV42" s="10">
        <v>93735000</v>
      </c>
      <c r="BW42" s="10">
        <v>93735000</v>
      </c>
      <c r="BY42" s="10">
        <v>-21339000</v>
      </c>
      <c r="CC42" s="10">
        <v>-21339000</v>
      </c>
      <c r="CD42" s="10">
        <v>1539000</v>
      </c>
      <c r="CH42" s="41"/>
      <c r="CK42" s="41">
        <v>2023</v>
      </c>
      <c r="CR42" s="10"/>
      <c r="CS42" s="10">
        <v>-2531000</v>
      </c>
      <c r="CT42" s="10">
        <v>-2531000</v>
      </c>
      <c r="CU42" t="s">
        <v>655</v>
      </c>
    </row>
    <row r="43" spans="1:99" x14ac:dyDescent="0.35">
      <c r="A43" t="s">
        <v>654</v>
      </c>
      <c r="B43" s="22">
        <v>45473</v>
      </c>
      <c r="C43">
        <v>2024</v>
      </c>
      <c r="D43" t="s">
        <v>214</v>
      </c>
      <c r="E43" t="s">
        <v>213</v>
      </c>
      <c r="G43" s="10">
        <v>60470000</v>
      </c>
      <c r="H43" s="10">
        <v>-14393000</v>
      </c>
      <c r="I43" s="10">
        <v>-128070000</v>
      </c>
      <c r="J43" s="10">
        <v>-17323000</v>
      </c>
      <c r="K43" s="10">
        <v>151377000</v>
      </c>
      <c r="L43" s="10">
        <v>-10745000</v>
      </c>
      <c r="M43" s="10">
        <v>127000</v>
      </c>
      <c r="N43" s="10">
        <v>5984000</v>
      </c>
      <c r="O43" s="10">
        <v>-6039000</v>
      </c>
      <c r="Q43" s="10">
        <v>8443000</v>
      </c>
      <c r="R43" s="10">
        <v>-10745000</v>
      </c>
      <c r="S43" s="10">
        <v>-10618000</v>
      </c>
      <c r="U43" s="10">
        <v>-7978000</v>
      </c>
      <c r="V43" s="10">
        <v>-16192000</v>
      </c>
      <c r="W43" s="10">
        <v>5226000</v>
      </c>
      <c r="X43" s="10">
        <v>5984000</v>
      </c>
      <c r="Z43" s="10">
        <v>-12885000</v>
      </c>
      <c r="AA43" s="10">
        <v>6295000</v>
      </c>
      <c r="AB43" s="10">
        <v>6295000</v>
      </c>
      <c r="AC43" s="10">
        <v>91363000</v>
      </c>
      <c r="AD43" s="10">
        <v>91363000</v>
      </c>
      <c r="AG43" s="10">
        <v>66454000</v>
      </c>
      <c r="AH43" s="10">
        <v>-128070000</v>
      </c>
      <c r="AI43" s="10">
        <v>136984000</v>
      </c>
      <c r="AL43" s="10">
        <v>13462000</v>
      </c>
      <c r="AM43" s="10">
        <v>53221000</v>
      </c>
      <c r="AN43" s="10">
        <v>-17323000</v>
      </c>
      <c r="AR43" s="10">
        <v>-96389000</v>
      </c>
      <c r="AT43" s="10">
        <v>-12885000</v>
      </c>
      <c r="AV43" s="10">
        <v>46213000</v>
      </c>
      <c r="AW43" s="10">
        <v>46213000</v>
      </c>
      <c r="AX43" s="10">
        <v>-2930000</v>
      </c>
      <c r="AY43" s="10">
        <v>-96389000</v>
      </c>
      <c r="AZ43" s="10">
        <v>-96389000</v>
      </c>
      <c r="BC43" s="10">
        <v>-3481000</v>
      </c>
      <c r="BE43" s="41"/>
      <c r="BF43" s="10">
        <v>151377000</v>
      </c>
      <c r="BI43" s="10">
        <v>1647000</v>
      </c>
      <c r="BK43" s="10">
        <v>2760000</v>
      </c>
      <c r="BM43" s="10">
        <v>-37780000</v>
      </c>
      <c r="BN43" s="10">
        <v>-3481000</v>
      </c>
      <c r="BO43" s="10">
        <v>-96389000</v>
      </c>
      <c r="BP43" s="10">
        <v>-12885000</v>
      </c>
      <c r="BR43" s="10">
        <v>34850000</v>
      </c>
      <c r="BT43" s="10">
        <v>21598000</v>
      </c>
      <c r="BV43" s="10">
        <v>89583000</v>
      </c>
      <c r="BW43" s="10">
        <v>89583000</v>
      </c>
      <c r="BY43" s="10">
        <v>-21556000</v>
      </c>
      <c r="CC43" s="10">
        <v>-21556000</v>
      </c>
      <c r="CD43" s="10">
        <v>1780000</v>
      </c>
      <c r="CH43" s="41"/>
      <c r="CK43" s="41">
        <v>2024</v>
      </c>
      <c r="CR43" s="10"/>
      <c r="CS43" s="10">
        <v>-10912000</v>
      </c>
      <c r="CT43" s="10">
        <v>-10912000</v>
      </c>
      <c r="CU43" t="s">
        <v>655</v>
      </c>
    </row>
    <row r="44" spans="1:99" x14ac:dyDescent="0.35">
      <c r="A44" t="s">
        <v>656</v>
      </c>
      <c r="B44" s="22">
        <v>43769</v>
      </c>
      <c r="C44">
        <v>2019</v>
      </c>
      <c r="D44" t="s">
        <v>214</v>
      </c>
      <c r="E44" t="s">
        <v>213</v>
      </c>
      <c r="Q44" s="10">
        <v>-14105000</v>
      </c>
      <c r="BE44" s="41"/>
      <c r="CH44" s="41"/>
      <c r="CK44" s="41">
        <v>2019</v>
      </c>
      <c r="CR44" s="10"/>
      <c r="CS44" s="10"/>
      <c r="CT44" s="10"/>
      <c r="CU44" t="s">
        <v>657</v>
      </c>
    </row>
    <row r="45" spans="1:99" x14ac:dyDescent="0.35">
      <c r="A45" t="s">
        <v>656</v>
      </c>
      <c r="B45" s="22">
        <v>43951</v>
      </c>
      <c r="C45">
        <v>2020</v>
      </c>
      <c r="D45" t="s">
        <v>212</v>
      </c>
      <c r="E45" t="s">
        <v>213</v>
      </c>
      <c r="O45" s="10">
        <v>-5000</v>
      </c>
      <c r="Q45" s="10">
        <v>-12690000</v>
      </c>
      <c r="AR45" s="10">
        <v>-54000</v>
      </c>
      <c r="AY45" s="10">
        <v>-54000</v>
      </c>
      <c r="AZ45" s="10">
        <v>-54000</v>
      </c>
      <c r="BE45" s="41"/>
      <c r="BO45" s="10">
        <v>-54000</v>
      </c>
      <c r="CH45" s="41"/>
      <c r="CK45" s="41">
        <v>2020</v>
      </c>
      <c r="CR45" s="10"/>
      <c r="CS45" s="10"/>
      <c r="CT45" s="10"/>
      <c r="CU45" t="s">
        <v>657</v>
      </c>
    </row>
    <row r="46" spans="1:99" x14ac:dyDescent="0.35">
      <c r="A46" t="s">
        <v>656</v>
      </c>
      <c r="B46" s="22">
        <v>44316</v>
      </c>
      <c r="C46">
        <v>2021</v>
      </c>
      <c r="D46" t="s">
        <v>212</v>
      </c>
      <c r="E46" t="s">
        <v>213</v>
      </c>
      <c r="G46" s="10">
        <v>15789000</v>
      </c>
      <c r="H46" s="10">
        <v>-82000</v>
      </c>
      <c r="I46" s="10">
        <v>212117000</v>
      </c>
      <c r="J46" s="10">
        <v>-147654000</v>
      </c>
      <c r="K46" s="10">
        <v>-30171000</v>
      </c>
      <c r="L46" s="10">
        <v>150000</v>
      </c>
      <c r="M46" s="10">
        <v>983000</v>
      </c>
      <c r="N46" s="10">
        <v>34803000</v>
      </c>
      <c r="O46" s="10">
        <v>-22000</v>
      </c>
      <c r="R46" s="10">
        <v>150000</v>
      </c>
      <c r="S46" s="10">
        <v>1133000</v>
      </c>
      <c r="T46" s="10">
        <v>-244000</v>
      </c>
      <c r="U46" s="10">
        <v>7457000</v>
      </c>
      <c r="V46" s="10">
        <v>8346000</v>
      </c>
      <c r="X46" s="10">
        <v>34292000</v>
      </c>
      <c r="Y46" s="10">
        <v>210582000</v>
      </c>
      <c r="AC46" s="10">
        <v>537000</v>
      </c>
      <c r="AD46" s="10">
        <v>537000</v>
      </c>
      <c r="AF46" s="10">
        <v>511000</v>
      </c>
      <c r="AG46" s="10">
        <v>50592000</v>
      </c>
      <c r="AH46" s="10">
        <v>212117000</v>
      </c>
      <c r="AI46" s="10">
        <v>-30253000</v>
      </c>
      <c r="AJ46" s="10">
        <v>-153000</v>
      </c>
      <c r="AN46" s="10">
        <v>-147654000</v>
      </c>
      <c r="AO46" s="10">
        <v>210582000</v>
      </c>
      <c r="AR46" s="10">
        <v>0</v>
      </c>
      <c r="AT46" s="10">
        <v>210582000</v>
      </c>
      <c r="AU46" s="10">
        <v>-574000</v>
      </c>
      <c r="AV46" s="10">
        <v>-46244000</v>
      </c>
      <c r="AW46" s="10">
        <v>-46244000</v>
      </c>
      <c r="AX46" s="10">
        <v>-147572000</v>
      </c>
      <c r="AY46" s="10">
        <v>0</v>
      </c>
      <c r="AZ46" s="10">
        <v>0</v>
      </c>
      <c r="BC46" s="10">
        <v>-82000</v>
      </c>
      <c r="BE46" s="41">
        <v>685000</v>
      </c>
      <c r="BF46" s="10">
        <v>-30171000</v>
      </c>
      <c r="BG46" s="10">
        <v>-727000</v>
      </c>
      <c r="BI46" s="10">
        <v>114000</v>
      </c>
      <c r="BK46" s="10">
        <v>1535000</v>
      </c>
      <c r="BM46" s="10">
        <v>-201210000</v>
      </c>
      <c r="BN46" s="10">
        <v>-82000</v>
      </c>
      <c r="BO46" s="10">
        <v>0</v>
      </c>
      <c r="BR46" s="10">
        <v>53638000</v>
      </c>
      <c r="BT46" s="10">
        <v>7118000</v>
      </c>
      <c r="CH46" s="41"/>
      <c r="CK46" s="41">
        <v>2021</v>
      </c>
      <c r="CR46" s="10"/>
      <c r="CS46" s="10"/>
      <c r="CT46" s="10"/>
      <c r="CU46" t="s">
        <v>657</v>
      </c>
    </row>
    <row r="47" spans="1:99" x14ac:dyDescent="0.35">
      <c r="A47" t="s">
        <v>656</v>
      </c>
      <c r="B47" s="22">
        <v>44681</v>
      </c>
      <c r="C47">
        <v>2022</v>
      </c>
      <c r="D47" t="s">
        <v>212</v>
      </c>
      <c r="E47" t="s">
        <v>213</v>
      </c>
      <c r="G47" s="10">
        <v>50592000</v>
      </c>
      <c r="H47" s="10">
        <v>-931000</v>
      </c>
      <c r="I47" s="10">
        <v>1581000</v>
      </c>
      <c r="J47" s="10">
        <v>57860000</v>
      </c>
      <c r="K47" s="10">
        <v>-78134000</v>
      </c>
      <c r="L47" s="10">
        <v>1687000</v>
      </c>
      <c r="M47" s="10">
        <v>472000</v>
      </c>
      <c r="N47" s="10">
        <v>-19860000</v>
      </c>
      <c r="R47" s="10">
        <v>1687000</v>
      </c>
      <c r="S47" s="10">
        <v>2159000</v>
      </c>
      <c r="T47" s="10">
        <v>-9280000</v>
      </c>
      <c r="U47" s="10">
        <v>-5201000</v>
      </c>
      <c r="V47" s="10">
        <v>-12322000</v>
      </c>
      <c r="X47" s="10">
        <v>-18693000</v>
      </c>
      <c r="Y47" s="10">
        <v>0</v>
      </c>
      <c r="AC47" s="10">
        <v>564000</v>
      </c>
      <c r="AD47" s="10">
        <v>564000</v>
      </c>
      <c r="AF47" s="10">
        <v>-1167000</v>
      </c>
      <c r="AG47" s="10">
        <v>30732000</v>
      </c>
      <c r="AH47" s="10">
        <v>1581000</v>
      </c>
      <c r="AI47" s="10">
        <v>-79065000</v>
      </c>
      <c r="AJ47" s="10">
        <v>581000</v>
      </c>
      <c r="AN47" s="10">
        <v>57860000</v>
      </c>
      <c r="AO47" s="10">
        <v>0</v>
      </c>
      <c r="AR47" s="10">
        <v>0</v>
      </c>
      <c r="AT47" s="10">
        <v>0</v>
      </c>
      <c r="AU47" s="10">
        <v>1552000</v>
      </c>
      <c r="AV47" s="10">
        <v>-82339000</v>
      </c>
      <c r="AW47" s="10">
        <v>-82339000</v>
      </c>
      <c r="AX47" s="10">
        <v>58791000</v>
      </c>
      <c r="AY47" s="10">
        <v>0</v>
      </c>
      <c r="AZ47" s="10">
        <v>0</v>
      </c>
      <c r="BC47" s="10">
        <v>-931000</v>
      </c>
      <c r="BE47" s="41">
        <v>2565000</v>
      </c>
      <c r="BF47" s="10">
        <v>-78134000</v>
      </c>
      <c r="BG47" s="10">
        <v>2133000</v>
      </c>
      <c r="BI47" s="10">
        <v>179000</v>
      </c>
      <c r="BK47" s="10">
        <v>1581000</v>
      </c>
      <c r="BM47" s="10">
        <v>-136920000</v>
      </c>
      <c r="BN47" s="10">
        <v>-931000</v>
      </c>
      <c r="BO47" s="10">
        <v>0</v>
      </c>
      <c r="BR47" s="10">
        <v>195711000</v>
      </c>
      <c r="BT47" s="10">
        <v>11086000</v>
      </c>
      <c r="BX47" s="10">
        <v>0</v>
      </c>
      <c r="CH47" s="41"/>
      <c r="CK47" s="41">
        <v>2022</v>
      </c>
      <c r="CR47" s="10"/>
      <c r="CS47" s="10"/>
      <c r="CT47" s="10"/>
      <c r="CU47" t="s">
        <v>657</v>
      </c>
    </row>
    <row r="48" spans="1:99" x14ac:dyDescent="0.35">
      <c r="A48" t="s">
        <v>656</v>
      </c>
      <c r="B48" s="22">
        <v>45046</v>
      </c>
      <c r="C48">
        <v>2023</v>
      </c>
      <c r="D48" t="s">
        <v>212</v>
      </c>
      <c r="E48" t="s">
        <v>213</v>
      </c>
      <c r="G48" s="10">
        <v>30732000</v>
      </c>
      <c r="H48" s="10">
        <v>-1196000</v>
      </c>
      <c r="I48" s="10">
        <v>58116000</v>
      </c>
      <c r="J48" s="10">
        <v>41415000</v>
      </c>
      <c r="K48" s="10">
        <v>-75261000</v>
      </c>
      <c r="L48" s="10">
        <v>1107000</v>
      </c>
      <c r="M48" s="10">
        <v>1932000</v>
      </c>
      <c r="N48" s="10">
        <v>25506000</v>
      </c>
      <c r="R48" s="10">
        <v>1107000</v>
      </c>
      <c r="S48" s="10">
        <v>3039000</v>
      </c>
      <c r="T48" s="10">
        <v>6690000</v>
      </c>
      <c r="U48" s="10">
        <v>-2316000</v>
      </c>
      <c r="V48" s="10">
        <v>7413000</v>
      </c>
      <c r="X48" s="10">
        <v>24270000</v>
      </c>
      <c r="Y48" s="10">
        <v>56582000</v>
      </c>
      <c r="AC48" s="10">
        <v>718000</v>
      </c>
      <c r="AD48" s="10">
        <v>718000</v>
      </c>
      <c r="AF48" s="10">
        <v>1236000</v>
      </c>
      <c r="AG48" s="10">
        <v>56238000</v>
      </c>
      <c r="AH48" s="10">
        <v>58116000</v>
      </c>
      <c r="AI48" s="10">
        <v>-76457000</v>
      </c>
      <c r="AJ48" s="10">
        <v>139000</v>
      </c>
      <c r="AN48" s="10">
        <v>41415000</v>
      </c>
      <c r="AO48" s="10">
        <v>56582000</v>
      </c>
      <c r="AT48" s="10">
        <v>56582000</v>
      </c>
      <c r="AU48" s="10">
        <v>-1618000</v>
      </c>
      <c r="AV48" s="10">
        <v>-92907000</v>
      </c>
      <c r="AW48" s="10">
        <v>-92907000</v>
      </c>
      <c r="AX48" s="10">
        <v>42611000</v>
      </c>
      <c r="BC48" s="10">
        <v>-1196000</v>
      </c>
      <c r="BE48" s="41">
        <v>988000</v>
      </c>
      <c r="BF48" s="10">
        <v>-75261000</v>
      </c>
      <c r="BG48" s="10">
        <v>-1479000</v>
      </c>
      <c r="BI48" s="10">
        <v>84000</v>
      </c>
      <c r="BK48" s="10">
        <v>1534000</v>
      </c>
      <c r="BM48" s="10">
        <v>-98246000</v>
      </c>
      <c r="BN48" s="10">
        <v>-1196000</v>
      </c>
      <c r="BR48" s="10">
        <v>140857000</v>
      </c>
      <c r="BT48" s="10">
        <v>9922000</v>
      </c>
      <c r="BX48" s="10">
        <v>0</v>
      </c>
      <c r="CH48" s="41"/>
      <c r="CK48" s="41">
        <v>2023</v>
      </c>
      <c r="CR48" s="10"/>
      <c r="CS48" s="10"/>
      <c r="CT48" s="10"/>
      <c r="CU48" t="s">
        <v>657</v>
      </c>
    </row>
    <row r="49" spans="1:99" x14ac:dyDescent="0.35">
      <c r="A49" t="s">
        <v>656</v>
      </c>
      <c r="B49" s="22">
        <v>45412</v>
      </c>
      <c r="C49">
        <v>2024</v>
      </c>
      <c r="D49" t="s">
        <v>212</v>
      </c>
      <c r="E49" t="s">
        <v>213</v>
      </c>
      <c r="G49" s="10">
        <v>56238000</v>
      </c>
      <c r="H49" s="10">
        <v>-443000</v>
      </c>
      <c r="I49" s="10">
        <v>150714000</v>
      </c>
      <c r="J49" s="10">
        <v>-84719000</v>
      </c>
      <c r="K49" s="10">
        <v>-89231000</v>
      </c>
      <c r="L49" s="10">
        <v>4320000</v>
      </c>
      <c r="M49" s="10">
        <v>3209000</v>
      </c>
      <c r="N49" s="10">
        <v>-24449000</v>
      </c>
      <c r="R49" s="10">
        <v>4320000</v>
      </c>
      <c r="S49" s="10">
        <v>7529000</v>
      </c>
      <c r="T49" s="10">
        <v>-538000</v>
      </c>
      <c r="U49" s="10">
        <v>8176000</v>
      </c>
      <c r="V49" s="10">
        <v>15167000</v>
      </c>
      <c r="X49" s="10">
        <v>-23236000</v>
      </c>
      <c r="Y49" s="10">
        <v>96945000</v>
      </c>
      <c r="AC49" s="10">
        <v>816000</v>
      </c>
      <c r="AD49" s="10">
        <v>816000</v>
      </c>
      <c r="AF49" s="10">
        <v>-1213000</v>
      </c>
      <c r="AG49" s="10">
        <v>31789000</v>
      </c>
      <c r="AH49" s="10">
        <v>150714000</v>
      </c>
      <c r="AI49" s="10">
        <v>-89674000</v>
      </c>
      <c r="AJ49" s="10">
        <v>-1325000</v>
      </c>
      <c r="AN49" s="10">
        <v>-84719000</v>
      </c>
      <c r="AO49" s="10">
        <v>96945000</v>
      </c>
      <c r="AT49" s="10">
        <v>96945000</v>
      </c>
      <c r="AU49" s="10">
        <v>760000</v>
      </c>
      <c r="AV49" s="10">
        <v>-126644000</v>
      </c>
      <c r="AW49" s="10">
        <v>-126644000</v>
      </c>
      <c r="AX49" s="10">
        <v>-84276000</v>
      </c>
      <c r="BC49" s="10">
        <v>-42000</v>
      </c>
      <c r="BE49" s="41">
        <v>92000</v>
      </c>
      <c r="BF49" s="10">
        <v>-89231000</v>
      </c>
      <c r="BG49" s="10">
        <v>-565000</v>
      </c>
      <c r="BI49" s="10">
        <v>-12000</v>
      </c>
      <c r="BK49" s="10">
        <v>53769000</v>
      </c>
      <c r="BM49" s="10">
        <v>-189231000</v>
      </c>
      <c r="BN49" s="10">
        <v>-42000</v>
      </c>
      <c r="BR49" s="10">
        <v>104955000</v>
      </c>
      <c r="BT49" s="10">
        <v>21915000</v>
      </c>
      <c r="BX49" s="10">
        <v>-401000</v>
      </c>
      <c r="CH49" s="41"/>
      <c r="CK49" s="41">
        <v>2024</v>
      </c>
      <c r="CR49" s="10"/>
      <c r="CS49" s="10"/>
      <c r="CT49" s="10"/>
      <c r="CU49" t="s">
        <v>657</v>
      </c>
    </row>
    <row r="50" spans="1:99" x14ac:dyDescent="0.35">
      <c r="A50" t="s">
        <v>656</v>
      </c>
      <c r="B50" s="22">
        <v>45504</v>
      </c>
      <c r="C50">
        <v>2024</v>
      </c>
      <c r="D50" t="s">
        <v>214</v>
      </c>
      <c r="E50" t="s">
        <v>213</v>
      </c>
      <c r="G50" s="10">
        <v>49409000</v>
      </c>
      <c r="H50" s="10">
        <v>-522000</v>
      </c>
      <c r="I50" s="10">
        <v>153510000</v>
      </c>
      <c r="J50" s="10">
        <v>-67170000</v>
      </c>
      <c r="K50" s="10">
        <v>-102721000</v>
      </c>
      <c r="L50" s="10">
        <v>5714000</v>
      </c>
      <c r="M50" s="10">
        <v>2673000</v>
      </c>
      <c r="N50" s="10">
        <v>-17561000</v>
      </c>
      <c r="R50" s="10">
        <v>5714000</v>
      </c>
      <c r="S50" s="10">
        <v>8387000</v>
      </c>
      <c r="T50" s="10">
        <v>-318000</v>
      </c>
      <c r="U50" s="10">
        <v>9007000</v>
      </c>
      <c r="V50" s="10">
        <v>17076000</v>
      </c>
      <c r="X50" s="10">
        <v>-16381000</v>
      </c>
      <c r="AC50" s="10">
        <v>847000</v>
      </c>
      <c r="AD50" s="10">
        <v>847000</v>
      </c>
      <c r="AF50" s="10">
        <v>-1180000</v>
      </c>
      <c r="AG50" s="10">
        <v>33028000</v>
      </c>
      <c r="AH50" s="10">
        <v>153510000</v>
      </c>
      <c r="AI50" s="10">
        <v>-103243000</v>
      </c>
      <c r="AJ50" s="10">
        <v>-1328000</v>
      </c>
      <c r="AN50" s="10">
        <v>-67170000</v>
      </c>
      <c r="AU50" s="10">
        <v>741000</v>
      </c>
      <c r="AV50" s="10">
        <v>-141770000</v>
      </c>
      <c r="AW50" s="10">
        <v>-141770000</v>
      </c>
      <c r="AX50" s="10">
        <v>-66648000</v>
      </c>
      <c r="BC50" s="10">
        <v>-57000</v>
      </c>
      <c r="BE50" s="41">
        <v>35000</v>
      </c>
      <c r="BF50" s="10">
        <v>-102721000</v>
      </c>
      <c r="BG50" s="10">
        <v>-587000</v>
      </c>
      <c r="BI50" s="10">
        <v>-23000</v>
      </c>
      <c r="BK50" s="10">
        <v>56565000</v>
      </c>
      <c r="BM50" s="10">
        <v>-164447000</v>
      </c>
      <c r="BN50" s="10">
        <v>-57000</v>
      </c>
      <c r="BR50" s="10">
        <v>97799000</v>
      </c>
      <c r="BT50" s="10">
        <v>21701000</v>
      </c>
      <c r="BX50" s="10">
        <v>-465000</v>
      </c>
      <c r="CH50" s="41"/>
      <c r="CK50" s="41">
        <v>2024</v>
      </c>
      <c r="CR50" s="10"/>
      <c r="CS50" s="10"/>
      <c r="CT50" s="10"/>
      <c r="CU50" t="s">
        <v>657</v>
      </c>
    </row>
    <row r="51" spans="1:99" x14ac:dyDescent="0.35">
      <c r="A51" t="s">
        <v>658</v>
      </c>
      <c r="B51" s="22">
        <v>43830</v>
      </c>
      <c r="C51">
        <v>2019</v>
      </c>
      <c r="D51" t="s">
        <v>212</v>
      </c>
      <c r="E51" t="s">
        <v>213</v>
      </c>
      <c r="BE51" s="41"/>
      <c r="CH51" s="41"/>
      <c r="CJ51" s="10">
        <v>-8442000</v>
      </c>
      <c r="CK51" s="41">
        <v>2019</v>
      </c>
      <c r="CR51" s="10"/>
      <c r="CS51" s="10"/>
      <c r="CT51" s="10"/>
      <c r="CU51" t="s">
        <v>659</v>
      </c>
    </row>
    <row r="52" spans="1:99" x14ac:dyDescent="0.35">
      <c r="A52" t="s">
        <v>658</v>
      </c>
      <c r="B52" s="22">
        <v>43830</v>
      </c>
      <c r="C52">
        <v>2019</v>
      </c>
      <c r="D52" t="s">
        <v>214</v>
      </c>
      <c r="E52" t="s">
        <v>213</v>
      </c>
      <c r="BE52" s="41"/>
      <c r="CH52" s="41"/>
      <c r="CJ52" s="10">
        <v>-8442000</v>
      </c>
      <c r="CK52" s="41">
        <v>2019</v>
      </c>
      <c r="CR52" s="10"/>
      <c r="CS52" s="10"/>
      <c r="CT52" s="10"/>
      <c r="CU52" t="s">
        <v>659</v>
      </c>
    </row>
    <row r="53" spans="1:99" x14ac:dyDescent="0.35">
      <c r="A53" t="s">
        <v>658</v>
      </c>
      <c r="B53" s="22">
        <v>44196</v>
      </c>
      <c r="C53">
        <v>2020</v>
      </c>
      <c r="D53" t="s">
        <v>212</v>
      </c>
      <c r="E53" t="s">
        <v>213</v>
      </c>
      <c r="G53" s="10">
        <v>596000</v>
      </c>
      <c r="H53" s="10">
        <v>-34277000</v>
      </c>
      <c r="I53" s="10">
        <v>19046000</v>
      </c>
      <c r="J53" s="10">
        <v>-39972000</v>
      </c>
      <c r="K53" s="10">
        <v>20358000</v>
      </c>
      <c r="L53" s="10">
        <v>-1835000</v>
      </c>
      <c r="M53" s="10">
        <v>401000</v>
      </c>
      <c r="N53" s="10">
        <v>-568000</v>
      </c>
      <c r="O53" s="10">
        <v>390000</v>
      </c>
      <c r="P53" s="10">
        <v>-635000</v>
      </c>
      <c r="Q53" s="10">
        <v>-196000</v>
      </c>
      <c r="R53" s="10">
        <v>-1941000</v>
      </c>
      <c r="S53" s="10">
        <v>-1540000</v>
      </c>
      <c r="T53" s="10">
        <v>105000</v>
      </c>
      <c r="U53" s="10">
        <v>-2889000</v>
      </c>
      <c r="V53" s="10">
        <v>-5036000</v>
      </c>
      <c r="W53" s="10">
        <v>-2324000</v>
      </c>
      <c r="X53" s="10">
        <v>-568000</v>
      </c>
      <c r="Y53" s="10">
        <v>1539000</v>
      </c>
      <c r="AA53" s="10">
        <v>-1963000</v>
      </c>
      <c r="AB53" s="10">
        <v>-1963000</v>
      </c>
      <c r="AC53" s="10">
        <v>11143000</v>
      </c>
      <c r="AD53" s="10">
        <v>11143000</v>
      </c>
      <c r="AG53" s="10">
        <v>28000</v>
      </c>
      <c r="AH53" s="10">
        <v>19046000</v>
      </c>
      <c r="AI53" s="10">
        <v>-13919000</v>
      </c>
      <c r="AL53" s="10">
        <v>8792000</v>
      </c>
      <c r="AM53" s="10">
        <v>7519000</v>
      </c>
      <c r="AN53" s="10">
        <v>-39972000</v>
      </c>
      <c r="AO53" s="10">
        <v>1539000</v>
      </c>
      <c r="AP53" s="10">
        <v>19403000</v>
      </c>
      <c r="AQ53" s="10">
        <v>0</v>
      </c>
      <c r="AR53" s="10">
        <v>-1772000</v>
      </c>
      <c r="AS53" s="10">
        <v>-5741000</v>
      </c>
      <c r="AT53" s="10">
        <v>1539000</v>
      </c>
      <c r="AV53" s="10">
        <v>16817000</v>
      </c>
      <c r="AW53" s="10">
        <v>16817000</v>
      </c>
      <c r="AY53" s="10">
        <v>17631000</v>
      </c>
      <c r="AZ53" s="10">
        <v>-1772000</v>
      </c>
      <c r="BA53" s="10">
        <v>9252000</v>
      </c>
      <c r="BB53" s="10">
        <v>46000</v>
      </c>
      <c r="BE53" s="41"/>
      <c r="BF53" s="10">
        <v>20358000</v>
      </c>
      <c r="BI53" s="10">
        <v>-781000</v>
      </c>
      <c r="BL53" s="10">
        <v>-5741000</v>
      </c>
      <c r="BO53" s="10">
        <v>-1772000</v>
      </c>
      <c r="BT53" s="10">
        <v>178000</v>
      </c>
      <c r="BX53" s="10">
        <v>-34277000</v>
      </c>
      <c r="BY53" s="10">
        <v>-9376000</v>
      </c>
      <c r="BZ53" s="10">
        <v>-106000</v>
      </c>
      <c r="CA53" s="10">
        <v>-271000</v>
      </c>
      <c r="CB53" s="10">
        <v>-106000</v>
      </c>
      <c r="CC53" s="10">
        <v>-9376000</v>
      </c>
      <c r="CF53" s="10">
        <v>19403000</v>
      </c>
      <c r="CH53" s="41">
        <v>100000</v>
      </c>
      <c r="CI53" s="10">
        <v>19403000</v>
      </c>
      <c r="CK53" s="41">
        <v>2020</v>
      </c>
      <c r="CR53" s="10"/>
      <c r="CS53" s="10"/>
      <c r="CT53" s="10"/>
      <c r="CU53" t="s">
        <v>659</v>
      </c>
    </row>
    <row r="54" spans="1:99" x14ac:dyDescent="0.35">
      <c r="A54" t="s">
        <v>658</v>
      </c>
      <c r="B54" s="22">
        <v>44561</v>
      </c>
      <c r="C54">
        <v>2021</v>
      </c>
      <c r="D54" t="s">
        <v>212</v>
      </c>
      <c r="E54" t="s">
        <v>213</v>
      </c>
      <c r="G54" s="10">
        <v>28000</v>
      </c>
      <c r="H54" s="10">
        <v>-40814000</v>
      </c>
      <c r="I54" s="10">
        <v>9478000</v>
      </c>
      <c r="J54" s="10">
        <v>-40724000</v>
      </c>
      <c r="K54" s="10">
        <v>31310000</v>
      </c>
      <c r="L54" s="10">
        <v>3547000</v>
      </c>
      <c r="M54" s="10">
        <v>-84000</v>
      </c>
      <c r="N54" s="10">
        <v>64000</v>
      </c>
      <c r="O54" s="10">
        <v>-236000</v>
      </c>
      <c r="P54" s="10">
        <v>-535000</v>
      </c>
      <c r="Q54" s="10">
        <v>-175000</v>
      </c>
      <c r="R54" s="10">
        <v>3519000</v>
      </c>
      <c r="S54" s="10">
        <v>3435000</v>
      </c>
      <c r="T54" s="10">
        <v>-859000</v>
      </c>
      <c r="U54" s="10">
        <v>-1201000</v>
      </c>
      <c r="V54" s="10">
        <v>31000</v>
      </c>
      <c r="W54" s="10">
        <v>318000</v>
      </c>
      <c r="X54" s="10">
        <v>64000</v>
      </c>
      <c r="Y54" s="10">
        <v>1390000</v>
      </c>
      <c r="AA54" s="10">
        <v>2803000</v>
      </c>
      <c r="AB54" s="10">
        <v>2803000</v>
      </c>
      <c r="AC54" s="10">
        <v>11885000</v>
      </c>
      <c r="AD54" s="10">
        <v>11885000</v>
      </c>
      <c r="AG54" s="10">
        <v>92000</v>
      </c>
      <c r="AH54" s="10">
        <v>9478000</v>
      </c>
      <c r="AI54" s="10">
        <v>-9504000</v>
      </c>
      <c r="AL54" s="10">
        <v>5181000</v>
      </c>
      <c r="AM54" s="10">
        <v>7605000</v>
      </c>
      <c r="AN54" s="10">
        <v>-40724000</v>
      </c>
      <c r="AO54" s="10">
        <v>1390000</v>
      </c>
      <c r="AP54" s="10">
        <v>14813000</v>
      </c>
      <c r="AQ54" s="10">
        <v>4126000</v>
      </c>
      <c r="AR54" s="10">
        <v>-1825000</v>
      </c>
      <c r="AS54" s="10">
        <v>0</v>
      </c>
      <c r="AT54" s="10">
        <v>1390000</v>
      </c>
      <c r="AV54" s="10">
        <v>16827000</v>
      </c>
      <c r="AW54" s="10">
        <v>16827000</v>
      </c>
      <c r="AY54" s="10">
        <v>2116000</v>
      </c>
      <c r="AZ54" s="10">
        <v>2301000</v>
      </c>
      <c r="BA54" s="10">
        <v>15798000</v>
      </c>
      <c r="BB54" s="10">
        <v>90000</v>
      </c>
      <c r="BE54" s="41"/>
      <c r="BF54" s="10">
        <v>31310000</v>
      </c>
      <c r="BI54" s="10">
        <v>-205000</v>
      </c>
      <c r="BL54" s="10">
        <v>0</v>
      </c>
      <c r="BO54" s="10">
        <v>-12697000</v>
      </c>
      <c r="BT54" s="10">
        <v>193000</v>
      </c>
      <c r="BX54" s="10">
        <v>-40814000</v>
      </c>
      <c r="BY54" s="10">
        <v>-9826000</v>
      </c>
      <c r="BZ54" s="10">
        <v>-28000</v>
      </c>
      <c r="CA54" s="10">
        <v>-398000</v>
      </c>
      <c r="CB54" s="10">
        <v>-28000</v>
      </c>
      <c r="CC54" s="10">
        <v>-9826000</v>
      </c>
      <c r="CF54" s="10">
        <v>-185000</v>
      </c>
      <c r="CH54" s="41">
        <v>-13000</v>
      </c>
      <c r="CI54" s="10">
        <v>10687000</v>
      </c>
      <c r="CJ54" s="10">
        <v>-10872000</v>
      </c>
      <c r="CK54" s="41">
        <v>2021</v>
      </c>
      <c r="CR54" s="10">
        <v>-224000</v>
      </c>
      <c r="CS54" s="10"/>
      <c r="CT54" s="10"/>
      <c r="CU54" t="s">
        <v>659</v>
      </c>
    </row>
    <row r="55" spans="1:99" x14ac:dyDescent="0.35">
      <c r="A55" t="s">
        <v>658</v>
      </c>
      <c r="B55" s="22">
        <v>44926</v>
      </c>
      <c r="C55">
        <v>2022</v>
      </c>
      <c r="D55" t="s">
        <v>212</v>
      </c>
      <c r="E55" t="s">
        <v>213</v>
      </c>
      <c r="G55" s="10">
        <v>92000</v>
      </c>
      <c r="H55" s="10">
        <v>-48483000</v>
      </c>
      <c r="I55" s="10">
        <v>31711000</v>
      </c>
      <c r="J55" s="10">
        <v>-54759000</v>
      </c>
      <c r="K55" s="10">
        <v>24265000</v>
      </c>
      <c r="L55" s="10">
        <v>-3989000</v>
      </c>
      <c r="M55" s="10">
        <v>-492000</v>
      </c>
      <c r="N55" s="10">
        <v>1217000</v>
      </c>
      <c r="O55" s="10">
        <v>-37000</v>
      </c>
      <c r="P55" s="10">
        <v>6799000</v>
      </c>
      <c r="Q55" s="10">
        <v>-4928000</v>
      </c>
      <c r="R55" s="10">
        <v>-3983000</v>
      </c>
      <c r="S55" s="10">
        <v>-4475000</v>
      </c>
      <c r="T55" s="10">
        <v>481000</v>
      </c>
      <c r="U55" s="10">
        <v>-3386000</v>
      </c>
      <c r="V55" s="10">
        <v>-8315000</v>
      </c>
      <c r="W55" s="10">
        <v>-3847000</v>
      </c>
      <c r="X55" s="10">
        <v>1217000</v>
      </c>
      <c r="Y55" s="10">
        <v>2090000</v>
      </c>
      <c r="AA55" s="10">
        <v>2282000</v>
      </c>
      <c r="AB55" s="10">
        <v>2282000</v>
      </c>
      <c r="AC55" s="10">
        <v>12620000</v>
      </c>
      <c r="AD55" s="10">
        <v>12620000</v>
      </c>
      <c r="AG55" s="10">
        <v>1309000</v>
      </c>
      <c r="AH55" s="10">
        <v>31711000</v>
      </c>
      <c r="AI55" s="10">
        <v>-24218000</v>
      </c>
      <c r="AL55" s="10">
        <v>3482000</v>
      </c>
      <c r="AM55" s="10">
        <v>8430000</v>
      </c>
      <c r="AN55" s="10">
        <v>-54759000</v>
      </c>
      <c r="AO55" s="10">
        <v>2090000</v>
      </c>
      <c r="AP55" s="10">
        <v>66325000</v>
      </c>
      <c r="AQ55" s="10">
        <v>31803000</v>
      </c>
      <c r="AR55" s="10">
        <v>-1643000</v>
      </c>
      <c r="AS55" s="10">
        <v>-6341000</v>
      </c>
      <c r="AT55" s="10">
        <v>2090000</v>
      </c>
      <c r="AV55" s="10">
        <v>17998000</v>
      </c>
      <c r="AW55" s="10">
        <v>17998000</v>
      </c>
      <c r="AY55" s="10">
        <v>23644000</v>
      </c>
      <c r="AZ55" s="10">
        <v>30160000</v>
      </c>
      <c r="BA55" s="10">
        <v>16296000</v>
      </c>
      <c r="BB55" s="10">
        <v>65000</v>
      </c>
      <c r="BE55" s="41"/>
      <c r="BF55" s="10">
        <v>24265000</v>
      </c>
      <c r="BI55" s="10">
        <v>-540000</v>
      </c>
      <c r="BL55" s="10">
        <v>-6341000</v>
      </c>
      <c r="BO55" s="10">
        <v>-42681000</v>
      </c>
      <c r="BT55" s="10">
        <v>152000</v>
      </c>
      <c r="BX55" s="10">
        <v>-48483000</v>
      </c>
      <c r="BY55" s="10">
        <v>-10319000</v>
      </c>
      <c r="BZ55" s="10">
        <v>6000</v>
      </c>
      <c r="CA55" s="10">
        <v>-2769000</v>
      </c>
      <c r="CB55" s="10">
        <v>6000</v>
      </c>
      <c r="CC55" s="10">
        <v>-10319000</v>
      </c>
      <c r="CF55" s="10">
        <v>-6516000</v>
      </c>
      <c r="CH55" s="41">
        <v>72000</v>
      </c>
      <c r="CI55" s="10">
        <v>34522000</v>
      </c>
      <c r="CJ55" s="10">
        <v>-41038000</v>
      </c>
      <c r="CK55" s="41">
        <v>2022</v>
      </c>
      <c r="CR55" s="10">
        <v>68000</v>
      </c>
      <c r="CS55" s="10"/>
      <c r="CT55" s="10"/>
      <c r="CU55" t="s">
        <v>659</v>
      </c>
    </row>
    <row r="56" spans="1:99" x14ac:dyDescent="0.35">
      <c r="A56" t="s">
        <v>658</v>
      </c>
      <c r="B56" s="22">
        <v>45291</v>
      </c>
      <c r="C56">
        <v>2023</v>
      </c>
      <c r="D56" t="s">
        <v>212</v>
      </c>
      <c r="E56" t="s">
        <v>213</v>
      </c>
      <c r="G56" s="10">
        <v>1309000</v>
      </c>
      <c r="H56" s="10">
        <v>-62177000</v>
      </c>
      <c r="I56" s="10">
        <v>31423000</v>
      </c>
      <c r="J56" s="10">
        <v>-62078000</v>
      </c>
      <c r="K56" s="10">
        <v>31851000</v>
      </c>
      <c r="L56" s="10">
        <v>284000</v>
      </c>
      <c r="M56" s="10">
        <v>1900000</v>
      </c>
      <c r="N56" s="10">
        <v>1196000</v>
      </c>
      <c r="O56" s="10">
        <v>-497000</v>
      </c>
      <c r="P56" s="10">
        <v>-3168000</v>
      </c>
      <c r="Q56" s="10">
        <v>1522000</v>
      </c>
      <c r="R56" s="10">
        <v>280000</v>
      </c>
      <c r="S56" s="10">
        <v>2180000</v>
      </c>
      <c r="T56" s="10">
        <v>-502000</v>
      </c>
      <c r="U56" s="10">
        <v>292000</v>
      </c>
      <c r="V56" s="10">
        <v>-1454000</v>
      </c>
      <c r="W56" s="10">
        <v>807000</v>
      </c>
      <c r="X56" s="10">
        <v>1196000</v>
      </c>
      <c r="Y56" s="10">
        <v>37073000</v>
      </c>
      <c r="AA56" s="10">
        <v>3813000</v>
      </c>
      <c r="AB56" s="10">
        <v>3813000</v>
      </c>
      <c r="AC56" s="10">
        <v>13335000</v>
      </c>
      <c r="AD56" s="10">
        <v>13335000</v>
      </c>
      <c r="AG56" s="10">
        <v>2505000</v>
      </c>
      <c r="AH56" s="10">
        <v>31423000</v>
      </c>
      <c r="AI56" s="10">
        <v>-30326000</v>
      </c>
      <c r="AL56" s="10">
        <v>3590000</v>
      </c>
      <c r="AM56" s="10">
        <v>7515000</v>
      </c>
      <c r="AN56" s="10">
        <v>-62078000</v>
      </c>
      <c r="AO56" s="10">
        <v>37073000</v>
      </c>
      <c r="AP56" s="10">
        <v>8911000</v>
      </c>
      <c r="AQ56" s="10">
        <v>5608000</v>
      </c>
      <c r="AR56" s="10">
        <v>-2010000</v>
      </c>
      <c r="AS56" s="10">
        <v>0</v>
      </c>
      <c r="AT56" s="10">
        <v>37073000</v>
      </c>
      <c r="AV56" s="10">
        <v>16699000</v>
      </c>
      <c r="AW56" s="10">
        <v>16699000</v>
      </c>
      <c r="AY56" s="10">
        <v>-16610000</v>
      </c>
      <c r="AZ56" s="10">
        <v>3598000</v>
      </c>
      <c r="BA56" s="10">
        <v>22202000</v>
      </c>
      <c r="BB56" s="10">
        <v>99000</v>
      </c>
      <c r="BE56" s="41"/>
      <c r="BF56" s="10">
        <v>31851000</v>
      </c>
      <c r="BI56" s="10">
        <v>-888000</v>
      </c>
      <c r="BL56" s="10">
        <v>0</v>
      </c>
      <c r="BO56" s="10">
        <v>-25521000</v>
      </c>
      <c r="BT56" s="10">
        <v>254000</v>
      </c>
      <c r="BX56" s="10">
        <v>-62177000</v>
      </c>
      <c r="BY56" s="10">
        <v>-11242000</v>
      </c>
      <c r="BZ56" s="10">
        <v>-4000</v>
      </c>
      <c r="CA56" s="10">
        <v>-1281000</v>
      </c>
      <c r="CB56" s="10">
        <v>-4000</v>
      </c>
      <c r="CC56" s="10">
        <v>-11242000</v>
      </c>
      <c r="CF56" s="10">
        <v>-20208000</v>
      </c>
      <c r="CH56" s="41">
        <v>1286000</v>
      </c>
      <c r="CI56" s="10">
        <v>3303000</v>
      </c>
      <c r="CJ56" s="10">
        <v>-23511000</v>
      </c>
      <c r="CK56" s="41">
        <v>2023</v>
      </c>
      <c r="CR56" s="10">
        <v>92000</v>
      </c>
      <c r="CS56" s="10"/>
      <c r="CT56" s="10"/>
      <c r="CU56" t="s">
        <v>659</v>
      </c>
    </row>
    <row r="57" spans="1:99" x14ac:dyDescent="0.35">
      <c r="A57" t="s">
        <v>658</v>
      </c>
      <c r="B57" s="22">
        <v>45473</v>
      </c>
      <c r="C57">
        <v>2024</v>
      </c>
      <c r="D57" t="s">
        <v>214</v>
      </c>
      <c r="E57" t="s">
        <v>213</v>
      </c>
      <c r="G57" s="10">
        <v>5923000</v>
      </c>
      <c r="H57" s="10">
        <v>-48235000</v>
      </c>
      <c r="I57" s="10">
        <v>11827000</v>
      </c>
      <c r="J57" s="10">
        <v>-47588000</v>
      </c>
      <c r="K57" s="10">
        <v>36089000</v>
      </c>
      <c r="L57" s="10">
        <v>-373000</v>
      </c>
      <c r="M57" s="10">
        <v>1838000</v>
      </c>
      <c r="N57" s="10">
        <v>328000</v>
      </c>
      <c r="O57" s="10">
        <v>-405000</v>
      </c>
      <c r="P57" s="10">
        <v>-3307000</v>
      </c>
      <c r="Q57" s="10">
        <v>1688000</v>
      </c>
      <c r="R57" s="10">
        <v>85000</v>
      </c>
      <c r="S57" s="10">
        <v>1923000</v>
      </c>
      <c r="T57" s="10">
        <v>355000</v>
      </c>
      <c r="U57" s="10">
        <v>-324000</v>
      </c>
      <c r="V57" s="10">
        <v>955000</v>
      </c>
      <c r="W57" s="10">
        <v>29000</v>
      </c>
      <c r="X57" s="10">
        <v>328000</v>
      </c>
      <c r="Y57" s="10">
        <v>680000</v>
      </c>
      <c r="AA57" s="10">
        <v>3385000</v>
      </c>
      <c r="AB57" s="10">
        <v>3385000</v>
      </c>
      <c r="AC57" s="10">
        <v>13785000</v>
      </c>
      <c r="AD57" s="10">
        <v>13785000</v>
      </c>
      <c r="AG57" s="10">
        <v>6251000</v>
      </c>
      <c r="AH57" s="10">
        <v>11827000</v>
      </c>
      <c r="AI57" s="10">
        <v>-12146000</v>
      </c>
      <c r="AL57" s="10">
        <v>3498000</v>
      </c>
      <c r="AM57" s="10">
        <v>6859000</v>
      </c>
      <c r="AN57" s="10">
        <v>-47588000</v>
      </c>
      <c r="AO57" s="10">
        <v>680000</v>
      </c>
      <c r="AP57" s="10">
        <v>4681000</v>
      </c>
      <c r="AQ57" s="10">
        <v>5131000</v>
      </c>
      <c r="AR57" s="10">
        <v>-2062000</v>
      </c>
      <c r="AT57" s="10">
        <v>680000</v>
      </c>
      <c r="AV57" s="10">
        <v>18287000</v>
      </c>
      <c r="AW57" s="10">
        <v>18287000</v>
      </c>
      <c r="AY57" s="10">
        <v>2585000</v>
      </c>
      <c r="AZ57" s="10">
        <v>3069000</v>
      </c>
      <c r="BA57" s="10">
        <v>20644000</v>
      </c>
      <c r="BB57" s="10">
        <v>647000</v>
      </c>
      <c r="BE57" s="41"/>
      <c r="BF57" s="10">
        <v>36089000</v>
      </c>
      <c r="BI57" s="10">
        <v>-684000</v>
      </c>
      <c r="BO57" s="10">
        <v>-2096000</v>
      </c>
      <c r="BT57" s="10">
        <v>263000</v>
      </c>
      <c r="BX57" s="10">
        <v>-48235000</v>
      </c>
      <c r="BY57" s="10">
        <v>-12082000</v>
      </c>
      <c r="BZ57" s="10">
        <v>458000</v>
      </c>
      <c r="CA57" s="10">
        <v>1025000</v>
      </c>
      <c r="CB57" s="10">
        <v>458000</v>
      </c>
      <c r="CC57" s="10">
        <v>-12082000</v>
      </c>
      <c r="CF57" s="10">
        <v>-484000</v>
      </c>
      <c r="CH57" s="41">
        <v>1348000</v>
      </c>
      <c r="CI57" s="10">
        <v>-450000</v>
      </c>
      <c r="CJ57" s="10">
        <v>-34000</v>
      </c>
      <c r="CK57" s="41">
        <v>2024</v>
      </c>
      <c r="CR57" s="10">
        <v>98000</v>
      </c>
      <c r="CS57" s="10"/>
      <c r="CT57" s="10"/>
      <c r="CU57" t="s">
        <v>659</v>
      </c>
    </row>
    <row r="58" spans="1:99" x14ac:dyDescent="0.35">
      <c r="A58" t="s">
        <v>660</v>
      </c>
      <c r="B58" s="22">
        <v>43830</v>
      </c>
      <c r="C58">
        <v>2019</v>
      </c>
      <c r="D58" t="s">
        <v>212</v>
      </c>
      <c r="E58" t="s">
        <v>213</v>
      </c>
      <c r="Q58" s="10">
        <v>57000</v>
      </c>
      <c r="AL58" s="10">
        <v>21327000</v>
      </c>
      <c r="AP58" s="10">
        <v>0</v>
      </c>
      <c r="AQ58" s="10">
        <v>0</v>
      </c>
      <c r="AR58" s="10">
        <v>0</v>
      </c>
      <c r="AY58" s="10">
        <v>0</v>
      </c>
      <c r="AZ58" s="10">
        <v>0</v>
      </c>
      <c r="BE58" s="41"/>
      <c r="BI58" s="10">
        <v>57000</v>
      </c>
      <c r="BO58" s="10">
        <v>0</v>
      </c>
      <c r="CH58" s="41"/>
      <c r="CK58" s="41">
        <v>2019</v>
      </c>
      <c r="CR58" s="10"/>
      <c r="CS58" s="10">
        <v>-1026000</v>
      </c>
      <c r="CT58" s="10">
        <v>-1026000</v>
      </c>
      <c r="CU58" t="s">
        <v>661</v>
      </c>
    </row>
    <row r="59" spans="1:99" x14ac:dyDescent="0.35">
      <c r="A59" t="s">
        <v>660</v>
      </c>
      <c r="B59" s="22">
        <v>43830</v>
      </c>
      <c r="C59">
        <v>2019</v>
      </c>
      <c r="D59" t="s">
        <v>214</v>
      </c>
      <c r="E59" t="s">
        <v>213</v>
      </c>
      <c r="BE59" s="41"/>
      <c r="CF59" s="10">
        <v>0</v>
      </c>
      <c r="CH59" s="41"/>
      <c r="CI59" s="10">
        <v>0</v>
      </c>
      <c r="CJ59" s="10">
        <v>0</v>
      </c>
      <c r="CK59" s="41">
        <v>2019</v>
      </c>
      <c r="CR59" s="10"/>
      <c r="CS59" s="10"/>
      <c r="CT59" s="10"/>
      <c r="CU59" t="s">
        <v>661</v>
      </c>
    </row>
    <row r="60" spans="1:99" x14ac:dyDescent="0.35">
      <c r="A60" t="s">
        <v>660</v>
      </c>
      <c r="B60" s="22">
        <v>43921</v>
      </c>
      <c r="C60">
        <v>2020</v>
      </c>
      <c r="D60" t="s">
        <v>214</v>
      </c>
      <c r="E60" t="s">
        <v>213</v>
      </c>
      <c r="Q60" s="10">
        <v>83000</v>
      </c>
      <c r="AL60" s="10">
        <v>21254000</v>
      </c>
      <c r="BE60" s="41"/>
      <c r="CH60" s="41"/>
      <c r="CK60" s="41">
        <v>2020</v>
      </c>
      <c r="CR60" s="10"/>
      <c r="CS60" s="10"/>
      <c r="CT60" s="10"/>
      <c r="CU60" t="s">
        <v>661</v>
      </c>
    </row>
    <row r="61" spans="1:99" x14ac:dyDescent="0.35">
      <c r="A61" t="s">
        <v>660</v>
      </c>
      <c r="B61" s="22">
        <v>44196</v>
      </c>
      <c r="C61">
        <v>2020</v>
      </c>
      <c r="D61" t="s">
        <v>212</v>
      </c>
      <c r="E61" t="s">
        <v>213</v>
      </c>
      <c r="G61" s="10">
        <v>178690000</v>
      </c>
      <c r="H61" s="10">
        <v>-70598000</v>
      </c>
      <c r="I61" s="10">
        <v>-17190000</v>
      </c>
      <c r="J61" s="10">
        <v>-28265000</v>
      </c>
      <c r="K61" s="10">
        <v>125639000</v>
      </c>
      <c r="L61" s="10">
        <v>5697000</v>
      </c>
      <c r="N61" s="10">
        <v>80184000</v>
      </c>
      <c r="Q61" s="10">
        <v>-336000</v>
      </c>
      <c r="R61" s="10">
        <v>9792000</v>
      </c>
      <c r="S61" s="10">
        <v>9792000</v>
      </c>
      <c r="T61" s="10">
        <v>9153000</v>
      </c>
      <c r="U61" s="10">
        <v>-11300000</v>
      </c>
      <c r="V61" s="10">
        <v>-4853000</v>
      </c>
      <c r="W61" s="10">
        <v>-11300000</v>
      </c>
      <c r="X61" s="10">
        <v>80184000</v>
      </c>
      <c r="Z61" s="10">
        <v>-2636000</v>
      </c>
      <c r="AA61" s="10">
        <v>-592000</v>
      </c>
      <c r="AB61" s="10">
        <v>-592000</v>
      </c>
      <c r="AC61" s="10">
        <v>28102000</v>
      </c>
      <c r="AD61" s="10">
        <v>28102000</v>
      </c>
      <c r="AG61" s="10">
        <v>258874000</v>
      </c>
      <c r="AH61" s="10">
        <v>-17190000</v>
      </c>
      <c r="AI61" s="10">
        <v>55041000</v>
      </c>
      <c r="AN61" s="10">
        <v>-28265000</v>
      </c>
      <c r="AP61" s="10">
        <v>0</v>
      </c>
      <c r="AQ61" s="10">
        <v>0</v>
      </c>
      <c r="AR61" s="10">
        <v>0</v>
      </c>
      <c r="AT61" s="10">
        <v>-2636000</v>
      </c>
      <c r="AV61" s="10">
        <v>71176000</v>
      </c>
      <c r="AW61" s="10">
        <v>71176000</v>
      </c>
      <c r="AX61" s="10">
        <v>41682000</v>
      </c>
      <c r="AY61" s="10">
        <v>0</v>
      </c>
      <c r="AZ61" s="10">
        <v>0</v>
      </c>
      <c r="BC61" s="10">
        <v>-69947000</v>
      </c>
      <c r="BE61" s="41">
        <v>705000</v>
      </c>
      <c r="BF61" s="10">
        <v>125639000</v>
      </c>
      <c r="BG61" s="10">
        <v>525000</v>
      </c>
      <c r="BK61" s="10">
        <v>10527000</v>
      </c>
      <c r="BM61" s="10">
        <v>-109703000</v>
      </c>
      <c r="BN61" s="10">
        <v>-70598000</v>
      </c>
      <c r="BO61" s="10">
        <v>0</v>
      </c>
      <c r="BP61" s="10">
        <v>-2636000</v>
      </c>
      <c r="BR61" s="10">
        <v>151385000</v>
      </c>
      <c r="BS61" s="10">
        <v>651000</v>
      </c>
      <c r="BT61" s="10">
        <v>30912000</v>
      </c>
      <c r="BV61" s="10">
        <v>4359000</v>
      </c>
      <c r="BW61" s="10">
        <v>4359000</v>
      </c>
      <c r="BY61" s="10">
        <v>-25081000</v>
      </c>
      <c r="BZ61" s="10">
        <v>4095000</v>
      </c>
      <c r="CA61" s="10">
        <v>-12498000</v>
      </c>
      <c r="CB61" s="10">
        <v>4095000</v>
      </c>
      <c r="CC61" s="10">
        <v>-25081000</v>
      </c>
      <c r="CD61" s="10">
        <v>23743000</v>
      </c>
      <c r="CE61" s="10">
        <v>525000</v>
      </c>
      <c r="CH61" s="41"/>
      <c r="CK61" s="41">
        <v>2020</v>
      </c>
      <c r="CR61" s="10">
        <v>-336000</v>
      </c>
      <c r="CS61" s="10">
        <v>0</v>
      </c>
      <c r="CT61" s="10">
        <v>0</v>
      </c>
      <c r="CU61" t="s">
        <v>661</v>
      </c>
    </row>
    <row r="62" spans="1:99" x14ac:dyDescent="0.35">
      <c r="A62" t="s">
        <v>660</v>
      </c>
      <c r="B62" s="22">
        <v>44561</v>
      </c>
      <c r="C62">
        <v>2021</v>
      </c>
      <c r="D62" t="s">
        <v>212</v>
      </c>
      <c r="E62" t="s">
        <v>213</v>
      </c>
      <c r="G62" s="10">
        <v>258874000</v>
      </c>
      <c r="H62" s="10">
        <v>-47272000</v>
      </c>
      <c r="I62" s="10">
        <v>-98827000</v>
      </c>
      <c r="J62" s="10">
        <v>-232798000</v>
      </c>
      <c r="K62" s="10">
        <v>230868000</v>
      </c>
      <c r="L62" s="10">
        <v>4067000</v>
      </c>
      <c r="N62" s="10">
        <v>-100757000</v>
      </c>
      <c r="Q62" s="10">
        <v>18000</v>
      </c>
      <c r="R62" s="10">
        <v>-12000</v>
      </c>
      <c r="S62" s="10">
        <v>-12000</v>
      </c>
      <c r="T62" s="10">
        <v>4326000</v>
      </c>
      <c r="U62" s="10">
        <v>-5501000</v>
      </c>
      <c r="V62" s="10">
        <v>2425000</v>
      </c>
      <c r="W62" s="10">
        <v>-5501000</v>
      </c>
      <c r="X62" s="10">
        <v>-100757000</v>
      </c>
      <c r="Z62" s="10">
        <v>-73938000</v>
      </c>
      <c r="AA62" s="10">
        <v>-13240000</v>
      </c>
      <c r="AB62" s="10">
        <v>-13240000</v>
      </c>
      <c r="AC62" s="10">
        <v>34948000</v>
      </c>
      <c r="AD62" s="10">
        <v>34948000</v>
      </c>
      <c r="AG62" s="10">
        <v>158117000</v>
      </c>
      <c r="AH62" s="10">
        <v>-98827000</v>
      </c>
      <c r="AI62" s="10">
        <v>183596000</v>
      </c>
      <c r="AL62" s="10">
        <v>25644000</v>
      </c>
      <c r="AN62" s="10">
        <v>-232798000</v>
      </c>
      <c r="AT62" s="10">
        <v>-73938000</v>
      </c>
      <c r="AV62" s="10">
        <v>164413000</v>
      </c>
      <c r="AW62" s="10">
        <v>164413000</v>
      </c>
      <c r="AX62" s="10">
        <v>-185561000</v>
      </c>
      <c r="BC62" s="10">
        <v>-47237000</v>
      </c>
      <c r="BE62" s="41">
        <v>1590000</v>
      </c>
      <c r="BF62" s="10">
        <v>230868000</v>
      </c>
      <c r="BG62" s="10">
        <v>3105000</v>
      </c>
      <c r="BK62" s="10">
        <v>7710000</v>
      </c>
      <c r="BM62" s="10">
        <v>-554018000</v>
      </c>
      <c r="BN62" s="10">
        <v>-47272000</v>
      </c>
      <c r="BP62" s="10">
        <v>-73938000</v>
      </c>
      <c r="BR62" s="10">
        <v>368457000</v>
      </c>
      <c r="BS62" s="10">
        <v>35000</v>
      </c>
      <c r="BT62" s="10">
        <v>37609000</v>
      </c>
      <c r="BV62" s="10">
        <v>3494000</v>
      </c>
      <c r="BW62" s="10">
        <v>3494000</v>
      </c>
      <c r="BY62" s="10">
        <v>-32599000</v>
      </c>
      <c r="BZ62" s="10">
        <v>-4079000</v>
      </c>
      <c r="CA62" s="10">
        <v>3612000</v>
      </c>
      <c r="CB62" s="10">
        <v>-4079000</v>
      </c>
      <c r="CC62" s="10">
        <v>-32599000</v>
      </c>
      <c r="CD62" s="10">
        <v>31454000</v>
      </c>
      <c r="CE62" s="10">
        <v>3105000</v>
      </c>
      <c r="CH62" s="41"/>
      <c r="CK62" s="41">
        <v>2021</v>
      </c>
      <c r="CR62" s="10">
        <v>18000</v>
      </c>
      <c r="CS62" s="10">
        <v>0</v>
      </c>
      <c r="CT62" s="10">
        <v>0</v>
      </c>
      <c r="CU62" t="s">
        <v>661</v>
      </c>
    </row>
    <row r="63" spans="1:99" x14ac:dyDescent="0.35">
      <c r="A63" t="s">
        <v>660</v>
      </c>
      <c r="B63" s="22">
        <v>44926</v>
      </c>
      <c r="C63">
        <v>2022</v>
      </c>
      <c r="D63" t="s">
        <v>212</v>
      </c>
      <c r="E63" t="s">
        <v>213</v>
      </c>
      <c r="G63" s="10">
        <v>158117000</v>
      </c>
      <c r="H63" s="10">
        <v>-39211000</v>
      </c>
      <c r="I63" s="10">
        <v>-346424000</v>
      </c>
      <c r="J63" s="10">
        <v>78336000</v>
      </c>
      <c r="K63" s="10">
        <v>215343000</v>
      </c>
      <c r="L63" s="10">
        <v>-3836000</v>
      </c>
      <c r="N63" s="10">
        <v>-52745000</v>
      </c>
      <c r="R63" s="10">
        <v>-9060000</v>
      </c>
      <c r="S63" s="10">
        <v>-9060000</v>
      </c>
      <c r="T63" s="10">
        <v>7343000</v>
      </c>
      <c r="U63" s="10">
        <v>19867000</v>
      </c>
      <c r="V63" s="10">
        <v>-18004000</v>
      </c>
      <c r="W63" s="10">
        <v>19867000</v>
      </c>
      <c r="X63" s="10">
        <v>-52745000</v>
      </c>
      <c r="Z63" s="10">
        <v>-311094000</v>
      </c>
      <c r="AA63" s="10">
        <v>-2566000</v>
      </c>
      <c r="AB63" s="10">
        <v>-2566000</v>
      </c>
      <c r="AC63" s="10">
        <v>37345000</v>
      </c>
      <c r="AD63" s="10">
        <v>37345000</v>
      </c>
      <c r="AG63" s="10">
        <v>105372000</v>
      </c>
      <c r="AH63" s="10">
        <v>-346424000</v>
      </c>
      <c r="AI63" s="10">
        <v>176132000</v>
      </c>
      <c r="AL63" s="10">
        <v>17880000</v>
      </c>
      <c r="AN63" s="10">
        <v>78336000</v>
      </c>
      <c r="AT63" s="10">
        <v>-311094000</v>
      </c>
      <c r="AV63" s="10">
        <v>170851000</v>
      </c>
      <c r="AW63" s="10">
        <v>170851000</v>
      </c>
      <c r="AX63" s="10">
        <v>116345000</v>
      </c>
      <c r="BC63" s="10">
        <v>-38009000</v>
      </c>
      <c r="BE63" s="41">
        <v>3292000</v>
      </c>
      <c r="BF63" s="10">
        <v>215343000</v>
      </c>
      <c r="BG63" s="10">
        <v>1371000</v>
      </c>
      <c r="BK63" s="10">
        <v>6162000</v>
      </c>
      <c r="BM63" s="10">
        <v>-55820000</v>
      </c>
      <c r="BN63" s="10">
        <v>-39211000</v>
      </c>
      <c r="BP63" s="10">
        <v>-311094000</v>
      </c>
      <c r="BR63" s="10">
        <v>172165000</v>
      </c>
      <c r="BS63" s="10">
        <v>1202000</v>
      </c>
      <c r="BT63" s="10">
        <v>22364000</v>
      </c>
      <c r="BV63" s="10">
        <v>2415000</v>
      </c>
      <c r="BW63" s="10">
        <v>2415000</v>
      </c>
      <c r="BY63" s="10">
        <v>-41492000</v>
      </c>
      <c r="BZ63" s="10">
        <v>-5224000</v>
      </c>
      <c r="CA63" s="10">
        <v>-36154000</v>
      </c>
      <c r="CB63" s="10">
        <v>-5224000</v>
      </c>
      <c r="CC63" s="10">
        <v>-41492000</v>
      </c>
      <c r="CD63" s="10">
        <v>34930000</v>
      </c>
      <c r="CE63" s="10">
        <v>1371000</v>
      </c>
      <c r="CH63" s="41"/>
      <c r="CK63" s="41">
        <v>2022</v>
      </c>
      <c r="CR63" s="10">
        <v>690000</v>
      </c>
      <c r="CS63" s="10"/>
      <c r="CT63" s="10"/>
      <c r="CU63" t="s">
        <v>661</v>
      </c>
    </row>
    <row r="64" spans="1:99" x14ac:dyDescent="0.35">
      <c r="A64" t="s">
        <v>660</v>
      </c>
      <c r="B64" s="22">
        <v>45291</v>
      </c>
      <c r="C64">
        <v>2023</v>
      </c>
      <c r="D64" t="s">
        <v>212</v>
      </c>
      <c r="E64" t="s">
        <v>213</v>
      </c>
      <c r="G64" s="10">
        <v>105372000</v>
      </c>
      <c r="H64" s="10">
        <v>-20884000</v>
      </c>
      <c r="I64" s="10">
        <v>-93049000</v>
      </c>
      <c r="J64" s="10">
        <v>-14153000</v>
      </c>
      <c r="K64" s="10">
        <v>65759000</v>
      </c>
      <c r="L64" s="10">
        <v>-5435000</v>
      </c>
      <c r="N64" s="10">
        <v>-41443000</v>
      </c>
      <c r="R64" s="10">
        <v>-23617000</v>
      </c>
      <c r="S64" s="10">
        <v>-23617000</v>
      </c>
      <c r="T64" s="10">
        <v>-1183000</v>
      </c>
      <c r="U64" s="10">
        <v>6616000</v>
      </c>
      <c r="V64" s="10">
        <v>-45928000</v>
      </c>
      <c r="W64" s="10">
        <v>6616000</v>
      </c>
      <c r="X64" s="10">
        <v>-41443000</v>
      </c>
      <c r="Z64" s="10">
        <v>-55278000</v>
      </c>
      <c r="AA64" s="10">
        <v>-9247000</v>
      </c>
      <c r="AB64" s="10">
        <v>-9247000</v>
      </c>
      <c r="AC64" s="10">
        <v>37376000</v>
      </c>
      <c r="AD64" s="10">
        <v>37376000</v>
      </c>
      <c r="AG64" s="10">
        <v>63929000</v>
      </c>
      <c r="AH64" s="10">
        <v>-93049000</v>
      </c>
      <c r="AI64" s="10">
        <v>44875000</v>
      </c>
      <c r="AL64" s="10">
        <v>13769000</v>
      </c>
      <c r="AN64" s="10">
        <v>-14153000</v>
      </c>
      <c r="AT64" s="10">
        <v>-55278000</v>
      </c>
      <c r="AV64" s="10">
        <v>55735000</v>
      </c>
      <c r="AW64" s="10">
        <v>55735000</v>
      </c>
      <c r="AX64" s="10">
        <v>6731000</v>
      </c>
      <c r="BC64" s="10">
        <v>-20884000</v>
      </c>
      <c r="BE64" s="41">
        <v>-351000</v>
      </c>
      <c r="BF64" s="10">
        <v>65759000</v>
      </c>
      <c r="BG64" s="10">
        <v>100000</v>
      </c>
      <c r="BK64" s="10">
        <v>6237000</v>
      </c>
      <c r="BM64" s="10">
        <v>-191211000</v>
      </c>
      <c r="BN64" s="10">
        <v>-20884000</v>
      </c>
      <c r="BP64" s="10">
        <v>-55278000</v>
      </c>
      <c r="BR64" s="10">
        <v>197942000</v>
      </c>
      <c r="BS64" s="10">
        <v>0</v>
      </c>
      <c r="BT64" s="10">
        <v>28528000</v>
      </c>
      <c r="BV64" s="10">
        <v>2173000</v>
      </c>
      <c r="BW64" s="10">
        <v>2173000</v>
      </c>
      <c r="BY64" s="10">
        <v>-44008000</v>
      </c>
      <c r="BZ64" s="10">
        <v>-18182000</v>
      </c>
      <c r="CA64" s="10">
        <v>-27744000</v>
      </c>
      <c r="CB64" s="10">
        <v>-18182000</v>
      </c>
      <c r="CC64" s="10">
        <v>-44008000</v>
      </c>
      <c r="CD64" s="10">
        <v>35203000</v>
      </c>
      <c r="CE64" s="10">
        <v>100000</v>
      </c>
      <c r="CH64" s="41"/>
      <c r="CK64" s="41">
        <v>2023</v>
      </c>
      <c r="CR64" s="10">
        <v>-454000</v>
      </c>
      <c r="CS64" s="10"/>
      <c r="CT64" s="10"/>
      <c r="CU64" t="s">
        <v>661</v>
      </c>
    </row>
    <row r="65" spans="1:99" x14ac:dyDescent="0.35">
      <c r="A65" t="s">
        <v>660</v>
      </c>
      <c r="B65" s="22">
        <v>45473</v>
      </c>
      <c r="C65">
        <v>2024</v>
      </c>
      <c r="D65" t="s">
        <v>214</v>
      </c>
      <c r="E65" t="s">
        <v>213</v>
      </c>
      <c r="G65" s="10">
        <v>84096000</v>
      </c>
      <c r="H65" s="10">
        <v>-22183000</v>
      </c>
      <c r="I65" s="10">
        <v>-114411000</v>
      </c>
      <c r="J65" s="10">
        <v>4279000</v>
      </c>
      <c r="K65" s="10">
        <v>76529000</v>
      </c>
      <c r="L65" s="10">
        <v>-14365000</v>
      </c>
      <c r="N65" s="10">
        <v>-33603000</v>
      </c>
      <c r="R65" s="10">
        <v>-26956000</v>
      </c>
      <c r="S65" s="10">
        <v>-26956000</v>
      </c>
      <c r="T65" s="10">
        <v>8130000</v>
      </c>
      <c r="U65" s="10">
        <v>15379000</v>
      </c>
      <c r="V65" s="10">
        <v>-23590000</v>
      </c>
      <c r="W65" s="10">
        <v>15379000</v>
      </c>
      <c r="X65" s="10">
        <v>-33603000</v>
      </c>
      <c r="Z65" s="10">
        <v>-75258000</v>
      </c>
      <c r="AA65" s="10">
        <v>-9947000</v>
      </c>
      <c r="AB65" s="10">
        <v>-9947000</v>
      </c>
      <c r="AC65" s="10">
        <v>36606000</v>
      </c>
      <c r="AD65" s="10">
        <v>36606000</v>
      </c>
      <c r="AG65" s="10">
        <v>50493000</v>
      </c>
      <c r="AH65" s="10">
        <v>-114411000</v>
      </c>
      <c r="AI65" s="10">
        <v>54346000</v>
      </c>
      <c r="AL65" s="10">
        <v>6614000</v>
      </c>
      <c r="AN65" s="10">
        <v>4279000</v>
      </c>
      <c r="AT65" s="10">
        <v>-75258000</v>
      </c>
      <c r="AV65" s="10">
        <v>42870000</v>
      </c>
      <c r="AW65" s="10">
        <v>42870000</v>
      </c>
      <c r="AX65" s="10">
        <v>26462000</v>
      </c>
      <c r="BC65" s="10">
        <v>-22183000</v>
      </c>
      <c r="BE65" s="41">
        <v>-1679000</v>
      </c>
      <c r="BF65" s="10">
        <v>76529000</v>
      </c>
      <c r="BG65" s="10">
        <v>86000</v>
      </c>
      <c r="BK65" s="10">
        <v>5830000</v>
      </c>
      <c r="BM65" s="10">
        <v>-158231000</v>
      </c>
      <c r="BN65" s="10">
        <v>-22183000</v>
      </c>
      <c r="BP65" s="10">
        <v>-75258000</v>
      </c>
      <c r="BR65" s="10">
        <v>184693000</v>
      </c>
      <c r="BT65" s="10">
        <v>31857000</v>
      </c>
      <c r="BV65" s="10">
        <v>1950000</v>
      </c>
      <c r="BW65" s="10">
        <v>1950000</v>
      </c>
      <c r="BY65" s="10">
        <v>-44983000</v>
      </c>
      <c r="BZ65" s="10">
        <v>-12591000</v>
      </c>
      <c r="CA65" s="10">
        <v>-20143000</v>
      </c>
      <c r="CB65" s="10">
        <v>-12591000</v>
      </c>
      <c r="CD65" s="10">
        <v>34656000</v>
      </c>
      <c r="CE65" s="10">
        <v>86000</v>
      </c>
      <c r="CH65" s="41"/>
      <c r="CK65" s="41">
        <v>2024</v>
      </c>
      <c r="CR65" s="10">
        <v>326000</v>
      </c>
      <c r="CS65" s="10"/>
      <c r="CT65" s="10"/>
      <c r="CU65" t="s">
        <v>661</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A531-872E-4EFA-8AD0-D830F0B9014C}">
  <sheetPr>
    <tabColor theme="7" tint="0.79998168889431442"/>
  </sheetPr>
  <dimension ref="A1:AV11"/>
  <sheetViews>
    <sheetView showGridLines="0" workbookViewId="0">
      <pane xSplit="1" ySplit="1" topLeftCell="AA2" activePane="bottomRight" state="frozen"/>
      <selection pane="topRight" activeCell="B1" sqref="B1"/>
      <selection pane="bottomLeft" activeCell="A2" sqref="A2"/>
      <selection pane="bottomRight" activeCell="AE1" sqref="AE1"/>
    </sheetView>
  </sheetViews>
  <sheetFormatPr defaultRowHeight="14.5" x14ac:dyDescent="0.35"/>
  <cols>
    <col min="1" max="6" width="9.81640625" bestFit="1" customWidth="1"/>
    <col min="7" max="7" width="9.54296875" bestFit="1" customWidth="1"/>
    <col min="8" max="10" width="9.81640625" bestFit="1" customWidth="1"/>
    <col min="11" max="12" width="9.81640625" style="78" bestFit="1" customWidth="1"/>
    <col min="13" max="15" width="9.81640625" bestFit="1" customWidth="1"/>
    <col min="16" max="17" width="9.81640625" style="78" bestFit="1" customWidth="1"/>
    <col min="18" max="18" width="9.81640625" bestFit="1" customWidth="1"/>
    <col min="19" max="19" width="9.81640625" style="78" bestFit="1" customWidth="1"/>
    <col min="20" max="20" width="9.81640625" bestFit="1" customWidth="1"/>
    <col min="21" max="21" width="9.81640625" style="78" bestFit="1" customWidth="1"/>
    <col min="22" max="26" width="9.81640625" bestFit="1" customWidth="1"/>
    <col min="27" max="27" width="9.81640625" style="78" bestFit="1" customWidth="1"/>
    <col min="28" max="30" width="9.81640625" bestFit="1" customWidth="1"/>
    <col min="31" max="31" width="7" bestFit="1" customWidth="1"/>
    <col min="32" max="47" width="9.81640625" bestFit="1" customWidth="1"/>
    <col min="48" max="48" width="8.1796875" bestFit="1" customWidth="1"/>
  </cols>
  <sheetData>
    <row r="1" spans="1:48" x14ac:dyDescent="0.35">
      <c r="A1" t="s">
        <v>139</v>
      </c>
      <c r="B1" t="s">
        <v>425</v>
      </c>
      <c r="C1" t="s">
        <v>426</v>
      </c>
      <c r="D1" t="s">
        <v>427</v>
      </c>
      <c r="E1" t="s">
        <v>428</v>
      </c>
      <c r="F1" t="s">
        <v>429</v>
      </c>
      <c r="G1" t="s">
        <v>89</v>
      </c>
      <c r="H1" t="s">
        <v>430</v>
      </c>
      <c r="I1" t="s">
        <v>431</v>
      </c>
      <c r="J1" t="s">
        <v>432</v>
      </c>
      <c r="K1" s="78" t="s">
        <v>433</v>
      </c>
      <c r="L1" s="78" t="s">
        <v>434</v>
      </c>
      <c r="M1" t="s">
        <v>435</v>
      </c>
      <c r="N1" t="s">
        <v>436</v>
      </c>
      <c r="O1" t="s">
        <v>437</v>
      </c>
      <c r="P1" s="78" t="s">
        <v>438</v>
      </c>
      <c r="Q1" s="78" t="s">
        <v>439</v>
      </c>
      <c r="R1" t="s">
        <v>440</v>
      </c>
      <c r="S1" s="78" t="s">
        <v>441</v>
      </c>
      <c r="T1" t="s">
        <v>442</v>
      </c>
      <c r="U1" s="78" t="s">
        <v>443</v>
      </c>
      <c r="V1" t="s">
        <v>444</v>
      </c>
      <c r="W1" t="s">
        <v>445</v>
      </c>
      <c r="X1" t="s">
        <v>446</v>
      </c>
      <c r="Y1" t="s">
        <v>633</v>
      </c>
      <c r="Z1" t="s">
        <v>447</v>
      </c>
      <c r="AA1" t="s">
        <v>448</v>
      </c>
      <c r="AB1" s="78" t="s">
        <v>449</v>
      </c>
      <c r="AC1" t="s">
        <v>450</v>
      </c>
      <c r="AD1" t="s">
        <v>451</v>
      </c>
      <c r="AE1" t="s">
        <v>452</v>
      </c>
      <c r="AF1" t="s">
        <v>453</v>
      </c>
      <c r="AG1" t="s">
        <v>454</v>
      </c>
      <c r="AH1" t="s">
        <v>455</v>
      </c>
      <c r="AI1" t="s">
        <v>456</v>
      </c>
      <c r="AJ1" t="s">
        <v>457</v>
      </c>
      <c r="AK1" t="s">
        <v>458</v>
      </c>
      <c r="AL1" t="s">
        <v>459</v>
      </c>
      <c r="AM1" t="s">
        <v>460</v>
      </c>
      <c r="AN1" t="s">
        <v>461</v>
      </c>
      <c r="AO1" t="s">
        <v>462</v>
      </c>
      <c r="AP1" t="s">
        <v>463</v>
      </c>
      <c r="AQ1" t="s">
        <v>464</v>
      </c>
      <c r="AR1" t="s">
        <v>465</v>
      </c>
      <c r="AS1" t="s">
        <v>466</v>
      </c>
      <c r="AT1" t="s">
        <v>467</v>
      </c>
      <c r="AU1" t="s">
        <v>468</v>
      </c>
      <c r="AV1" t="s">
        <v>211</v>
      </c>
    </row>
    <row r="2" spans="1:48" x14ac:dyDescent="0.35">
      <c r="A2" t="s">
        <v>642</v>
      </c>
      <c r="B2">
        <v>834</v>
      </c>
      <c r="C2" t="s">
        <v>666</v>
      </c>
      <c r="D2" t="s">
        <v>667</v>
      </c>
      <c r="E2" t="s">
        <v>634</v>
      </c>
      <c r="F2" t="s">
        <v>668</v>
      </c>
      <c r="G2" s="22">
        <v>45550</v>
      </c>
      <c r="H2">
        <v>11.428000000000001</v>
      </c>
      <c r="I2">
        <v>21438000</v>
      </c>
      <c r="J2">
        <v>-34312000</v>
      </c>
      <c r="K2" s="78">
        <v>-7.4859999999999996E-2</v>
      </c>
      <c r="L2" s="78">
        <v>6.0999999999999999E-2</v>
      </c>
      <c r="M2">
        <v>4.9619999999999997</v>
      </c>
      <c r="N2">
        <v>13.965</v>
      </c>
      <c r="O2">
        <v>117687000</v>
      </c>
      <c r="P2" s="78">
        <v>-0.10003000500000001</v>
      </c>
      <c r="Q2" s="78">
        <v>-0.28299999999999997</v>
      </c>
      <c r="T2" s="10">
        <v>5534000</v>
      </c>
      <c r="U2" s="78">
        <v>-0.39985999999999999</v>
      </c>
      <c r="V2">
        <v>2.1440000000000001</v>
      </c>
      <c r="W2">
        <v>2.698</v>
      </c>
      <c r="X2">
        <v>977000</v>
      </c>
      <c r="Y2">
        <v>10</v>
      </c>
      <c r="Z2">
        <v>11.265000000000001</v>
      </c>
      <c r="AA2"/>
      <c r="AB2" s="78"/>
      <c r="AC2" s="45"/>
      <c r="AE2">
        <v>1.0529999999999999</v>
      </c>
      <c r="AG2">
        <v>-6.7440476</v>
      </c>
      <c r="AH2">
        <v>153080</v>
      </c>
      <c r="AI2">
        <v>4.13</v>
      </c>
      <c r="AJ2">
        <v>13.33</v>
      </c>
      <c r="AK2">
        <v>0.82269645000000002</v>
      </c>
      <c r="AL2">
        <v>0</v>
      </c>
      <c r="AM2">
        <v>0</v>
      </c>
      <c r="AN2" s="10">
        <v>268736256</v>
      </c>
      <c r="AO2">
        <v>23719000</v>
      </c>
      <c r="AP2">
        <v>7.9089999999999998</v>
      </c>
      <c r="AQ2">
        <v>1.4325452000000001</v>
      </c>
      <c r="AR2" s="45">
        <v>45290.791666666664</v>
      </c>
      <c r="AS2" s="45">
        <v>45656.791666666664</v>
      </c>
      <c r="AT2" s="45">
        <v>45472.833333333336</v>
      </c>
      <c r="AU2">
        <v>0.03</v>
      </c>
      <c r="AV2" t="s">
        <v>643</v>
      </c>
    </row>
    <row r="3" spans="1:48" x14ac:dyDescent="0.35">
      <c r="A3" t="s">
        <v>644</v>
      </c>
      <c r="B3">
        <v>204</v>
      </c>
      <c r="C3" t="s">
        <v>669</v>
      </c>
      <c r="D3" t="s">
        <v>639</v>
      </c>
      <c r="E3" t="s">
        <v>634</v>
      </c>
      <c r="F3" t="s">
        <v>670</v>
      </c>
      <c r="G3" s="22">
        <v>45550</v>
      </c>
      <c r="H3">
        <v>32.179000000000002</v>
      </c>
      <c r="I3">
        <v>39373000</v>
      </c>
      <c r="J3">
        <v>-226374000</v>
      </c>
      <c r="K3" s="78">
        <v>-40.954549999999998</v>
      </c>
      <c r="L3" s="78">
        <v>1.7989999999999999</v>
      </c>
      <c r="M3">
        <v>4.3220000000000001</v>
      </c>
      <c r="N3">
        <v>4.8000000000000001E-2</v>
      </c>
      <c r="O3">
        <v>256380992</v>
      </c>
      <c r="P3" s="78">
        <v>-0.35987999999999998</v>
      </c>
      <c r="Q3" s="78">
        <v>0</v>
      </c>
      <c r="T3" s="10">
        <v>-109283248</v>
      </c>
      <c r="U3" s="78">
        <v>-1.15707</v>
      </c>
      <c r="V3">
        <v>6.8330000000000002</v>
      </c>
      <c r="W3">
        <v>7.0650000000000004</v>
      </c>
      <c r="X3">
        <v>-167920000</v>
      </c>
      <c r="Y3">
        <v>22.89</v>
      </c>
      <c r="Z3">
        <v>11.39</v>
      </c>
      <c r="AA3"/>
      <c r="AB3" s="78"/>
      <c r="AC3" s="45"/>
      <c r="AE3">
        <v>0.17799999999999999</v>
      </c>
      <c r="AG3">
        <v>-4.1554054999999996</v>
      </c>
      <c r="AH3">
        <v>156100</v>
      </c>
      <c r="AI3">
        <v>3.81</v>
      </c>
      <c r="AJ3">
        <v>17.7</v>
      </c>
      <c r="AK3">
        <v>250.64240000000001</v>
      </c>
      <c r="AL3">
        <v>0</v>
      </c>
      <c r="AM3">
        <v>0</v>
      </c>
      <c r="AN3" s="10">
        <v>729620032</v>
      </c>
      <c r="AO3">
        <v>33931700</v>
      </c>
      <c r="AP3">
        <v>2.0649999999999999</v>
      </c>
      <c r="AQ3">
        <v>5.9564165999999998</v>
      </c>
      <c r="AR3" s="45">
        <v>45290.791666666664</v>
      </c>
      <c r="AS3" s="45">
        <v>45656.791666666664</v>
      </c>
      <c r="AT3" s="45">
        <v>45472.833333333336</v>
      </c>
      <c r="AV3" t="s">
        <v>645</v>
      </c>
    </row>
    <row r="4" spans="1:48" x14ac:dyDescent="0.35">
      <c r="A4" t="s">
        <v>646</v>
      </c>
      <c r="B4">
        <v>594</v>
      </c>
      <c r="C4" t="s">
        <v>671</v>
      </c>
      <c r="D4" t="s">
        <v>672</v>
      </c>
      <c r="E4" t="s">
        <v>470</v>
      </c>
      <c r="F4" t="s">
        <v>673</v>
      </c>
      <c r="G4" s="22">
        <v>45550</v>
      </c>
      <c r="H4">
        <v>9.4640000000000004</v>
      </c>
      <c r="I4">
        <v>44701000</v>
      </c>
      <c r="J4">
        <v>-159302000</v>
      </c>
      <c r="K4" s="78">
        <v>-0.77444000000000002</v>
      </c>
      <c r="L4" s="78">
        <v>0.113</v>
      </c>
      <c r="M4">
        <v>1.202</v>
      </c>
      <c r="N4">
        <v>0.58899999999999997</v>
      </c>
      <c r="O4">
        <v>456540992</v>
      </c>
      <c r="P4" s="78">
        <v>-0.16791001</v>
      </c>
      <c r="Q4" s="78">
        <v>-0.65627999999999997</v>
      </c>
      <c r="T4" s="10">
        <v>-20362000</v>
      </c>
      <c r="U4" s="78">
        <v>-0.28366000000000002</v>
      </c>
      <c r="V4">
        <v>14.813000000000001</v>
      </c>
      <c r="W4">
        <v>15.074</v>
      </c>
      <c r="X4">
        <v>-52211000</v>
      </c>
      <c r="Y4">
        <v>2.66</v>
      </c>
      <c r="Z4">
        <v>2.33</v>
      </c>
      <c r="AA4"/>
      <c r="AB4" s="78"/>
      <c r="AC4" s="45"/>
      <c r="AE4">
        <v>1.085</v>
      </c>
      <c r="AG4">
        <v>-13.166665</v>
      </c>
      <c r="AH4">
        <v>1158230</v>
      </c>
      <c r="AI4">
        <v>1.32</v>
      </c>
      <c r="AJ4">
        <v>2.99</v>
      </c>
      <c r="AK4">
        <v>3.9475370000000001</v>
      </c>
      <c r="AL4">
        <v>0</v>
      </c>
      <c r="AM4">
        <v>0</v>
      </c>
      <c r="AN4" s="10">
        <v>900381888</v>
      </c>
      <c r="AO4">
        <v>187940992</v>
      </c>
      <c r="AP4">
        <v>1.246</v>
      </c>
      <c r="AQ4">
        <v>1.9020865</v>
      </c>
      <c r="AR4" s="45">
        <v>45290.791666666664</v>
      </c>
      <c r="AS4" s="45">
        <v>45656.791666666664</v>
      </c>
      <c r="AT4" s="45">
        <v>45472.833333333336</v>
      </c>
      <c r="AV4" t="s">
        <v>647</v>
      </c>
    </row>
    <row r="5" spans="1:48" x14ac:dyDescent="0.35">
      <c r="A5" t="s">
        <v>648</v>
      </c>
      <c r="B5">
        <v>3079</v>
      </c>
      <c r="C5" t="s">
        <v>674</v>
      </c>
      <c r="D5" t="s">
        <v>675</v>
      </c>
      <c r="E5" t="s">
        <v>469</v>
      </c>
      <c r="F5" t="s">
        <v>676</v>
      </c>
      <c r="G5" s="22">
        <v>45550</v>
      </c>
      <c r="H5">
        <v>124.458</v>
      </c>
      <c r="I5">
        <v>680598976</v>
      </c>
      <c r="J5">
        <v>197447008</v>
      </c>
      <c r="K5" s="78">
        <v>4.861E-2</v>
      </c>
      <c r="L5" s="78">
        <v>-2.5999999999999999E-2</v>
      </c>
      <c r="M5">
        <v>2.56</v>
      </c>
      <c r="N5">
        <v>19.724</v>
      </c>
      <c r="O5">
        <v>135164992</v>
      </c>
      <c r="P5" s="78">
        <v>4.0009997999999998E-2</v>
      </c>
      <c r="Q5" s="78">
        <v>4.7500000000000001E-2</v>
      </c>
      <c r="S5" s="78">
        <v>-0.91400000000000003</v>
      </c>
      <c r="T5" s="10">
        <v>43261124</v>
      </c>
      <c r="U5" s="78">
        <v>9.2609994000000001E-2</v>
      </c>
      <c r="V5">
        <v>0.48899999999999999</v>
      </c>
      <c r="W5">
        <v>0.58199999999999996</v>
      </c>
      <c r="X5">
        <v>117299000</v>
      </c>
      <c r="Y5">
        <v>18.170000000000002</v>
      </c>
      <c r="Z5">
        <v>11.17</v>
      </c>
      <c r="AA5"/>
      <c r="AB5" s="78"/>
      <c r="AC5" s="45"/>
      <c r="AE5">
        <v>1.546</v>
      </c>
      <c r="AF5">
        <v>12.054945</v>
      </c>
      <c r="AG5">
        <v>6.3779070000000004</v>
      </c>
      <c r="AH5">
        <v>509450</v>
      </c>
      <c r="AI5">
        <v>9.2200000000000006</v>
      </c>
      <c r="AJ5">
        <v>17.559999999999999</v>
      </c>
      <c r="AK5">
        <v>0.5463578</v>
      </c>
      <c r="AL5">
        <v>0</v>
      </c>
      <c r="AM5">
        <v>0</v>
      </c>
      <c r="AN5" s="10">
        <v>579293888</v>
      </c>
      <c r="AO5">
        <v>52807100</v>
      </c>
      <c r="AP5">
        <v>10.356</v>
      </c>
      <c r="AQ5">
        <v>1.0592893000000001</v>
      </c>
      <c r="AR5" s="45">
        <v>45290.791666666664</v>
      </c>
      <c r="AS5" s="45">
        <v>45656.791666666664</v>
      </c>
      <c r="AT5" s="45">
        <v>45472.833333333336</v>
      </c>
      <c r="AU5">
        <v>0.74</v>
      </c>
      <c r="AV5" t="s">
        <v>649</v>
      </c>
    </row>
    <row r="6" spans="1:48" x14ac:dyDescent="0.35">
      <c r="A6" t="s">
        <v>650</v>
      </c>
      <c r="B6">
        <v>6500</v>
      </c>
      <c r="C6" t="s">
        <v>677</v>
      </c>
      <c r="D6" t="s">
        <v>678</v>
      </c>
      <c r="E6" t="s">
        <v>629</v>
      </c>
      <c r="F6" t="s">
        <v>679</v>
      </c>
      <c r="G6" s="22">
        <v>45550</v>
      </c>
      <c r="H6">
        <v>4.5579999999999998</v>
      </c>
      <c r="I6">
        <v>47335000</v>
      </c>
      <c r="J6">
        <v>178580992</v>
      </c>
      <c r="K6" s="78">
        <v>8.0530000000000004E-2</v>
      </c>
      <c r="L6" s="78">
        <v>4.0000000000000001E-3</v>
      </c>
      <c r="M6">
        <v>46.037999999999997</v>
      </c>
      <c r="N6">
        <v>213.59899999999999</v>
      </c>
      <c r="O6">
        <v>379967008</v>
      </c>
      <c r="P6" s="78">
        <v>7.3099999999999998E-2</v>
      </c>
      <c r="Q6" s="78">
        <v>8.1210000000000004E-2</v>
      </c>
      <c r="S6" s="78">
        <v>-0.223</v>
      </c>
      <c r="T6" s="10">
        <v>99443128</v>
      </c>
      <c r="U6" s="78">
        <v>0.14149999999999999</v>
      </c>
      <c r="V6">
        <v>1.669</v>
      </c>
      <c r="W6">
        <v>2.9649999999999999</v>
      </c>
      <c r="X6">
        <v>189782000</v>
      </c>
      <c r="Y6">
        <v>432.33</v>
      </c>
      <c r="Z6">
        <v>415.9</v>
      </c>
      <c r="AA6"/>
      <c r="AB6" s="78"/>
      <c r="AC6" s="45"/>
      <c r="AE6">
        <v>1.2390000000000001</v>
      </c>
      <c r="AF6">
        <v>24.870853</v>
      </c>
      <c r="AG6">
        <v>18.950797999999999</v>
      </c>
      <c r="AH6">
        <v>58790</v>
      </c>
      <c r="AI6">
        <v>233.84</v>
      </c>
      <c r="AJ6">
        <v>435.56119999999999</v>
      </c>
      <c r="AK6">
        <v>1.9640907999999999</v>
      </c>
      <c r="AL6">
        <v>0</v>
      </c>
      <c r="AM6">
        <v>0</v>
      </c>
      <c r="AN6" s="10">
        <v>3528520448</v>
      </c>
      <c r="AO6">
        <v>8253270</v>
      </c>
      <c r="AP6">
        <v>125.86</v>
      </c>
      <c r="AQ6">
        <v>3.3968693999999999</v>
      </c>
      <c r="AR6" s="45">
        <v>45380.833333333336</v>
      </c>
      <c r="AS6" s="45">
        <v>45745.833333333336</v>
      </c>
      <c r="AT6" s="45">
        <v>45471.833333333336</v>
      </c>
      <c r="AU6">
        <v>0.75</v>
      </c>
      <c r="AV6" t="s">
        <v>651</v>
      </c>
    </row>
    <row r="7" spans="1:48" x14ac:dyDescent="0.35">
      <c r="A7" t="s">
        <v>652</v>
      </c>
      <c r="B7">
        <v>2800</v>
      </c>
      <c r="C7" t="s">
        <v>680</v>
      </c>
      <c r="D7" t="s">
        <v>681</v>
      </c>
      <c r="E7" t="s">
        <v>629</v>
      </c>
      <c r="F7" t="s">
        <v>682</v>
      </c>
      <c r="G7" s="22">
        <v>45550</v>
      </c>
      <c r="H7">
        <v>71.516999999999996</v>
      </c>
      <c r="I7">
        <v>328007008</v>
      </c>
      <c r="J7">
        <v>273232992</v>
      </c>
      <c r="K7" s="78">
        <v>0.1709</v>
      </c>
      <c r="L7" s="78">
        <v>-3.4000000000000002E-2</v>
      </c>
      <c r="M7">
        <v>6.2009999999999996</v>
      </c>
      <c r="N7">
        <v>24.736999999999998</v>
      </c>
      <c r="O7">
        <v>309121984</v>
      </c>
      <c r="P7" s="78">
        <v>0.17429</v>
      </c>
      <c r="Q7" s="78">
        <v>0.16693</v>
      </c>
      <c r="S7" s="78">
        <v>-0.152</v>
      </c>
      <c r="T7" s="10">
        <v>157327008</v>
      </c>
      <c r="U7" s="78">
        <v>0.45898998000000002</v>
      </c>
      <c r="V7">
        <v>1.536</v>
      </c>
      <c r="W7">
        <v>2.2749999999999999</v>
      </c>
      <c r="X7">
        <v>250634000</v>
      </c>
      <c r="Y7">
        <v>31</v>
      </c>
      <c r="Z7">
        <v>41.95</v>
      </c>
      <c r="AA7">
        <v>1.4</v>
      </c>
      <c r="AB7" s="78">
        <v>3.1800000000000002E-2</v>
      </c>
      <c r="AC7" s="45">
        <v>45575.833333333336</v>
      </c>
      <c r="AD7">
        <v>3.71</v>
      </c>
      <c r="AE7">
        <v>1.075</v>
      </c>
      <c r="AF7">
        <v>10.72683</v>
      </c>
      <c r="AG7">
        <v>11.728</v>
      </c>
      <c r="AH7">
        <v>325700</v>
      </c>
      <c r="AI7">
        <v>30.31</v>
      </c>
      <c r="AJ7">
        <v>48.15</v>
      </c>
      <c r="AK7">
        <v>1.8144225</v>
      </c>
      <c r="AL7">
        <v>1.4</v>
      </c>
      <c r="AM7">
        <v>3.3373060000000003E-2</v>
      </c>
      <c r="AN7" s="10">
        <v>2233031680</v>
      </c>
      <c r="AO7">
        <v>50773800</v>
      </c>
      <c r="AP7">
        <v>9.1999999999999993</v>
      </c>
      <c r="AQ7">
        <v>4.7804346000000004</v>
      </c>
      <c r="AR7" s="45">
        <v>45324.791666666664</v>
      </c>
      <c r="AS7" s="45">
        <v>45690.791666666664</v>
      </c>
      <c r="AT7" s="45">
        <v>45506.833333333336</v>
      </c>
      <c r="AU7">
        <v>1.46</v>
      </c>
      <c r="AV7" t="s">
        <v>653</v>
      </c>
    </row>
    <row r="8" spans="1:48" x14ac:dyDescent="0.35">
      <c r="A8" t="s">
        <v>654</v>
      </c>
      <c r="B8">
        <v>140</v>
      </c>
      <c r="C8" t="s">
        <v>683</v>
      </c>
      <c r="D8" t="s">
        <v>640</v>
      </c>
      <c r="E8" t="s">
        <v>628</v>
      </c>
      <c r="F8" t="s">
        <v>684</v>
      </c>
      <c r="G8" s="22">
        <v>45550</v>
      </c>
      <c r="H8">
        <v>151.86600000000001</v>
      </c>
      <c r="I8">
        <v>545404032</v>
      </c>
      <c r="J8">
        <v>209322000</v>
      </c>
      <c r="K8" s="78">
        <v>0.31945000000000001</v>
      </c>
      <c r="L8" s="78">
        <v>0.05</v>
      </c>
      <c r="M8">
        <v>0.86699999999999999</v>
      </c>
      <c r="N8">
        <v>3.335</v>
      </c>
      <c r="O8">
        <v>94451000</v>
      </c>
      <c r="P8" s="78">
        <v>6.7290000000000003E-2</v>
      </c>
      <c r="Q8" s="78">
        <v>0.12872</v>
      </c>
      <c r="S8" s="78">
        <v>6</v>
      </c>
      <c r="T8" s="10">
        <v>131090000</v>
      </c>
      <c r="U8" s="78">
        <v>0.13549</v>
      </c>
      <c r="V8">
        <v>2.859</v>
      </c>
      <c r="W8">
        <v>2.996</v>
      </c>
      <c r="X8">
        <v>151376992</v>
      </c>
      <c r="Z8">
        <v>11.53</v>
      </c>
      <c r="AA8">
        <v>0.2</v>
      </c>
      <c r="AB8" s="78">
        <v>1.67E-2</v>
      </c>
      <c r="AC8" s="45">
        <v>45530.833333333336</v>
      </c>
      <c r="AD8">
        <v>2.42</v>
      </c>
      <c r="AE8">
        <v>1.1399999999999999</v>
      </c>
      <c r="AF8">
        <v>29.170732000000001</v>
      </c>
      <c r="AG8">
        <v>8.2482760000000006</v>
      </c>
      <c r="AH8">
        <v>334272</v>
      </c>
      <c r="AI8">
        <v>8.11</v>
      </c>
      <c r="AJ8">
        <v>13.39</v>
      </c>
      <c r="AK8">
        <v>3.6278855999999999</v>
      </c>
      <c r="AL8">
        <v>0.2</v>
      </c>
      <c r="AM8">
        <v>1.7346054E-2</v>
      </c>
      <c r="AN8" s="10">
        <v>1302479872</v>
      </c>
      <c r="AO8">
        <v>108903000</v>
      </c>
      <c r="AP8">
        <v>3.2989999999999999</v>
      </c>
      <c r="AQ8">
        <v>3.6253410000000001</v>
      </c>
      <c r="AR8" s="45">
        <v>45290.791666666664</v>
      </c>
      <c r="AS8" s="45">
        <v>45656.791666666664</v>
      </c>
      <c r="AT8" s="45">
        <v>45472.833333333336</v>
      </c>
      <c r="AU8">
        <v>0.56999999999999995</v>
      </c>
      <c r="AV8" t="s">
        <v>655</v>
      </c>
    </row>
    <row r="9" spans="1:48" x14ac:dyDescent="0.35">
      <c r="A9" t="s">
        <v>656</v>
      </c>
      <c r="B9">
        <v>150</v>
      </c>
      <c r="C9" t="s">
        <v>685</v>
      </c>
      <c r="D9" t="s">
        <v>639</v>
      </c>
      <c r="E9" t="s">
        <v>634</v>
      </c>
      <c r="F9" t="s">
        <v>686</v>
      </c>
      <c r="G9" s="22">
        <v>45550</v>
      </c>
      <c r="H9">
        <v>3.6179999999999999</v>
      </c>
      <c r="I9">
        <v>6252000</v>
      </c>
      <c r="J9">
        <v>-154720000</v>
      </c>
      <c r="K9" s="140">
        <v>0</v>
      </c>
      <c r="L9" s="140"/>
      <c r="M9">
        <v>4.0330000000000004</v>
      </c>
      <c r="O9">
        <v>174272000</v>
      </c>
      <c r="P9" s="140">
        <v>-0.53937000000000002</v>
      </c>
      <c r="Q9" s="140">
        <v>0</v>
      </c>
      <c r="S9" s="140"/>
      <c r="T9" s="48">
        <v>-57843376</v>
      </c>
      <c r="U9" s="140">
        <v>-0.90839000000000003</v>
      </c>
      <c r="V9">
        <v>8.3249999999999993</v>
      </c>
      <c r="W9">
        <v>8.5510000000000002</v>
      </c>
      <c r="X9">
        <v>-102721000</v>
      </c>
      <c r="Y9">
        <v>29.2</v>
      </c>
      <c r="Z9">
        <v>10.46</v>
      </c>
      <c r="AA9"/>
      <c r="AB9" s="140"/>
      <c r="AC9" s="45"/>
      <c r="AE9">
        <v>0.89800000000000002</v>
      </c>
      <c r="AG9">
        <v>-8.5038180000000008</v>
      </c>
      <c r="AH9">
        <v>384170</v>
      </c>
      <c r="AI9">
        <v>7.21</v>
      </c>
      <c r="AJ9">
        <v>16.88</v>
      </c>
      <c r="AL9">
        <v>0</v>
      </c>
      <c r="AM9">
        <v>0</v>
      </c>
      <c r="AN9" s="48">
        <v>481420672</v>
      </c>
      <c r="AO9">
        <v>43215500</v>
      </c>
      <c r="AP9">
        <v>4.0110000000000001</v>
      </c>
      <c r="AQ9">
        <v>2.7773623000000001</v>
      </c>
      <c r="AR9" s="45">
        <v>45411.833333333336</v>
      </c>
      <c r="AS9" s="45">
        <v>45776.833333333336</v>
      </c>
      <c r="AT9" s="45">
        <v>45503.833333333336</v>
      </c>
      <c r="AV9" t="s">
        <v>657</v>
      </c>
    </row>
    <row r="10" spans="1:48" x14ac:dyDescent="0.35">
      <c r="A10" t="s">
        <v>658</v>
      </c>
      <c r="B10">
        <v>251</v>
      </c>
      <c r="C10" t="s">
        <v>687</v>
      </c>
      <c r="D10" t="s">
        <v>688</v>
      </c>
      <c r="E10" t="s">
        <v>689</v>
      </c>
      <c r="F10" t="s">
        <v>690</v>
      </c>
      <c r="G10" s="22">
        <v>45550</v>
      </c>
      <c r="H10">
        <v>76.915999999999997</v>
      </c>
      <c r="I10">
        <v>180303008</v>
      </c>
      <c r="J10">
        <v>44948000</v>
      </c>
      <c r="K10" s="78">
        <v>0.33348998000000002</v>
      </c>
      <c r="L10" s="78">
        <v>8.5999999999999993E-2</v>
      </c>
      <c r="M10">
        <v>0.60699999999999998</v>
      </c>
      <c r="N10">
        <v>10.02</v>
      </c>
      <c r="O10">
        <v>6251000</v>
      </c>
      <c r="P10" s="78">
        <v>2.5409998E-2</v>
      </c>
      <c r="Q10" s="78">
        <v>0.17740998999999999</v>
      </c>
      <c r="S10" s="78">
        <v>0.17599999999999999</v>
      </c>
      <c r="T10" s="10">
        <v>-20477624</v>
      </c>
      <c r="U10" s="78">
        <v>7.9219999999999999E-2</v>
      </c>
      <c r="V10">
        <v>0.82</v>
      </c>
      <c r="W10">
        <v>1.2989999999999999</v>
      </c>
      <c r="X10">
        <v>36089000</v>
      </c>
      <c r="Z10">
        <v>37.49</v>
      </c>
      <c r="AA10">
        <v>1.18</v>
      </c>
      <c r="AB10" s="78">
        <v>3.0800000000000001E-2</v>
      </c>
      <c r="AC10" s="45">
        <v>45519.833333333336</v>
      </c>
      <c r="AD10">
        <v>2.57</v>
      </c>
      <c r="AE10">
        <v>0.183</v>
      </c>
      <c r="AF10">
        <v>21.561798</v>
      </c>
      <c r="AG10">
        <v>18.363638000000002</v>
      </c>
      <c r="AH10">
        <v>31030</v>
      </c>
      <c r="AI10">
        <v>33.340000000000003</v>
      </c>
      <c r="AJ10">
        <v>47.14</v>
      </c>
      <c r="AK10">
        <v>3.8149145</v>
      </c>
      <c r="AL10">
        <v>1.159</v>
      </c>
      <c r="AM10">
        <v>3.091491E-2</v>
      </c>
      <c r="AN10" s="10">
        <v>393222304</v>
      </c>
      <c r="AO10">
        <v>9414110</v>
      </c>
      <c r="AP10">
        <v>22.768999999999998</v>
      </c>
      <c r="AQ10">
        <v>1.6856253000000001</v>
      </c>
      <c r="AR10" s="45">
        <v>45290.791666666664</v>
      </c>
      <c r="AS10" s="45">
        <v>45656.791666666664</v>
      </c>
      <c r="AT10" s="45">
        <v>45472.833333333336</v>
      </c>
      <c r="AU10">
        <v>4.88</v>
      </c>
      <c r="AV10" t="s">
        <v>659</v>
      </c>
    </row>
    <row r="11" spans="1:48" x14ac:dyDescent="0.35">
      <c r="A11" t="s">
        <v>660</v>
      </c>
      <c r="B11">
        <v>819</v>
      </c>
      <c r="C11" t="s">
        <v>691</v>
      </c>
      <c r="D11" t="s">
        <v>692</v>
      </c>
      <c r="E11" t="s">
        <v>628</v>
      </c>
      <c r="F11" t="s">
        <v>693</v>
      </c>
      <c r="G11" s="22">
        <v>45550</v>
      </c>
      <c r="I11">
        <v>0</v>
      </c>
      <c r="J11">
        <v>55695000</v>
      </c>
      <c r="K11" s="78">
        <v>1.8440000000000002E-2</v>
      </c>
      <c r="L11" s="78">
        <v>-0.13800000000000001</v>
      </c>
      <c r="M11">
        <v>5.1109999999999998</v>
      </c>
      <c r="N11">
        <v>7.2460000000000004</v>
      </c>
      <c r="O11">
        <v>290478016</v>
      </c>
      <c r="P11" s="78">
        <v>1.434E-2</v>
      </c>
      <c r="Q11" s="78">
        <v>0.10383000000000001</v>
      </c>
      <c r="S11" s="78">
        <v>-0.66900000000000004</v>
      </c>
      <c r="T11" s="10">
        <v>38929624</v>
      </c>
      <c r="U11" s="78">
        <v>5.7210002000000003E-2</v>
      </c>
      <c r="V11">
        <v>6.1630000000000003</v>
      </c>
      <c r="W11">
        <v>9.952</v>
      </c>
      <c r="X11">
        <v>76529000</v>
      </c>
      <c r="Y11">
        <v>78.5</v>
      </c>
      <c r="Z11">
        <v>58.23</v>
      </c>
      <c r="AA11">
        <v>0.8</v>
      </c>
      <c r="AB11" s="78">
        <v>1.34000005E-2</v>
      </c>
      <c r="AC11" s="45">
        <v>45533.833333333336</v>
      </c>
      <c r="AD11">
        <v>0.79</v>
      </c>
      <c r="AE11">
        <v>1.097</v>
      </c>
      <c r="AF11">
        <v>80.608109999999996</v>
      </c>
      <c r="AG11">
        <v>33.511240000000001</v>
      </c>
      <c r="AH11">
        <v>497010</v>
      </c>
      <c r="AI11">
        <v>56.63</v>
      </c>
      <c r="AJ11">
        <v>89.68</v>
      </c>
      <c r="AK11">
        <v>8.2098490000000002</v>
      </c>
      <c r="AL11">
        <v>0.79</v>
      </c>
      <c r="AM11">
        <v>1.3566890999999999E-2</v>
      </c>
      <c r="AN11" s="10">
        <v>3389879808</v>
      </c>
      <c r="AO11">
        <v>56829500</v>
      </c>
      <c r="AP11">
        <v>12.87</v>
      </c>
      <c r="AQ11">
        <v>4.6348099999999999</v>
      </c>
      <c r="AR11" s="45">
        <v>45290.791666666664</v>
      </c>
      <c r="AS11" s="45">
        <v>45656.791666666664</v>
      </c>
      <c r="AT11" s="45">
        <v>45472.833333333336</v>
      </c>
      <c r="AU11">
        <v>2.2400000000000002</v>
      </c>
      <c r="AV11" t="s">
        <v>661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4AFB-9FA6-4E86-9944-593D9D510BB0}">
  <sheetPr>
    <tabColor theme="7" tint="0.79998168889431442"/>
  </sheetPr>
  <dimension ref="A1:A11"/>
  <sheetViews>
    <sheetView showGridLines="0" workbookViewId="0">
      <selection sqref="A1:A10"/>
    </sheetView>
  </sheetViews>
  <sheetFormatPr defaultRowHeight="14.5" x14ac:dyDescent="0.35"/>
  <cols>
    <col min="1" max="1" width="8.08984375" bestFit="1" customWidth="1"/>
  </cols>
  <sheetData>
    <row r="1" spans="1:1" x14ac:dyDescent="0.35">
      <c r="A1" t="s">
        <v>211</v>
      </c>
    </row>
    <row r="2" spans="1:1" x14ac:dyDescent="0.35">
      <c r="A2" t="s">
        <v>655</v>
      </c>
    </row>
    <row r="3" spans="1:1" x14ac:dyDescent="0.35">
      <c r="A3" t="s">
        <v>659</v>
      </c>
    </row>
    <row r="4" spans="1:1" x14ac:dyDescent="0.35">
      <c r="A4" t="s">
        <v>653</v>
      </c>
    </row>
    <row r="5" spans="1:1" x14ac:dyDescent="0.35">
      <c r="A5" t="s">
        <v>651</v>
      </c>
    </row>
    <row r="6" spans="1:1" x14ac:dyDescent="0.35">
      <c r="A6" t="s">
        <v>645</v>
      </c>
    </row>
    <row r="7" spans="1:1" x14ac:dyDescent="0.35">
      <c r="A7" t="s">
        <v>643</v>
      </c>
    </row>
    <row r="8" spans="1:1" x14ac:dyDescent="0.35">
      <c r="A8" t="s">
        <v>657</v>
      </c>
    </row>
    <row r="9" spans="1:1" x14ac:dyDescent="0.35">
      <c r="A9" t="s">
        <v>647</v>
      </c>
    </row>
    <row r="10" spans="1:1" x14ac:dyDescent="0.35">
      <c r="A10" t="s">
        <v>661</v>
      </c>
    </row>
    <row r="11" spans="1:1" x14ac:dyDescent="0.35">
      <c r="A11" t="s">
        <v>649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5DC9-7461-44EF-A8B8-906D94031C6F}">
  <sheetPr>
    <tabColor theme="7" tint="0.79998168889431442"/>
  </sheetPr>
  <dimension ref="A1:E41"/>
  <sheetViews>
    <sheetView showGridLines="0" workbookViewId="0">
      <selection activeCell="D3" sqref="D3"/>
    </sheetView>
  </sheetViews>
  <sheetFormatPr defaultRowHeight="14.5" x14ac:dyDescent="0.35"/>
  <cols>
    <col min="1" max="1" width="8.08984375" bestFit="1" customWidth="1"/>
    <col min="2" max="2" width="10.90625" bestFit="1" customWidth="1"/>
    <col min="3" max="3" width="15.26953125" bestFit="1" customWidth="1"/>
    <col min="4" max="4" width="15.6328125" bestFit="1" customWidth="1"/>
    <col min="5" max="5" width="6.81640625" bestFit="1" customWidth="1"/>
  </cols>
  <sheetData>
    <row r="1" spans="1:5" x14ac:dyDescent="0.35">
      <c r="A1" t="s">
        <v>211</v>
      </c>
      <c r="B1" t="s">
        <v>140</v>
      </c>
      <c r="C1" t="s">
        <v>473</v>
      </c>
      <c r="D1" t="s">
        <v>474</v>
      </c>
      <c r="E1" t="s">
        <v>475</v>
      </c>
    </row>
    <row r="2" spans="1:5" x14ac:dyDescent="0.35">
      <c r="A2" t="s">
        <v>655</v>
      </c>
      <c r="B2" s="22">
        <v>44196</v>
      </c>
      <c r="C2" s="22">
        <v>44196</v>
      </c>
      <c r="D2" s="22">
        <v>44196</v>
      </c>
      <c r="E2">
        <v>2020</v>
      </c>
    </row>
    <row r="3" spans="1:5" x14ac:dyDescent="0.35">
      <c r="A3" t="s">
        <v>655</v>
      </c>
      <c r="B3" s="22">
        <v>44561</v>
      </c>
      <c r="C3" s="22">
        <v>44561</v>
      </c>
      <c r="D3" s="22">
        <v>44561</v>
      </c>
      <c r="E3">
        <v>2021</v>
      </c>
    </row>
    <row r="4" spans="1:5" x14ac:dyDescent="0.35">
      <c r="A4" t="s">
        <v>655</v>
      </c>
      <c r="B4" s="22">
        <v>44926</v>
      </c>
      <c r="C4" s="22">
        <v>44926</v>
      </c>
      <c r="D4" s="22">
        <v>44926</v>
      </c>
      <c r="E4">
        <v>2022</v>
      </c>
    </row>
    <row r="5" spans="1:5" x14ac:dyDescent="0.35">
      <c r="A5" t="s">
        <v>655</v>
      </c>
      <c r="B5" s="22">
        <v>45291</v>
      </c>
      <c r="C5" s="22">
        <v>45291</v>
      </c>
      <c r="D5" s="22">
        <v>45291</v>
      </c>
      <c r="E5">
        <v>2023</v>
      </c>
    </row>
    <row r="6" spans="1:5" x14ac:dyDescent="0.35">
      <c r="A6" t="s">
        <v>659</v>
      </c>
      <c r="B6" s="22">
        <v>44196</v>
      </c>
      <c r="C6" s="22">
        <v>44196</v>
      </c>
      <c r="D6" s="22">
        <v>44196</v>
      </c>
      <c r="E6">
        <v>2020</v>
      </c>
    </row>
    <row r="7" spans="1:5" x14ac:dyDescent="0.35">
      <c r="A7" t="s">
        <v>659</v>
      </c>
      <c r="B7" s="22">
        <v>44561</v>
      </c>
      <c r="C7" s="22">
        <v>44561</v>
      </c>
      <c r="D7" s="22">
        <v>44561</v>
      </c>
      <c r="E7">
        <v>2021</v>
      </c>
    </row>
    <row r="8" spans="1:5" x14ac:dyDescent="0.35">
      <c r="A8" t="s">
        <v>659</v>
      </c>
      <c r="B8" s="22">
        <v>44926</v>
      </c>
      <c r="C8" s="22">
        <v>44926</v>
      </c>
      <c r="D8" s="22">
        <v>44926</v>
      </c>
      <c r="E8">
        <v>2022</v>
      </c>
    </row>
    <row r="9" spans="1:5" x14ac:dyDescent="0.35">
      <c r="A9" t="s">
        <v>659</v>
      </c>
      <c r="B9" s="22">
        <v>45291</v>
      </c>
      <c r="C9" s="22">
        <v>45291</v>
      </c>
      <c r="D9" s="22">
        <v>45291</v>
      </c>
      <c r="E9">
        <v>2023</v>
      </c>
    </row>
    <row r="10" spans="1:5" x14ac:dyDescent="0.35">
      <c r="A10" t="s">
        <v>653</v>
      </c>
      <c r="B10" s="22">
        <v>44227</v>
      </c>
      <c r="C10" s="22">
        <v>44227</v>
      </c>
      <c r="D10" s="22">
        <v>44227</v>
      </c>
      <c r="E10">
        <v>2021</v>
      </c>
    </row>
    <row r="11" spans="1:5" x14ac:dyDescent="0.35">
      <c r="A11" t="s">
        <v>653</v>
      </c>
      <c r="B11" s="22">
        <v>44592</v>
      </c>
      <c r="C11" s="22">
        <v>44592</v>
      </c>
      <c r="D11" s="22">
        <v>44592</v>
      </c>
      <c r="E11">
        <v>2022</v>
      </c>
    </row>
    <row r="12" spans="1:5" x14ac:dyDescent="0.35">
      <c r="A12" t="s">
        <v>653</v>
      </c>
      <c r="B12" s="22">
        <v>44957</v>
      </c>
      <c r="C12" s="22">
        <v>44957</v>
      </c>
      <c r="D12" s="22">
        <v>44957</v>
      </c>
      <c r="E12">
        <v>2023</v>
      </c>
    </row>
    <row r="13" spans="1:5" x14ac:dyDescent="0.35">
      <c r="A13" t="s">
        <v>653</v>
      </c>
      <c r="B13" s="22">
        <v>45322</v>
      </c>
      <c r="C13" s="22">
        <v>45322</v>
      </c>
      <c r="D13" s="22">
        <v>45322</v>
      </c>
      <c r="E13">
        <v>2024</v>
      </c>
    </row>
    <row r="14" spans="1:5" x14ac:dyDescent="0.35">
      <c r="A14" t="s">
        <v>651</v>
      </c>
      <c r="B14" s="22">
        <v>44286</v>
      </c>
      <c r="C14" s="22">
        <v>44286</v>
      </c>
      <c r="D14" s="22">
        <v>44286</v>
      </c>
      <c r="E14">
        <v>2021</v>
      </c>
    </row>
    <row r="15" spans="1:5" x14ac:dyDescent="0.35">
      <c r="A15" t="s">
        <v>651</v>
      </c>
      <c r="B15" s="22">
        <v>44651</v>
      </c>
      <c r="C15" s="22">
        <v>44651</v>
      </c>
      <c r="D15" s="22">
        <v>44651</v>
      </c>
      <c r="E15">
        <v>2022</v>
      </c>
    </row>
    <row r="16" spans="1:5" x14ac:dyDescent="0.35">
      <c r="A16" t="s">
        <v>651</v>
      </c>
      <c r="B16" s="22">
        <v>45016</v>
      </c>
      <c r="C16" s="22">
        <v>45016</v>
      </c>
      <c r="D16" s="22">
        <v>45016</v>
      </c>
      <c r="E16">
        <v>2023</v>
      </c>
    </row>
    <row r="17" spans="1:5" x14ac:dyDescent="0.35">
      <c r="A17" t="s">
        <v>651</v>
      </c>
      <c r="B17" s="22">
        <v>45382</v>
      </c>
      <c r="C17" s="22">
        <v>45382</v>
      </c>
      <c r="D17" s="22">
        <v>45382</v>
      </c>
      <c r="E17">
        <v>2024</v>
      </c>
    </row>
    <row r="18" spans="1:5" x14ac:dyDescent="0.35">
      <c r="A18" t="s">
        <v>645</v>
      </c>
      <c r="B18" s="22">
        <v>44196</v>
      </c>
      <c r="C18" s="22">
        <v>44196</v>
      </c>
      <c r="D18" s="22">
        <v>44196</v>
      </c>
      <c r="E18">
        <v>2020</v>
      </c>
    </row>
    <row r="19" spans="1:5" x14ac:dyDescent="0.35">
      <c r="A19" t="s">
        <v>645</v>
      </c>
      <c r="B19" s="22">
        <v>44561</v>
      </c>
      <c r="C19" s="22">
        <v>44561</v>
      </c>
      <c r="D19" s="22">
        <v>44561</v>
      </c>
      <c r="E19">
        <v>2021</v>
      </c>
    </row>
    <row r="20" spans="1:5" x14ac:dyDescent="0.35">
      <c r="A20" t="s">
        <v>645</v>
      </c>
      <c r="B20" s="22">
        <v>44926</v>
      </c>
      <c r="C20" s="22">
        <v>44926</v>
      </c>
      <c r="D20" s="22">
        <v>44926</v>
      </c>
      <c r="E20">
        <v>2022</v>
      </c>
    </row>
    <row r="21" spans="1:5" x14ac:dyDescent="0.35">
      <c r="A21" t="s">
        <v>645</v>
      </c>
      <c r="B21" s="22">
        <v>45291</v>
      </c>
      <c r="C21" s="22">
        <v>45291</v>
      </c>
      <c r="D21" s="22">
        <v>45291</v>
      </c>
      <c r="E21">
        <v>2023</v>
      </c>
    </row>
    <row r="22" spans="1:5" x14ac:dyDescent="0.35">
      <c r="A22" t="s">
        <v>643</v>
      </c>
      <c r="B22" s="22">
        <v>44196</v>
      </c>
      <c r="C22" s="22">
        <v>44196</v>
      </c>
      <c r="D22" s="22">
        <v>44196</v>
      </c>
      <c r="E22">
        <v>2020</v>
      </c>
    </row>
    <row r="23" spans="1:5" x14ac:dyDescent="0.35">
      <c r="A23" t="s">
        <v>643</v>
      </c>
      <c r="B23" s="22">
        <v>44561</v>
      </c>
      <c r="C23" s="22">
        <v>44561</v>
      </c>
      <c r="D23" s="22">
        <v>44561</v>
      </c>
      <c r="E23">
        <v>2021</v>
      </c>
    </row>
    <row r="24" spans="1:5" x14ac:dyDescent="0.35">
      <c r="A24" t="s">
        <v>643</v>
      </c>
      <c r="B24" s="22">
        <v>44926</v>
      </c>
      <c r="C24" s="22">
        <v>44926</v>
      </c>
      <c r="D24" s="22">
        <v>44926</v>
      </c>
      <c r="E24">
        <v>2022</v>
      </c>
    </row>
    <row r="25" spans="1:5" x14ac:dyDescent="0.35">
      <c r="A25" t="s">
        <v>643</v>
      </c>
      <c r="B25" s="22">
        <v>45291</v>
      </c>
      <c r="C25" s="22">
        <v>45291</v>
      </c>
      <c r="D25" s="22">
        <v>45291</v>
      </c>
      <c r="E25">
        <v>2023</v>
      </c>
    </row>
    <row r="26" spans="1:5" x14ac:dyDescent="0.35">
      <c r="A26" t="s">
        <v>657</v>
      </c>
      <c r="B26" s="22">
        <v>44316</v>
      </c>
      <c r="C26" s="22">
        <v>44316</v>
      </c>
      <c r="D26" s="22">
        <v>44316</v>
      </c>
      <c r="E26">
        <v>2021</v>
      </c>
    </row>
    <row r="27" spans="1:5" x14ac:dyDescent="0.35">
      <c r="A27" t="s">
        <v>657</v>
      </c>
      <c r="B27" s="22">
        <v>44681</v>
      </c>
      <c r="C27" s="22">
        <v>44681</v>
      </c>
      <c r="D27" s="22">
        <v>44681</v>
      </c>
      <c r="E27">
        <v>2022</v>
      </c>
    </row>
    <row r="28" spans="1:5" x14ac:dyDescent="0.35">
      <c r="A28" t="s">
        <v>657</v>
      </c>
      <c r="B28" s="22">
        <v>45046</v>
      </c>
      <c r="C28" s="22">
        <v>45046</v>
      </c>
      <c r="D28" s="22">
        <v>45046</v>
      </c>
      <c r="E28">
        <v>2023</v>
      </c>
    </row>
    <row r="29" spans="1:5" x14ac:dyDescent="0.35">
      <c r="A29" t="s">
        <v>657</v>
      </c>
      <c r="B29" s="22">
        <v>45412</v>
      </c>
      <c r="C29" s="22">
        <v>45412</v>
      </c>
      <c r="D29" s="22">
        <v>45412</v>
      </c>
      <c r="E29">
        <v>2024</v>
      </c>
    </row>
    <row r="30" spans="1:5" x14ac:dyDescent="0.35">
      <c r="A30" t="s">
        <v>647</v>
      </c>
      <c r="B30" s="22">
        <v>44196</v>
      </c>
      <c r="C30" s="22">
        <v>44196</v>
      </c>
      <c r="D30" s="22">
        <v>44196</v>
      </c>
      <c r="E30">
        <v>2020</v>
      </c>
    </row>
    <row r="31" spans="1:5" x14ac:dyDescent="0.35">
      <c r="A31" t="s">
        <v>647</v>
      </c>
      <c r="B31" s="22">
        <v>44561</v>
      </c>
      <c r="C31" s="22">
        <v>44561</v>
      </c>
      <c r="D31" s="22">
        <v>44561</v>
      </c>
      <c r="E31">
        <v>2021</v>
      </c>
    </row>
    <row r="32" spans="1:5" x14ac:dyDescent="0.35">
      <c r="A32" t="s">
        <v>647</v>
      </c>
      <c r="B32" s="22">
        <v>44926</v>
      </c>
      <c r="C32" s="22">
        <v>44926</v>
      </c>
      <c r="D32" s="22">
        <v>44926</v>
      </c>
      <c r="E32">
        <v>2022</v>
      </c>
    </row>
    <row r="33" spans="1:5" x14ac:dyDescent="0.35">
      <c r="A33" t="s">
        <v>647</v>
      </c>
      <c r="B33" s="22">
        <v>45291</v>
      </c>
      <c r="C33" s="22">
        <v>45291</v>
      </c>
      <c r="D33" s="22">
        <v>45291</v>
      </c>
      <c r="E33">
        <v>2023</v>
      </c>
    </row>
    <row r="34" spans="1:5" x14ac:dyDescent="0.35">
      <c r="A34" t="s">
        <v>661</v>
      </c>
      <c r="B34" s="22">
        <v>44196</v>
      </c>
      <c r="C34" s="22">
        <v>44196</v>
      </c>
      <c r="D34" s="22">
        <v>44196</v>
      </c>
      <c r="E34">
        <v>2020</v>
      </c>
    </row>
    <row r="35" spans="1:5" x14ac:dyDescent="0.35">
      <c r="A35" t="s">
        <v>661</v>
      </c>
      <c r="B35" s="22">
        <v>44561</v>
      </c>
      <c r="C35" s="22">
        <v>44561</v>
      </c>
      <c r="D35" s="22">
        <v>44561</v>
      </c>
      <c r="E35">
        <v>2021</v>
      </c>
    </row>
    <row r="36" spans="1:5" x14ac:dyDescent="0.35">
      <c r="A36" t="s">
        <v>661</v>
      </c>
      <c r="B36" s="22">
        <v>44926</v>
      </c>
      <c r="C36" s="22">
        <v>44926</v>
      </c>
      <c r="D36" s="22">
        <v>44926</v>
      </c>
      <c r="E36">
        <v>2022</v>
      </c>
    </row>
    <row r="37" spans="1:5" x14ac:dyDescent="0.35">
      <c r="A37" t="s">
        <v>661</v>
      </c>
      <c r="B37" s="22">
        <v>45291</v>
      </c>
      <c r="C37" s="22">
        <v>45291</v>
      </c>
      <c r="D37" s="22">
        <v>45291</v>
      </c>
      <c r="E37">
        <v>2023</v>
      </c>
    </row>
    <row r="38" spans="1:5" x14ac:dyDescent="0.35">
      <c r="A38" t="s">
        <v>649</v>
      </c>
      <c r="B38" s="22">
        <v>44196</v>
      </c>
      <c r="C38" s="22">
        <v>44196</v>
      </c>
      <c r="D38" s="22">
        <v>44196</v>
      </c>
      <c r="E38">
        <v>2020</v>
      </c>
    </row>
    <row r="39" spans="1:5" x14ac:dyDescent="0.35">
      <c r="A39" t="s">
        <v>649</v>
      </c>
      <c r="B39" s="22">
        <v>44561</v>
      </c>
      <c r="C39" s="22">
        <v>44561</v>
      </c>
      <c r="D39" s="22">
        <v>44561</v>
      </c>
      <c r="E39">
        <v>2021</v>
      </c>
    </row>
    <row r="40" spans="1:5" x14ac:dyDescent="0.35">
      <c r="A40" t="s">
        <v>649</v>
      </c>
      <c r="B40" s="22">
        <v>44926</v>
      </c>
      <c r="C40" s="22">
        <v>44926</v>
      </c>
      <c r="D40" s="22">
        <v>44926</v>
      </c>
      <c r="E40">
        <v>2022</v>
      </c>
    </row>
    <row r="41" spans="1:5" x14ac:dyDescent="0.35">
      <c r="A41" t="s">
        <v>649</v>
      </c>
      <c r="B41" s="22">
        <v>45291</v>
      </c>
      <c r="C41" s="22">
        <v>45291</v>
      </c>
      <c r="D41" s="22">
        <v>45291</v>
      </c>
      <c r="E41">
        <v>2023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B353-DC05-4F8D-9712-7E1489397AB5}">
  <sheetPr>
    <tabColor rgb="FF009999"/>
  </sheetPr>
  <dimension ref="A1:P144"/>
  <sheetViews>
    <sheetView showGridLines="0" zoomScaleNormal="100" workbookViewId="0">
      <pane ySplit="2" topLeftCell="A114" activePane="bottomLeft" state="frozen"/>
      <selection pane="bottomLeft" activeCell="E119" sqref="E119"/>
    </sheetView>
  </sheetViews>
  <sheetFormatPr defaultRowHeight="14.5" outlineLevelRow="1" x14ac:dyDescent="0.35"/>
  <cols>
    <col min="4" max="4" width="11.7265625" bestFit="1" customWidth="1"/>
    <col min="5" max="12" width="12.7265625" style="10" customWidth="1"/>
    <col min="13" max="14" width="12.7265625" customWidth="1"/>
    <col min="16" max="16" width="11.1796875" bestFit="1" customWidth="1"/>
  </cols>
  <sheetData>
    <row r="1" spans="1:14" ht="21" customHeight="1" x14ac:dyDescent="0.35">
      <c r="A1" s="155" t="s">
        <v>0</v>
      </c>
      <c r="B1" s="155"/>
      <c r="C1" s="155"/>
      <c r="D1" s="155"/>
      <c r="E1" s="149" t="s">
        <v>1</v>
      </c>
      <c r="F1" s="149"/>
      <c r="G1" s="149"/>
      <c r="H1" s="149"/>
      <c r="I1" s="149"/>
      <c r="J1" s="150" t="s">
        <v>2</v>
      </c>
      <c r="K1" s="150"/>
      <c r="L1" s="150"/>
      <c r="M1" s="150"/>
      <c r="N1" s="150"/>
    </row>
    <row r="2" spans="1:14" x14ac:dyDescent="0.35">
      <c r="A2" s="155"/>
      <c r="B2" s="155"/>
      <c r="C2" s="155"/>
      <c r="D2" s="155"/>
      <c r="E2" s="28">
        <v>2013</v>
      </c>
      <c r="F2" s="28">
        <v>2014</v>
      </c>
      <c r="G2" s="28">
        <v>2015</v>
      </c>
      <c r="H2" s="28">
        <v>2016</v>
      </c>
      <c r="I2" s="28">
        <v>2017</v>
      </c>
      <c r="J2" s="29">
        <v>2018</v>
      </c>
      <c r="K2" s="29">
        <v>2019</v>
      </c>
      <c r="L2" s="29">
        <v>2020</v>
      </c>
      <c r="M2" s="29">
        <v>2021</v>
      </c>
      <c r="N2" s="29">
        <v>2022</v>
      </c>
    </row>
    <row r="3" spans="1:14" ht="15" thickBot="1" x14ac:dyDescent="0.4">
      <c r="A3" s="1" t="s">
        <v>3</v>
      </c>
      <c r="B3" s="1"/>
      <c r="C3" s="1"/>
      <c r="D3" s="1"/>
      <c r="E3" s="9"/>
      <c r="F3" s="9"/>
      <c r="G3" s="9"/>
      <c r="H3" s="9"/>
      <c r="I3" s="9"/>
      <c r="J3" s="9"/>
      <c r="K3" s="9"/>
      <c r="L3" s="9"/>
      <c r="M3" s="9"/>
      <c r="N3" s="9"/>
    </row>
    <row r="4" spans="1:14" ht="15" thickTop="1" x14ac:dyDescent="0.35"/>
    <row r="5" spans="1:14" x14ac:dyDescent="0.35">
      <c r="A5" s="2" t="s">
        <v>4</v>
      </c>
      <c r="B5" s="2"/>
      <c r="C5" s="2"/>
      <c r="D5" s="2"/>
      <c r="E5" s="11"/>
      <c r="F5" s="11"/>
      <c r="G5" s="11"/>
      <c r="H5" s="11"/>
      <c r="I5" s="11"/>
      <c r="J5" s="11"/>
      <c r="K5" s="11"/>
      <c r="L5" s="11"/>
      <c r="M5" s="11"/>
      <c r="N5" s="11"/>
    </row>
    <row r="6" spans="1:14" outlineLevel="1" x14ac:dyDescent="0.35">
      <c r="A6" s="3" t="s">
        <v>5</v>
      </c>
    </row>
    <row r="7" spans="1:14" outlineLevel="1" x14ac:dyDescent="0.35">
      <c r="A7" t="s">
        <v>11</v>
      </c>
      <c r="E7" s="47" t="str">
        <f>IFERROR((E24-D24)/D24,"")</f>
        <v/>
      </c>
      <c r="F7" s="47">
        <f>IFERROR((F24-E24)/E24,"")</f>
        <v>0.15762643740135482</v>
      </c>
      <c r="G7" s="47">
        <f>IFERROR((G24-F24)/F24,"")</f>
        <v>0.11228257371746016</v>
      </c>
      <c r="H7" s="47">
        <f>IFERROR((H24-G24)/G24,"")</f>
        <v>8.3718451406600933E-2</v>
      </c>
      <c r="I7" s="47">
        <f>IFERROR((I24-H24)/H24,"")</f>
        <v>5.9231001608812638E-2</v>
      </c>
      <c r="J7" s="30">
        <v>0.05</v>
      </c>
      <c r="K7" s="30">
        <v>4.4999999999999998E-2</v>
      </c>
      <c r="L7" s="30">
        <v>0.04</v>
      </c>
      <c r="M7" s="30">
        <v>3.5000000000000003E-2</v>
      </c>
      <c r="N7" s="30">
        <v>0.03</v>
      </c>
    </row>
    <row r="8" spans="1:14" outlineLevel="1" x14ac:dyDescent="0.35">
      <c r="A8" t="s">
        <v>12</v>
      </c>
      <c r="E8" s="47">
        <f>IFERROR(E25/E24,"")</f>
        <v>0.38255217779172018</v>
      </c>
      <c r="F8" s="47">
        <f>IFERROR(F25/F24,"")</f>
        <v>0.40651728401334619</v>
      </c>
      <c r="G8" s="47">
        <f>IFERROR(G25/G24,"")</f>
        <v>0.37399977159389397</v>
      </c>
      <c r="H8" s="47">
        <f>IFERROR(H25/H24,"")</f>
        <v>0.369914501092447</v>
      </c>
      <c r="I8" s="47">
        <f>IFERROR(I25/I24,"")</f>
        <v>0.37613084657628737</v>
      </c>
      <c r="J8" s="30">
        <v>0.37</v>
      </c>
      <c r="K8" s="30">
        <v>0.37</v>
      </c>
      <c r="L8" s="30">
        <v>0.36</v>
      </c>
      <c r="M8" s="30">
        <v>0.36</v>
      </c>
      <c r="N8" s="30">
        <v>0.35</v>
      </c>
    </row>
    <row r="9" spans="1:14" outlineLevel="1" x14ac:dyDescent="0.35">
      <c r="A9" t="s">
        <v>13</v>
      </c>
      <c r="E9" s="47">
        <f>IFERROR(E28/E24,"")</f>
        <v>0.25907045594910155</v>
      </c>
      <c r="F9" s="47">
        <f>IFERROR(F28/F24,"")</f>
        <v>0.19187710651559034</v>
      </c>
      <c r="G9" s="47">
        <f>IFERROR(G28/G24,"")</f>
        <v>0.18175035212608018</v>
      </c>
      <c r="H9" s="47">
        <f>IFERROR(H28/H24,"")</f>
        <v>0.16159785304304453</v>
      </c>
      <c r="I9" s="47">
        <f>IFERROR(I28/I24,"")</f>
        <v>0.16743825113416283</v>
      </c>
      <c r="J9" s="30">
        <v>0.17</v>
      </c>
      <c r="K9" s="30">
        <v>0.17</v>
      </c>
      <c r="L9" s="30">
        <v>0.17</v>
      </c>
      <c r="M9" s="30">
        <v>0.17</v>
      </c>
      <c r="N9" s="30">
        <v>0.17</v>
      </c>
    </row>
    <row r="10" spans="1:14" outlineLevel="1" x14ac:dyDescent="0.35">
      <c r="A10" t="s">
        <v>14</v>
      </c>
      <c r="E10" s="17">
        <f>E29</f>
        <v>10963</v>
      </c>
      <c r="F10" s="17">
        <f>F29</f>
        <v>10125</v>
      </c>
      <c r="G10" s="17">
        <f>G29</f>
        <v>10087</v>
      </c>
      <c r="H10" s="17">
        <f>H29</f>
        <v>11020</v>
      </c>
      <c r="I10" s="17">
        <f>I29</f>
        <v>11412</v>
      </c>
      <c r="J10" s="31">
        <v>10000</v>
      </c>
      <c r="K10" s="31">
        <v>10000</v>
      </c>
      <c r="L10" s="31">
        <v>10000</v>
      </c>
      <c r="M10" s="31">
        <v>10000</v>
      </c>
      <c r="N10" s="31">
        <v>10000</v>
      </c>
    </row>
    <row r="11" spans="1:14" outlineLevel="1" x14ac:dyDescent="0.35">
      <c r="A11" t="s">
        <v>15</v>
      </c>
      <c r="E11" s="47">
        <f>E30/E92</f>
        <v>0.39</v>
      </c>
      <c r="F11" s="47">
        <f>F30/F92</f>
        <v>0.39890109890109893</v>
      </c>
      <c r="G11" s="47">
        <f>G30/G92</f>
        <v>0.4062573789846517</v>
      </c>
      <c r="H11" s="47">
        <f>H30/H92</f>
        <v>0.41210611533192176</v>
      </c>
      <c r="I11" s="47">
        <f>I30/I92</f>
        <v>0.41656951892438021</v>
      </c>
      <c r="J11" s="30">
        <v>0.4</v>
      </c>
      <c r="K11" s="30">
        <v>0.4</v>
      </c>
      <c r="L11" s="30">
        <v>0.4</v>
      </c>
      <c r="M11" s="30">
        <v>0.4</v>
      </c>
      <c r="N11" s="30">
        <v>0.4</v>
      </c>
    </row>
    <row r="12" spans="1:14" outlineLevel="1" x14ac:dyDescent="0.35">
      <c r="A12" t="s">
        <v>16</v>
      </c>
      <c r="E12" s="47">
        <f>E31/E49</f>
        <v>0.05</v>
      </c>
      <c r="F12" s="47">
        <f>F31/F49</f>
        <v>0.05</v>
      </c>
      <c r="G12" s="47">
        <f>G31/G49</f>
        <v>0.05</v>
      </c>
      <c r="H12" s="47">
        <f>H31/H49</f>
        <v>0.05</v>
      </c>
      <c r="I12" s="47">
        <f>I31/I49</f>
        <v>0.05</v>
      </c>
      <c r="J12" s="30">
        <v>0.05</v>
      </c>
      <c r="K12" s="30">
        <v>0.05</v>
      </c>
      <c r="L12" s="30">
        <v>0.05</v>
      </c>
      <c r="M12" s="30">
        <v>0.05</v>
      </c>
      <c r="N12" s="30">
        <v>0.05</v>
      </c>
    </row>
    <row r="13" spans="1:14" outlineLevel="1" x14ac:dyDescent="0.35">
      <c r="A13" t="s">
        <v>17</v>
      </c>
      <c r="E13" s="47">
        <f>E35/E33</f>
        <v>0.31163049526989428</v>
      </c>
      <c r="F13" s="47">
        <f>F35/F33</f>
        <v>0.29178929665445374</v>
      </c>
      <c r="G13" s="47">
        <f>G35/G33</f>
        <v>0.28699506055890112</v>
      </c>
      <c r="H13" s="47">
        <f>H35/H33</f>
        <v>0.28994444592116103</v>
      </c>
      <c r="I13" s="47">
        <f>I35/I33</f>
        <v>0.2912241054613936</v>
      </c>
      <c r="J13" s="30">
        <v>0.28000000000000003</v>
      </c>
      <c r="K13" s="30">
        <v>0.28000000000000003</v>
      </c>
      <c r="L13" s="30">
        <v>0.28000000000000003</v>
      </c>
      <c r="M13" s="30">
        <v>0.28000000000000003</v>
      </c>
      <c r="N13" s="30">
        <v>0.28000000000000003</v>
      </c>
    </row>
    <row r="14" spans="1:14" outlineLevel="1" x14ac:dyDescent="0.35">
      <c r="A14" s="3" t="s">
        <v>6</v>
      </c>
      <c r="J14" s="48"/>
      <c r="K14" s="48"/>
      <c r="L14" s="48"/>
    </row>
    <row r="15" spans="1:14" outlineLevel="1" x14ac:dyDescent="0.35">
      <c r="A15" t="s">
        <v>18</v>
      </c>
      <c r="E15" s="17">
        <f t="shared" ref="E15:I16" si="0">E42/E24*365</f>
        <v>18.248747634966229</v>
      </c>
      <c r="F15" s="17">
        <f t="shared" si="0"/>
        <v>18.249072709720032</v>
      </c>
      <c r="G15" s="17">
        <f t="shared" si="0"/>
        <v>18.249305264760743</v>
      </c>
      <c r="H15" s="17">
        <f t="shared" si="0"/>
        <v>18.249871786765585</v>
      </c>
      <c r="I15" s="17">
        <f t="shared" si="0"/>
        <v>18.250968349560925</v>
      </c>
      <c r="J15" s="31">
        <v>18</v>
      </c>
      <c r="K15" s="31">
        <v>18</v>
      </c>
      <c r="L15" s="31">
        <v>18</v>
      </c>
      <c r="M15" s="31">
        <v>18</v>
      </c>
      <c r="N15" s="31">
        <v>18</v>
      </c>
    </row>
    <row r="16" spans="1:14" outlineLevel="1" x14ac:dyDescent="0.35">
      <c r="A16" t="s">
        <v>19</v>
      </c>
      <c r="E16" s="17">
        <f t="shared" si="0"/>
        <v>73.00374138328678</v>
      </c>
      <c r="F16" s="17">
        <f t="shared" si="0"/>
        <v>73.001520706607778</v>
      </c>
      <c r="G16" s="17">
        <f t="shared" si="0"/>
        <v>73.002972131180911</v>
      </c>
      <c r="H16" s="17">
        <f t="shared" si="0"/>
        <v>73.001386409389596</v>
      </c>
      <c r="I16" s="17">
        <f t="shared" si="0"/>
        <v>73</v>
      </c>
      <c r="J16" s="31">
        <v>73</v>
      </c>
      <c r="K16" s="31">
        <v>73</v>
      </c>
      <c r="L16" s="31">
        <v>73</v>
      </c>
      <c r="M16" s="31">
        <v>73</v>
      </c>
      <c r="N16" s="31">
        <v>73</v>
      </c>
    </row>
    <row r="17" spans="1:15" outlineLevel="1" x14ac:dyDescent="0.35">
      <c r="A17" t="s">
        <v>20</v>
      </c>
      <c r="E17" s="17">
        <f>E48/E25*365</f>
        <v>36.497193962534915</v>
      </c>
      <c r="F17" s="17">
        <f>F48/F25*365</f>
        <v>36.496958586784437</v>
      </c>
      <c r="G17" s="17">
        <f>G48/G25*365</f>
        <v>36.497770901614317</v>
      </c>
      <c r="H17" s="17">
        <f>H48/H25*365</f>
        <v>36.497227181220801</v>
      </c>
      <c r="I17" s="17">
        <f>I48/I25*365</f>
        <v>36.5</v>
      </c>
      <c r="J17" s="31">
        <v>37</v>
      </c>
      <c r="K17" s="31">
        <v>37</v>
      </c>
      <c r="L17" s="31">
        <v>37</v>
      </c>
      <c r="M17" s="31">
        <v>37</v>
      </c>
      <c r="N17" s="31">
        <v>37</v>
      </c>
    </row>
    <row r="18" spans="1:15" outlineLevel="1" x14ac:dyDescent="0.35">
      <c r="A18" t="s">
        <v>21</v>
      </c>
      <c r="E18" s="17">
        <f>E93</f>
        <v>15000</v>
      </c>
      <c r="F18" s="17">
        <f>F93</f>
        <v>15000</v>
      </c>
      <c r="G18" s="17">
        <f>G93</f>
        <v>15000</v>
      </c>
      <c r="H18" s="17">
        <f>H93</f>
        <v>15000</v>
      </c>
      <c r="I18" s="17">
        <f>I93</f>
        <v>15000</v>
      </c>
      <c r="J18" s="31">
        <v>15000</v>
      </c>
      <c r="K18" s="31">
        <v>15000</v>
      </c>
      <c r="L18" s="31">
        <v>15000</v>
      </c>
      <c r="M18" s="31">
        <v>15000</v>
      </c>
      <c r="N18" s="31">
        <v>15000</v>
      </c>
    </row>
    <row r="19" spans="1:15" outlineLevel="1" x14ac:dyDescent="0.35">
      <c r="A19" t="s">
        <v>22</v>
      </c>
      <c r="E19" s="17">
        <f t="shared" ref="E19:I20" si="1">E72</f>
        <v>0</v>
      </c>
      <c r="F19" s="17">
        <f t="shared" si="1"/>
        <v>0</v>
      </c>
      <c r="G19" s="17">
        <f t="shared" si="1"/>
        <v>-20000</v>
      </c>
      <c r="H19" s="17">
        <f t="shared" si="1"/>
        <v>0</v>
      </c>
      <c r="I19" s="17">
        <f t="shared" si="1"/>
        <v>0</v>
      </c>
      <c r="J19" s="31">
        <f>E19</f>
        <v>0</v>
      </c>
      <c r="K19" s="31">
        <f>F19</f>
        <v>0</v>
      </c>
      <c r="L19" s="31">
        <f>G19</f>
        <v>-20000</v>
      </c>
      <c r="M19" s="31">
        <f>H19</f>
        <v>0</v>
      </c>
      <c r="N19" s="31">
        <f>I19</f>
        <v>0</v>
      </c>
    </row>
    <row r="20" spans="1:15" outlineLevel="1" x14ac:dyDescent="0.35">
      <c r="A20" t="s">
        <v>23</v>
      </c>
      <c r="E20" s="17">
        <f t="shared" si="1"/>
        <v>170000</v>
      </c>
      <c r="F20" s="17">
        <f t="shared" si="1"/>
        <v>0</v>
      </c>
      <c r="G20" s="17">
        <f t="shared" si="1"/>
        <v>0</v>
      </c>
      <c r="H20" s="17">
        <f t="shared" si="1"/>
        <v>0</v>
      </c>
      <c r="I20" s="17">
        <f t="shared" si="1"/>
        <v>0</v>
      </c>
      <c r="J20" s="31">
        <v>0</v>
      </c>
      <c r="K20" s="31">
        <v>0</v>
      </c>
      <c r="L20" s="31">
        <v>0</v>
      </c>
      <c r="M20" s="31">
        <v>0</v>
      </c>
      <c r="N20" s="31">
        <v>0</v>
      </c>
    </row>
    <row r="21" spans="1:15" outlineLevel="1" x14ac:dyDescent="0.35"/>
    <row r="23" spans="1:15" x14ac:dyDescent="0.35">
      <c r="A23" s="2" t="s">
        <v>5</v>
      </c>
      <c r="B23" s="2"/>
      <c r="C23" s="2"/>
      <c r="D23" s="2"/>
      <c r="E23" s="11"/>
      <c r="F23" s="11"/>
      <c r="G23" s="11"/>
      <c r="H23" s="11"/>
      <c r="I23" s="11"/>
      <c r="J23" s="11"/>
      <c r="K23" s="11"/>
      <c r="L23" s="11"/>
      <c r="M23" s="11"/>
      <c r="N23" s="11"/>
    </row>
    <row r="24" spans="1:15" outlineLevel="1" x14ac:dyDescent="0.35">
      <c r="A24" s="3" t="s">
        <v>24</v>
      </c>
      <c r="B24" s="3"/>
      <c r="C24" s="3"/>
      <c r="D24" s="3"/>
      <c r="E24" s="12">
        <v>102007</v>
      </c>
      <c r="F24" s="12">
        <v>118086</v>
      </c>
      <c r="G24" s="12">
        <v>131345</v>
      </c>
      <c r="H24" s="12">
        <v>142341</v>
      </c>
      <c r="I24" s="12">
        <v>150772</v>
      </c>
      <c r="J24" s="12">
        <f>I24*(1+J7)</f>
        <v>158310.6</v>
      </c>
      <c r="K24" s="12">
        <f>J24*(1+K7)</f>
        <v>165434.57699999999</v>
      </c>
      <c r="L24" s="12">
        <f>K24*(1+L7)</f>
        <v>172051.96007999999</v>
      </c>
      <c r="M24" s="12">
        <f>L24*(1+M7)</f>
        <v>178073.77868279998</v>
      </c>
      <c r="N24" s="12">
        <f>M24*(1+N7)</f>
        <v>183415.99204328397</v>
      </c>
    </row>
    <row r="25" spans="1:15" outlineLevel="1" x14ac:dyDescent="0.35">
      <c r="A25" s="4" t="s">
        <v>25</v>
      </c>
      <c r="B25" s="4"/>
      <c r="C25" s="4"/>
      <c r="D25" s="4"/>
      <c r="E25" s="13">
        <v>39023</v>
      </c>
      <c r="F25" s="13">
        <v>48004</v>
      </c>
      <c r="G25" s="13">
        <v>49123</v>
      </c>
      <c r="H25" s="13">
        <v>52654</v>
      </c>
      <c r="I25" s="13">
        <v>56710</v>
      </c>
      <c r="J25" s="13">
        <f>J24*J8</f>
        <v>58574.921999999999</v>
      </c>
      <c r="K25" s="13">
        <f>K24*K8</f>
        <v>61210.793489999996</v>
      </c>
      <c r="L25" s="13">
        <f>L24*L8</f>
        <v>61938.705628799995</v>
      </c>
      <c r="M25" s="13">
        <f>M24*M8</f>
        <v>64106.560325807994</v>
      </c>
      <c r="N25" s="13">
        <f>N24*N8</f>
        <v>64195.597215149384</v>
      </c>
    </row>
    <row r="26" spans="1:15" outlineLevel="1" x14ac:dyDescent="0.35">
      <c r="A26" s="3" t="s">
        <v>26</v>
      </c>
      <c r="B26" s="3"/>
      <c r="C26" s="3"/>
      <c r="D26" s="3"/>
      <c r="E26" s="12">
        <f>E24-E25</f>
        <v>62984</v>
      </c>
      <c r="F26" s="12">
        <f t="shared" ref="F26:N26" si="2">F24-F25</f>
        <v>70082</v>
      </c>
      <c r="G26" s="12">
        <f t="shared" si="2"/>
        <v>82222</v>
      </c>
      <c r="H26" s="12">
        <f t="shared" si="2"/>
        <v>89687</v>
      </c>
      <c r="I26" s="12">
        <f t="shared" si="2"/>
        <v>94062</v>
      </c>
      <c r="J26" s="12">
        <f t="shared" si="2"/>
        <v>99735.678000000014</v>
      </c>
      <c r="K26" s="12">
        <f t="shared" si="2"/>
        <v>104223.78350999999</v>
      </c>
      <c r="L26" s="12">
        <f t="shared" si="2"/>
        <v>110113.25445119999</v>
      </c>
      <c r="M26" s="12">
        <f t="shared" si="2"/>
        <v>113967.21835699199</v>
      </c>
      <c r="N26" s="12">
        <f t="shared" si="2"/>
        <v>119220.39482813459</v>
      </c>
    </row>
    <row r="27" spans="1:15" outlineLevel="1" x14ac:dyDescent="0.35">
      <c r="A27" s="3" t="s">
        <v>27</v>
      </c>
      <c r="B27" s="3"/>
      <c r="C27" s="3"/>
      <c r="D27" s="3"/>
      <c r="E27" s="12"/>
      <c r="F27" s="12"/>
      <c r="G27" s="12"/>
      <c r="H27" s="12"/>
      <c r="I27" s="12"/>
      <c r="J27" s="12"/>
      <c r="K27" s="12"/>
      <c r="L27" s="12"/>
      <c r="M27" s="12"/>
      <c r="N27" s="12"/>
    </row>
    <row r="28" spans="1:15" outlineLevel="1" x14ac:dyDescent="0.35">
      <c r="A28" t="s">
        <v>28</v>
      </c>
      <c r="E28" s="10">
        <v>26427</v>
      </c>
      <c r="F28" s="10">
        <v>22658</v>
      </c>
      <c r="G28" s="10">
        <v>23872</v>
      </c>
      <c r="H28" s="10">
        <v>23002</v>
      </c>
      <c r="I28" s="10">
        <v>25245</v>
      </c>
      <c r="J28" s="10">
        <f>J24*J9</f>
        <v>26912.802000000003</v>
      </c>
      <c r="K28" s="10">
        <f>K24*K9</f>
        <v>28123.878090000002</v>
      </c>
      <c r="L28" s="10">
        <f>L24*L9</f>
        <v>29248.833213599999</v>
      </c>
      <c r="M28" s="10">
        <f>M24*M9</f>
        <v>30272.542376075999</v>
      </c>
      <c r="N28" s="10">
        <f>N24*N9</f>
        <v>31180.718647358277</v>
      </c>
    </row>
    <row r="29" spans="1:15" outlineLevel="1" x14ac:dyDescent="0.35">
      <c r="A29" t="s">
        <v>29</v>
      </c>
      <c r="E29" s="10">
        <v>10963</v>
      </c>
      <c r="F29" s="10">
        <v>10125</v>
      </c>
      <c r="G29" s="10">
        <v>10087</v>
      </c>
      <c r="H29" s="10">
        <v>11020</v>
      </c>
      <c r="I29" s="10">
        <v>11412</v>
      </c>
      <c r="J29" s="10">
        <f>J10</f>
        <v>10000</v>
      </c>
      <c r="K29" s="10">
        <f>K10</f>
        <v>10000</v>
      </c>
      <c r="L29" s="10">
        <f>L10</f>
        <v>10000</v>
      </c>
      <c r="M29" s="10">
        <f>M10</f>
        <v>10000</v>
      </c>
      <c r="N29" s="10">
        <f>N10</f>
        <v>10000</v>
      </c>
      <c r="O29" t="s">
        <v>134</v>
      </c>
    </row>
    <row r="30" spans="1:15" outlineLevel="1" x14ac:dyDescent="0.35">
      <c r="A30" t="s">
        <v>30</v>
      </c>
      <c r="E30" s="10">
        <v>19500</v>
      </c>
      <c r="F30" s="10">
        <v>18150</v>
      </c>
      <c r="G30" s="10">
        <v>17205</v>
      </c>
      <c r="H30" s="10">
        <v>16544</v>
      </c>
      <c r="I30" s="10">
        <v>16080</v>
      </c>
      <c r="J30" s="10">
        <f>J94</f>
        <v>15008.400000000001</v>
      </c>
      <c r="K30" s="10">
        <f>K94</f>
        <v>15005.04</v>
      </c>
      <c r="L30" s="10">
        <f>L94</f>
        <v>15003.023999999999</v>
      </c>
      <c r="M30" s="10">
        <f>M94</f>
        <v>15001.814400000001</v>
      </c>
      <c r="N30" s="10">
        <f>N94</f>
        <v>15001.08864</v>
      </c>
      <c r="O30" t="s">
        <v>133</v>
      </c>
    </row>
    <row r="31" spans="1:15" outlineLevel="1" x14ac:dyDescent="0.35">
      <c r="A31" t="s">
        <v>31</v>
      </c>
      <c r="E31" s="10">
        <v>2500</v>
      </c>
      <c r="F31" s="10">
        <v>2500</v>
      </c>
      <c r="G31" s="10">
        <v>1500</v>
      </c>
      <c r="H31" s="10">
        <v>1500</v>
      </c>
      <c r="I31" s="10">
        <v>1500</v>
      </c>
      <c r="J31" s="10">
        <f>J101</f>
        <v>1500</v>
      </c>
      <c r="K31" s="10">
        <f>K101</f>
        <v>1500</v>
      </c>
      <c r="L31" s="10">
        <f>L101</f>
        <v>500</v>
      </c>
      <c r="M31" s="10">
        <f>M101</f>
        <v>500</v>
      </c>
      <c r="N31" s="10">
        <f>N101</f>
        <v>500</v>
      </c>
      <c r="O31" t="s">
        <v>133</v>
      </c>
    </row>
    <row r="32" spans="1:15" outlineLevel="1" x14ac:dyDescent="0.35">
      <c r="A32" s="5" t="s">
        <v>32</v>
      </c>
      <c r="B32" s="5"/>
      <c r="C32" s="5"/>
      <c r="D32" s="5"/>
      <c r="E32" s="14">
        <f t="shared" ref="E32:N32" si="3">SUM(E28:E31)</f>
        <v>59390</v>
      </c>
      <c r="F32" s="14">
        <f t="shared" si="3"/>
        <v>53433</v>
      </c>
      <c r="G32" s="14">
        <f t="shared" si="3"/>
        <v>52664</v>
      </c>
      <c r="H32" s="14">
        <f t="shared" si="3"/>
        <v>52066</v>
      </c>
      <c r="I32" s="14">
        <f t="shared" si="3"/>
        <v>54237</v>
      </c>
      <c r="J32" s="14">
        <f t="shared" si="3"/>
        <v>53421.202000000005</v>
      </c>
      <c r="K32" s="14">
        <f t="shared" si="3"/>
        <v>54628.918089999999</v>
      </c>
      <c r="L32" s="14">
        <f t="shared" si="3"/>
        <v>54751.857213599993</v>
      </c>
      <c r="M32" s="14">
        <f t="shared" si="3"/>
        <v>55774.356776076005</v>
      </c>
      <c r="N32" s="14">
        <f t="shared" si="3"/>
        <v>56681.807287358279</v>
      </c>
    </row>
    <row r="33" spans="1:15" outlineLevel="1" x14ac:dyDescent="0.35">
      <c r="A33" s="3" t="s">
        <v>33</v>
      </c>
      <c r="B33" s="3"/>
      <c r="C33" s="3"/>
      <c r="D33" s="3"/>
      <c r="E33" s="12">
        <f t="shared" ref="E33:N33" si="4">E26-E32</f>
        <v>3594</v>
      </c>
      <c r="F33" s="12">
        <f t="shared" si="4"/>
        <v>16649</v>
      </c>
      <c r="G33" s="12">
        <f t="shared" si="4"/>
        <v>29558</v>
      </c>
      <c r="H33" s="12">
        <f t="shared" si="4"/>
        <v>37621</v>
      </c>
      <c r="I33" s="12">
        <f t="shared" si="4"/>
        <v>39825</v>
      </c>
      <c r="J33" s="12">
        <f t="shared" si="4"/>
        <v>46314.47600000001</v>
      </c>
      <c r="K33" s="12">
        <f t="shared" si="4"/>
        <v>49594.865419999995</v>
      </c>
      <c r="L33" s="12">
        <f t="shared" si="4"/>
        <v>55361.397237599995</v>
      </c>
      <c r="M33" s="12">
        <f t="shared" si="4"/>
        <v>58192.861580915982</v>
      </c>
      <c r="N33" s="12">
        <f t="shared" si="4"/>
        <v>62538.587540776316</v>
      </c>
    </row>
    <row r="34" spans="1:15" outlineLevel="1" x14ac:dyDescent="0.35">
      <c r="M34" s="10"/>
      <c r="N34" s="10"/>
    </row>
    <row r="35" spans="1:15" outlineLevel="1" x14ac:dyDescent="0.35">
      <c r="A35" t="s">
        <v>34</v>
      </c>
      <c r="E35" s="10">
        <v>1120</v>
      </c>
      <c r="F35" s="10">
        <v>4858</v>
      </c>
      <c r="G35" s="10">
        <v>8483</v>
      </c>
      <c r="H35" s="10">
        <v>10908</v>
      </c>
      <c r="I35" s="10">
        <v>11598</v>
      </c>
      <c r="J35" s="10">
        <f>J33*J13</f>
        <v>12968.053280000004</v>
      </c>
      <c r="K35" s="10">
        <f>K33*K13</f>
        <v>13886.562317599999</v>
      </c>
      <c r="L35" s="10">
        <f>L33*L13</f>
        <v>15501.191226528001</v>
      </c>
      <c r="M35" s="10">
        <f>M33*M13</f>
        <v>16294.001242656477</v>
      </c>
      <c r="N35" s="10">
        <f>N33*N13</f>
        <v>17510.804511417369</v>
      </c>
    </row>
    <row r="36" spans="1:15" outlineLevel="1" x14ac:dyDescent="0.35">
      <c r="A36" s="5" t="s">
        <v>35</v>
      </c>
      <c r="B36" s="5"/>
      <c r="C36" s="5"/>
      <c r="D36" s="5"/>
      <c r="E36" s="14">
        <f>E26-E32-E35</f>
        <v>2474</v>
      </c>
      <c r="F36" s="14">
        <f t="shared" ref="F36:N36" si="5">F26-F32-F35</f>
        <v>11791</v>
      </c>
      <c r="G36" s="14">
        <f t="shared" si="5"/>
        <v>21075</v>
      </c>
      <c r="H36" s="14">
        <f t="shared" si="5"/>
        <v>26713</v>
      </c>
      <c r="I36" s="14">
        <f t="shared" si="5"/>
        <v>28227</v>
      </c>
      <c r="J36" s="14">
        <f t="shared" si="5"/>
        <v>33346.422720000002</v>
      </c>
      <c r="K36" s="14">
        <f t="shared" si="5"/>
        <v>35708.303102399994</v>
      </c>
      <c r="L36" s="14">
        <f t="shared" si="5"/>
        <v>39860.20601107199</v>
      </c>
      <c r="M36" s="14">
        <f t="shared" si="5"/>
        <v>41898.860338259503</v>
      </c>
      <c r="N36" s="14">
        <f t="shared" si="5"/>
        <v>45027.78302935895</v>
      </c>
    </row>
    <row r="37" spans="1:15" outlineLevel="1" x14ac:dyDescent="0.35">
      <c r="M37" s="10"/>
      <c r="N37" s="10"/>
    </row>
    <row r="38" spans="1:15" x14ac:dyDescent="0.35">
      <c r="M38" s="10"/>
      <c r="N38" s="10"/>
    </row>
    <row r="39" spans="1:15" x14ac:dyDescent="0.35">
      <c r="A39" s="2" t="s">
        <v>6</v>
      </c>
      <c r="B39" s="2"/>
      <c r="C39" s="2"/>
      <c r="D39" s="2"/>
      <c r="E39" s="11"/>
      <c r="F39" s="11"/>
      <c r="G39" s="11"/>
      <c r="H39" s="11"/>
      <c r="I39" s="11"/>
      <c r="J39" s="11"/>
      <c r="K39" s="11"/>
      <c r="L39" s="11"/>
      <c r="M39" s="11"/>
      <c r="N39" s="11"/>
    </row>
    <row r="40" spans="1:15" outlineLevel="1" x14ac:dyDescent="0.35">
      <c r="A40" s="3" t="s">
        <v>36</v>
      </c>
      <c r="M40" s="10"/>
      <c r="N40" s="10"/>
    </row>
    <row r="41" spans="1:15" outlineLevel="1" x14ac:dyDescent="0.35">
      <c r="A41" t="s">
        <v>37</v>
      </c>
      <c r="E41" s="10">
        <v>167971</v>
      </c>
      <c r="F41" s="10">
        <v>181210</v>
      </c>
      <c r="G41" s="10">
        <v>183715</v>
      </c>
      <c r="H41" s="10">
        <v>211069</v>
      </c>
      <c r="I41" s="10">
        <v>239550</v>
      </c>
      <c r="J41" s="10">
        <f>J78</f>
        <v>272529.4720569863</v>
      </c>
      <c r="K41" s="10">
        <f>K78</f>
        <v>307631.51937955071</v>
      </c>
      <c r="L41" s="10">
        <f>L78</f>
        <v>327096.61861682322</v>
      </c>
      <c r="M41" s="10">
        <f>M78</f>
        <v>368486.51115250005</v>
      </c>
      <c r="N41" s="10">
        <f>N78</f>
        <v>413243.14948348911</v>
      </c>
      <c r="O41" t="s">
        <v>135</v>
      </c>
    </row>
    <row r="42" spans="1:15" outlineLevel="1" x14ac:dyDescent="0.35">
      <c r="A42" t="s">
        <v>38</v>
      </c>
      <c r="E42" s="10">
        <v>5100</v>
      </c>
      <c r="F42" s="10">
        <v>5904</v>
      </c>
      <c r="G42" s="10">
        <v>6567</v>
      </c>
      <c r="H42" s="10">
        <v>7117</v>
      </c>
      <c r="I42" s="10">
        <v>7539</v>
      </c>
      <c r="J42" s="10">
        <f t="shared" ref="J42:N43" si="6">J85</f>
        <v>7807.098082191781</v>
      </c>
      <c r="K42" s="10">
        <f t="shared" si="6"/>
        <v>8158.4174958904105</v>
      </c>
      <c r="L42" s="10">
        <f t="shared" si="6"/>
        <v>8484.7541957260273</v>
      </c>
      <c r="M42" s="10">
        <f t="shared" si="6"/>
        <v>8781.7205925764374</v>
      </c>
      <c r="N42" s="10">
        <f t="shared" si="6"/>
        <v>9045.1722103537304</v>
      </c>
      <c r="O42" t="s">
        <v>133</v>
      </c>
    </row>
    <row r="43" spans="1:15" outlineLevel="1" x14ac:dyDescent="0.35">
      <c r="A43" t="s">
        <v>39</v>
      </c>
      <c r="E43" s="10">
        <v>7805</v>
      </c>
      <c r="F43" s="10">
        <v>9601</v>
      </c>
      <c r="G43" s="10">
        <v>9825</v>
      </c>
      <c r="H43" s="10">
        <v>10531</v>
      </c>
      <c r="I43" s="10">
        <v>11342</v>
      </c>
      <c r="J43" s="10">
        <f t="shared" si="6"/>
        <v>11714.984400000001</v>
      </c>
      <c r="K43" s="10">
        <f t="shared" si="6"/>
        <v>12242.158697999999</v>
      </c>
      <c r="L43" s="10">
        <f t="shared" si="6"/>
        <v>12387.741125759998</v>
      </c>
      <c r="M43" s="10">
        <f t="shared" si="6"/>
        <v>12821.312065161597</v>
      </c>
      <c r="N43" s="10">
        <f t="shared" si="6"/>
        <v>12839.119443029878</v>
      </c>
      <c r="O43" t="s">
        <v>133</v>
      </c>
    </row>
    <row r="44" spans="1:15" outlineLevel="1" x14ac:dyDescent="0.35">
      <c r="A44" t="s">
        <v>40</v>
      </c>
      <c r="E44" s="10">
        <v>45500</v>
      </c>
      <c r="F44" s="10">
        <v>42350</v>
      </c>
      <c r="G44" s="10">
        <v>40145</v>
      </c>
      <c r="H44" s="10">
        <v>38602</v>
      </c>
      <c r="I44" s="10">
        <v>37521</v>
      </c>
      <c r="J44" s="10">
        <f>J95</f>
        <v>37512.6</v>
      </c>
      <c r="K44" s="10">
        <f>K95</f>
        <v>37507.56</v>
      </c>
      <c r="L44" s="10">
        <f>L95</f>
        <v>37504.536</v>
      </c>
      <c r="M44" s="10">
        <f>M95</f>
        <v>37502.721599999997</v>
      </c>
      <c r="N44" s="10">
        <f>N95</f>
        <v>37501.632959999995</v>
      </c>
      <c r="O44" t="s">
        <v>133</v>
      </c>
    </row>
    <row r="45" spans="1:15" ht="15" outlineLevel="1" thickBot="1" x14ac:dyDescent="0.4">
      <c r="A45" s="6" t="s">
        <v>41</v>
      </c>
      <c r="B45" s="6"/>
      <c r="C45" s="6"/>
      <c r="D45" s="6"/>
      <c r="E45" s="15">
        <f t="shared" ref="E45:N45" si="7">SUM(E41:E44)</f>
        <v>226376</v>
      </c>
      <c r="F45" s="15">
        <f t="shared" si="7"/>
        <v>239065</v>
      </c>
      <c r="G45" s="15">
        <f t="shared" si="7"/>
        <v>240252</v>
      </c>
      <c r="H45" s="15">
        <f t="shared" si="7"/>
        <v>267319</v>
      </c>
      <c r="I45" s="15">
        <f t="shared" si="7"/>
        <v>295952</v>
      </c>
      <c r="J45" s="15">
        <f t="shared" si="7"/>
        <v>329564.15453917807</v>
      </c>
      <c r="K45" s="15">
        <f t="shared" si="7"/>
        <v>365539.65557344112</v>
      </c>
      <c r="L45" s="15">
        <f t="shared" si="7"/>
        <v>385473.64993830927</v>
      </c>
      <c r="M45" s="15">
        <f t="shared" si="7"/>
        <v>427592.26541023806</v>
      </c>
      <c r="N45" s="15">
        <f t="shared" si="7"/>
        <v>472629.0740968727</v>
      </c>
    </row>
    <row r="46" spans="1:15" ht="15" outlineLevel="1" thickTop="1" x14ac:dyDescent="0.35">
      <c r="M46" s="10"/>
      <c r="N46" s="10"/>
    </row>
    <row r="47" spans="1:15" outlineLevel="1" x14ac:dyDescent="0.35">
      <c r="A47" s="3" t="s">
        <v>42</v>
      </c>
      <c r="M47" s="10"/>
      <c r="N47" s="10"/>
    </row>
    <row r="48" spans="1:15" outlineLevel="1" x14ac:dyDescent="0.35">
      <c r="A48" t="s">
        <v>43</v>
      </c>
      <c r="E48" s="10">
        <v>3902</v>
      </c>
      <c r="F48" s="10">
        <v>4800</v>
      </c>
      <c r="G48" s="10">
        <v>4912</v>
      </c>
      <c r="H48" s="10">
        <v>5265</v>
      </c>
      <c r="I48" s="10">
        <v>5671</v>
      </c>
      <c r="J48" s="10">
        <f>J87</f>
        <v>5937.7318191780823</v>
      </c>
      <c r="K48" s="10">
        <f>K87</f>
        <v>6204.9297510410961</v>
      </c>
      <c r="L48" s="10">
        <f>L87</f>
        <v>6278.7181048372595</v>
      </c>
      <c r="M48" s="10">
        <f>M87</f>
        <v>6498.4732385065636</v>
      </c>
      <c r="N48" s="10">
        <f>N87</f>
        <v>6507.498895782267</v>
      </c>
      <c r="O48" t="s">
        <v>133</v>
      </c>
    </row>
    <row r="49" spans="1:15" outlineLevel="1" x14ac:dyDescent="0.35">
      <c r="A49" s="4" t="s">
        <v>44</v>
      </c>
      <c r="B49" s="4"/>
      <c r="C49" s="4"/>
      <c r="D49" s="4"/>
      <c r="E49" s="13">
        <v>50000</v>
      </c>
      <c r="F49" s="13">
        <v>50000</v>
      </c>
      <c r="G49" s="13">
        <v>30000</v>
      </c>
      <c r="H49" s="13">
        <v>30000</v>
      </c>
      <c r="I49" s="13">
        <v>30000</v>
      </c>
      <c r="J49" s="13">
        <f>J100</f>
        <v>30000</v>
      </c>
      <c r="K49" s="13">
        <f>K100</f>
        <v>30000</v>
      </c>
      <c r="L49" s="13">
        <f>L100</f>
        <v>10000</v>
      </c>
      <c r="M49" s="13">
        <f>M100</f>
        <v>10000</v>
      </c>
      <c r="N49" s="13">
        <f>N100</f>
        <v>10000</v>
      </c>
      <c r="O49" t="s">
        <v>133</v>
      </c>
    </row>
    <row r="50" spans="1:15" outlineLevel="1" x14ac:dyDescent="0.35">
      <c r="A50" s="3" t="s">
        <v>45</v>
      </c>
      <c r="B50" s="3"/>
      <c r="C50" s="3"/>
      <c r="D50" s="3"/>
      <c r="E50" s="12">
        <f>SUM(E48:E49)</f>
        <v>53902</v>
      </c>
      <c r="F50" s="12">
        <f t="shared" ref="F50:N50" si="8">SUM(F48:F49)</f>
        <v>54800</v>
      </c>
      <c r="G50" s="12">
        <f t="shared" si="8"/>
        <v>34912</v>
      </c>
      <c r="H50" s="12">
        <f t="shared" si="8"/>
        <v>35265</v>
      </c>
      <c r="I50" s="12">
        <f t="shared" si="8"/>
        <v>35671</v>
      </c>
      <c r="J50" s="12">
        <f t="shared" si="8"/>
        <v>35937.73181917808</v>
      </c>
      <c r="K50" s="12">
        <f t="shared" si="8"/>
        <v>36204.929751041098</v>
      </c>
      <c r="L50" s="12">
        <f t="shared" si="8"/>
        <v>16278.718104837259</v>
      </c>
      <c r="M50" s="12">
        <f t="shared" si="8"/>
        <v>16498.473238506565</v>
      </c>
      <c r="N50" s="12">
        <f t="shared" si="8"/>
        <v>16507.498895782268</v>
      </c>
    </row>
    <row r="51" spans="1:15" outlineLevel="1" x14ac:dyDescent="0.35">
      <c r="A51" s="3" t="s">
        <v>46</v>
      </c>
      <c r="M51" s="10"/>
      <c r="N51" s="10"/>
    </row>
    <row r="52" spans="1:15" outlineLevel="1" x14ac:dyDescent="0.35">
      <c r="A52" t="s">
        <v>47</v>
      </c>
      <c r="E52" s="10">
        <v>170000</v>
      </c>
      <c r="F52" s="10">
        <v>170000</v>
      </c>
      <c r="G52" s="10">
        <v>170000</v>
      </c>
      <c r="H52" s="10">
        <v>170000</v>
      </c>
      <c r="I52" s="10">
        <v>170000</v>
      </c>
      <c r="J52" s="17">
        <f>I52+J73</f>
        <v>170000</v>
      </c>
      <c r="K52" s="17">
        <f>J52+K73</f>
        <v>170000</v>
      </c>
      <c r="L52" s="17">
        <f>K52+L73</f>
        <v>170000</v>
      </c>
      <c r="M52" s="17">
        <f>L52+M73</f>
        <v>170000</v>
      </c>
      <c r="N52" s="17">
        <f>M52+N73</f>
        <v>170000</v>
      </c>
    </row>
    <row r="53" spans="1:15" outlineLevel="1" x14ac:dyDescent="0.35">
      <c r="A53" t="s">
        <v>48</v>
      </c>
      <c r="E53" s="10">
        <v>2474</v>
      </c>
      <c r="F53" s="10">
        <v>14265</v>
      </c>
      <c r="G53" s="10">
        <v>35340</v>
      </c>
      <c r="H53" s="10">
        <v>62053</v>
      </c>
      <c r="I53" s="10">
        <v>90280</v>
      </c>
      <c r="J53" s="17">
        <f>J45-J50-J52</f>
        <v>123626.42271999997</v>
      </c>
      <c r="K53" s="17">
        <f>K45-K50-K52</f>
        <v>159334.72582240001</v>
      </c>
      <c r="L53" s="17">
        <f>L45-L50-L52</f>
        <v>199194.93183347199</v>
      </c>
      <c r="M53" s="17">
        <f>M45-M50-M52</f>
        <v>241093.79217173147</v>
      </c>
      <c r="N53" s="17">
        <f>N45-N50-N52</f>
        <v>286121.57520109043</v>
      </c>
    </row>
    <row r="54" spans="1:15" outlineLevel="1" x14ac:dyDescent="0.35">
      <c r="A54" s="5" t="s">
        <v>46</v>
      </c>
      <c r="B54" s="5"/>
      <c r="C54" s="5"/>
      <c r="D54" s="5"/>
      <c r="E54" s="14">
        <f t="shared" ref="E54:N54" si="9">SUM(E52:E53)</f>
        <v>172474</v>
      </c>
      <c r="F54" s="14">
        <f t="shared" si="9"/>
        <v>184265</v>
      </c>
      <c r="G54" s="14">
        <f t="shared" si="9"/>
        <v>205340</v>
      </c>
      <c r="H54" s="14">
        <f t="shared" si="9"/>
        <v>232053</v>
      </c>
      <c r="I54" s="14">
        <f t="shared" si="9"/>
        <v>260280</v>
      </c>
      <c r="J54" s="14">
        <f t="shared" si="9"/>
        <v>293626.42271999997</v>
      </c>
      <c r="K54" s="14">
        <f t="shared" si="9"/>
        <v>329334.72582240001</v>
      </c>
      <c r="L54" s="14">
        <f t="shared" si="9"/>
        <v>369194.93183347199</v>
      </c>
      <c r="M54" s="14">
        <f t="shared" si="9"/>
        <v>411093.79217173147</v>
      </c>
      <c r="N54" s="14">
        <f t="shared" si="9"/>
        <v>456121.57520109043</v>
      </c>
    </row>
    <row r="55" spans="1:15" ht="15" outlineLevel="1" thickBot="1" x14ac:dyDescent="0.4">
      <c r="A55" s="6" t="s">
        <v>49</v>
      </c>
      <c r="B55" s="6"/>
      <c r="C55" s="6"/>
      <c r="D55" s="6"/>
      <c r="E55" s="15">
        <f t="shared" ref="E55:N55" si="10">E50+E54</f>
        <v>226376</v>
      </c>
      <c r="F55" s="15">
        <f t="shared" si="10"/>
        <v>239065</v>
      </c>
      <c r="G55" s="15">
        <f t="shared" si="10"/>
        <v>240252</v>
      </c>
      <c r="H55" s="15">
        <f t="shared" si="10"/>
        <v>267318</v>
      </c>
      <c r="I55" s="15">
        <f t="shared" si="10"/>
        <v>295951</v>
      </c>
      <c r="J55" s="15">
        <f t="shared" si="10"/>
        <v>329564.15453917807</v>
      </c>
      <c r="K55" s="15">
        <f t="shared" si="10"/>
        <v>365539.65557344112</v>
      </c>
      <c r="L55" s="15">
        <f t="shared" si="10"/>
        <v>385473.64993830922</v>
      </c>
      <c r="M55" s="15">
        <f t="shared" si="10"/>
        <v>427592.26541023806</v>
      </c>
      <c r="N55" s="15">
        <f t="shared" si="10"/>
        <v>472629.0740968727</v>
      </c>
    </row>
    <row r="56" spans="1:15" ht="15" outlineLevel="1" thickTop="1" x14ac:dyDescent="0.35">
      <c r="M56" s="10"/>
      <c r="N56" s="10"/>
    </row>
    <row r="57" spans="1:15" outlineLevel="1" x14ac:dyDescent="0.35">
      <c r="A57" s="7" t="s">
        <v>50</v>
      </c>
      <c r="B57" s="7"/>
      <c r="C57" s="7"/>
      <c r="D57" s="7"/>
      <c r="E57" s="16">
        <f>E55-E45</f>
        <v>0</v>
      </c>
      <c r="F57" s="16">
        <f t="shared" ref="F57:N57" si="11">F55-F45</f>
        <v>0</v>
      </c>
      <c r="G57" s="16">
        <f t="shared" si="11"/>
        <v>0</v>
      </c>
      <c r="H57" s="16">
        <f t="shared" si="11"/>
        <v>-1</v>
      </c>
      <c r="I57" s="16">
        <f t="shared" si="11"/>
        <v>-1</v>
      </c>
      <c r="J57" s="16">
        <f t="shared" si="11"/>
        <v>0</v>
      </c>
      <c r="K57" s="16">
        <f t="shared" si="11"/>
        <v>0</v>
      </c>
      <c r="L57" s="16">
        <f t="shared" si="11"/>
        <v>0</v>
      </c>
      <c r="M57" s="16">
        <f t="shared" si="11"/>
        <v>0</v>
      </c>
      <c r="N57" s="16">
        <f t="shared" si="11"/>
        <v>0</v>
      </c>
    </row>
    <row r="58" spans="1:15" outlineLevel="1" x14ac:dyDescent="0.35">
      <c r="M58" s="10"/>
      <c r="N58" s="10"/>
    </row>
    <row r="59" spans="1:15" x14ac:dyDescent="0.35">
      <c r="M59" s="10"/>
      <c r="N59" s="10"/>
    </row>
    <row r="60" spans="1:15" x14ac:dyDescent="0.35">
      <c r="A60" s="2" t="s">
        <v>7</v>
      </c>
      <c r="B60" s="2"/>
      <c r="C60" s="2"/>
      <c r="D60" s="2"/>
      <c r="E60" s="11"/>
      <c r="F60" s="11"/>
      <c r="G60" s="11"/>
      <c r="H60" s="11"/>
      <c r="I60" s="11"/>
      <c r="J60" s="11"/>
      <c r="K60" s="11"/>
      <c r="L60" s="11"/>
      <c r="M60" s="11"/>
      <c r="N60" s="11"/>
    </row>
    <row r="61" spans="1:15" outlineLevel="1" x14ac:dyDescent="0.35">
      <c r="A61" s="3" t="s">
        <v>51</v>
      </c>
      <c r="B61" s="3"/>
      <c r="M61" s="10"/>
      <c r="N61" s="10"/>
    </row>
    <row r="62" spans="1:15" outlineLevel="1" x14ac:dyDescent="0.35">
      <c r="A62" t="s">
        <v>35</v>
      </c>
      <c r="E62" s="17">
        <f>E36</f>
        <v>2474</v>
      </c>
      <c r="F62" s="17">
        <f t="shared" ref="F62:N62" si="12">F36</f>
        <v>11791</v>
      </c>
      <c r="G62" s="17">
        <f t="shared" si="12"/>
        <v>21075</v>
      </c>
      <c r="H62" s="17">
        <f t="shared" si="12"/>
        <v>26713</v>
      </c>
      <c r="I62" s="17">
        <f t="shared" si="12"/>
        <v>28227</v>
      </c>
      <c r="J62" s="17">
        <f t="shared" si="12"/>
        <v>33346.422720000002</v>
      </c>
      <c r="K62" s="17">
        <f t="shared" si="12"/>
        <v>35708.303102399994</v>
      </c>
      <c r="L62" s="17">
        <f t="shared" si="12"/>
        <v>39860.20601107199</v>
      </c>
      <c r="M62" s="17">
        <f t="shared" si="12"/>
        <v>41898.860338259503</v>
      </c>
      <c r="N62" s="17">
        <f t="shared" si="12"/>
        <v>45027.78302935895</v>
      </c>
    </row>
    <row r="63" spans="1:15" outlineLevel="1" x14ac:dyDescent="0.35">
      <c r="A63" t="s">
        <v>52</v>
      </c>
      <c r="E63" s="17">
        <f>E30</f>
        <v>19500</v>
      </c>
      <c r="F63" s="17">
        <f t="shared" ref="F63:N63" si="13">F30</f>
        <v>18150</v>
      </c>
      <c r="G63" s="17">
        <f t="shared" si="13"/>
        <v>17205</v>
      </c>
      <c r="H63" s="17">
        <f t="shared" si="13"/>
        <v>16544</v>
      </c>
      <c r="I63" s="17">
        <f t="shared" si="13"/>
        <v>16080</v>
      </c>
      <c r="J63" s="17">
        <f t="shared" si="13"/>
        <v>15008.400000000001</v>
      </c>
      <c r="K63" s="17">
        <f t="shared" si="13"/>
        <v>15005.04</v>
      </c>
      <c r="L63" s="17">
        <f t="shared" si="13"/>
        <v>15003.023999999999</v>
      </c>
      <c r="M63" s="17">
        <f t="shared" si="13"/>
        <v>15001.814400000001</v>
      </c>
      <c r="N63" s="17">
        <f t="shared" si="13"/>
        <v>15001.08864</v>
      </c>
    </row>
    <row r="64" spans="1:15" outlineLevel="1" x14ac:dyDescent="0.35">
      <c r="A64" s="4" t="s">
        <v>53</v>
      </c>
      <c r="B64" s="4"/>
      <c r="C64" s="4"/>
      <c r="D64" s="4"/>
      <c r="E64" s="18">
        <f>E89</f>
        <v>9003</v>
      </c>
      <c r="F64" s="18">
        <f t="shared" ref="F64:N64" si="14">F89</f>
        <v>1702</v>
      </c>
      <c r="G64" s="18">
        <f t="shared" si="14"/>
        <v>775</v>
      </c>
      <c r="H64" s="18">
        <f t="shared" si="14"/>
        <v>903</v>
      </c>
      <c r="I64" s="18">
        <f t="shared" si="14"/>
        <v>827</v>
      </c>
      <c r="J64" s="18">
        <f t="shared" si="14"/>
        <v>374.35066301369807</v>
      </c>
      <c r="K64" s="18">
        <f t="shared" si="14"/>
        <v>611.29577983561649</v>
      </c>
      <c r="L64" s="18">
        <f t="shared" si="14"/>
        <v>398.13077379945207</v>
      </c>
      <c r="M64" s="18">
        <f t="shared" si="14"/>
        <v>510.78220258270267</v>
      </c>
      <c r="N64" s="18">
        <f t="shared" si="14"/>
        <v>272.23333836987331</v>
      </c>
      <c r="O64" t="s">
        <v>133</v>
      </c>
    </row>
    <row r="65" spans="1:15" outlineLevel="1" x14ac:dyDescent="0.35">
      <c r="A65" s="3" t="s">
        <v>54</v>
      </c>
      <c r="E65" s="12">
        <f>E62+E63-E64</f>
        <v>12971</v>
      </c>
      <c r="F65" s="12">
        <f t="shared" ref="F65:N65" si="15">F62+F63-F64</f>
        <v>28239</v>
      </c>
      <c r="G65" s="12">
        <f t="shared" si="15"/>
        <v>37505</v>
      </c>
      <c r="H65" s="12">
        <f t="shared" si="15"/>
        <v>42354</v>
      </c>
      <c r="I65" s="12">
        <f t="shared" si="15"/>
        <v>43480</v>
      </c>
      <c r="J65" s="12">
        <f t="shared" si="15"/>
        <v>47980.472056986306</v>
      </c>
      <c r="K65" s="12">
        <f t="shared" si="15"/>
        <v>50102.04732256438</v>
      </c>
      <c r="L65" s="12">
        <f t="shared" si="15"/>
        <v>54465.099237272538</v>
      </c>
      <c r="M65" s="12">
        <f t="shared" si="15"/>
        <v>56389.892535676801</v>
      </c>
      <c r="N65" s="12">
        <f t="shared" si="15"/>
        <v>59756.638330989081</v>
      </c>
    </row>
    <row r="66" spans="1:15" outlineLevel="1" x14ac:dyDescent="0.35">
      <c r="M66" s="10"/>
      <c r="N66" s="10"/>
    </row>
    <row r="67" spans="1:15" outlineLevel="1" x14ac:dyDescent="0.35">
      <c r="A67" s="3" t="s">
        <v>55</v>
      </c>
      <c r="M67" s="10"/>
      <c r="N67" s="10"/>
    </row>
    <row r="68" spans="1:15" outlineLevel="1" x14ac:dyDescent="0.35">
      <c r="A68" s="4" t="s">
        <v>56</v>
      </c>
      <c r="B68" s="4"/>
      <c r="C68" s="4"/>
      <c r="D68" s="4"/>
      <c r="E68" s="13">
        <f>E93</f>
        <v>15000</v>
      </c>
      <c r="F68" s="13">
        <f t="shared" ref="F68:N68" si="16">F93</f>
        <v>15000</v>
      </c>
      <c r="G68" s="13">
        <f t="shared" si="16"/>
        <v>15000</v>
      </c>
      <c r="H68" s="13">
        <f t="shared" si="16"/>
        <v>15000</v>
      </c>
      <c r="I68" s="13">
        <f t="shared" si="16"/>
        <v>15000</v>
      </c>
      <c r="J68" s="13">
        <f t="shared" si="16"/>
        <v>15000</v>
      </c>
      <c r="K68" s="13">
        <f t="shared" si="16"/>
        <v>15000</v>
      </c>
      <c r="L68" s="13">
        <f t="shared" si="16"/>
        <v>15000</v>
      </c>
      <c r="M68" s="13">
        <f t="shared" si="16"/>
        <v>15000</v>
      </c>
      <c r="N68" s="13">
        <f t="shared" si="16"/>
        <v>15000</v>
      </c>
      <c r="O68" t="s">
        <v>133</v>
      </c>
    </row>
    <row r="69" spans="1:15" outlineLevel="1" x14ac:dyDescent="0.35">
      <c r="A69" s="3" t="s">
        <v>57</v>
      </c>
      <c r="B69" s="3"/>
      <c r="C69" s="3"/>
      <c r="D69" s="3"/>
      <c r="E69" s="12">
        <f>SUM(E68)</f>
        <v>15000</v>
      </c>
      <c r="F69" s="12">
        <f t="shared" ref="F69:N69" si="17">SUM(F68)</f>
        <v>15000</v>
      </c>
      <c r="G69" s="12">
        <f t="shared" si="17"/>
        <v>15000</v>
      </c>
      <c r="H69" s="12">
        <f t="shared" si="17"/>
        <v>15000</v>
      </c>
      <c r="I69" s="12">
        <f t="shared" si="17"/>
        <v>15000</v>
      </c>
      <c r="J69" s="12">
        <f t="shared" si="17"/>
        <v>15000</v>
      </c>
      <c r="K69" s="12">
        <f t="shared" si="17"/>
        <v>15000</v>
      </c>
      <c r="L69" s="12">
        <f t="shared" si="17"/>
        <v>15000</v>
      </c>
      <c r="M69" s="12">
        <f t="shared" si="17"/>
        <v>15000</v>
      </c>
      <c r="N69" s="12">
        <f t="shared" si="17"/>
        <v>15000</v>
      </c>
    </row>
    <row r="70" spans="1:15" outlineLevel="1" x14ac:dyDescent="0.35">
      <c r="M70" s="10"/>
      <c r="N70" s="10"/>
    </row>
    <row r="71" spans="1:15" outlineLevel="1" x14ac:dyDescent="0.35">
      <c r="A71" s="3" t="s">
        <v>58</v>
      </c>
      <c r="M71" s="10"/>
      <c r="N71" s="10"/>
    </row>
    <row r="72" spans="1:15" outlineLevel="1" x14ac:dyDescent="0.35">
      <c r="A72" t="s">
        <v>59</v>
      </c>
      <c r="E72" s="10">
        <v>0</v>
      </c>
      <c r="F72" s="10">
        <v>0</v>
      </c>
      <c r="G72" s="10">
        <v>-20000</v>
      </c>
      <c r="H72" s="10">
        <v>0</v>
      </c>
      <c r="I72" s="10">
        <v>0</v>
      </c>
      <c r="J72" s="10">
        <f t="shared" ref="J72:N73" si="18">J19</f>
        <v>0</v>
      </c>
      <c r="K72" s="10">
        <f t="shared" si="18"/>
        <v>0</v>
      </c>
      <c r="L72" s="10">
        <f t="shared" si="18"/>
        <v>-20000</v>
      </c>
      <c r="M72" s="10">
        <f t="shared" si="18"/>
        <v>0</v>
      </c>
      <c r="N72" s="10">
        <f t="shared" si="18"/>
        <v>0</v>
      </c>
    </row>
    <row r="73" spans="1:15" outlineLevel="1" x14ac:dyDescent="0.35">
      <c r="A73" s="4" t="s">
        <v>60</v>
      </c>
      <c r="B73" s="4"/>
      <c r="C73" s="4"/>
      <c r="D73" s="4"/>
      <c r="E73" s="13">
        <v>170000</v>
      </c>
      <c r="F73" s="13">
        <v>0</v>
      </c>
      <c r="G73" s="13">
        <v>0</v>
      </c>
      <c r="H73" s="13">
        <v>0</v>
      </c>
      <c r="I73" s="13">
        <v>0</v>
      </c>
      <c r="J73" s="13">
        <f t="shared" si="18"/>
        <v>0</v>
      </c>
      <c r="K73" s="13">
        <f t="shared" si="18"/>
        <v>0</v>
      </c>
      <c r="L73" s="13">
        <f t="shared" si="18"/>
        <v>0</v>
      </c>
      <c r="M73" s="13">
        <f t="shared" si="18"/>
        <v>0</v>
      </c>
      <c r="N73" s="13">
        <f t="shared" si="18"/>
        <v>0</v>
      </c>
    </row>
    <row r="74" spans="1:15" outlineLevel="1" x14ac:dyDescent="0.35">
      <c r="A74" s="3" t="s">
        <v>61</v>
      </c>
      <c r="B74" s="3"/>
      <c r="C74" s="3"/>
      <c r="D74" s="3"/>
      <c r="E74" s="12">
        <f>SUM(E72:E73)</f>
        <v>170000</v>
      </c>
      <c r="F74" s="12">
        <f t="shared" ref="F74:N74" si="19">SUM(F72:F73)</f>
        <v>0</v>
      </c>
      <c r="G74" s="12">
        <f t="shared" si="19"/>
        <v>-20000</v>
      </c>
      <c r="H74" s="12">
        <f t="shared" si="19"/>
        <v>0</v>
      </c>
      <c r="I74" s="12">
        <f t="shared" si="19"/>
        <v>0</v>
      </c>
      <c r="J74" s="12">
        <f t="shared" si="19"/>
        <v>0</v>
      </c>
      <c r="K74" s="12">
        <f t="shared" si="19"/>
        <v>0</v>
      </c>
      <c r="L74" s="12">
        <f t="shared" si="19"/>
        <v>-20000</v>
      </c>
      <c r="M74" s="12">
        <f t="shared" si="19"/>
        <v>0</v>
      </c>
      <c r="N74" s="12">
        <f t="shared" si="19"/>
        <v>0</v>
      </c>
    </row>
    <row r="75" spans="1:15" outlineLevel="1" x14ac:dyDescent="0.35">
      <c r="M75" s="10"/>
      <c r="N75" s="10"/>
    </row>
    <row r="76" spans="1:15" outlineLevel="1" x14ac:dyDescent="0.35">
      <c r="A76" t="s">
        <v>62</v>
      </c>
      <c r="E76" s="17">
        <f>E65-E69+E74</f>
        <v>167971</v>
      </c>
      <c r="F76" s="17">
        <f t="shared" ref="F76:N76" si="20">F65-F69+F74</f>
        <v>13239</v>
      </c>
      <c r="G76" s="17">
        <f t="shared" si="20"/>
        <v>2505</v>
      </c>
      <c r="H76" s="17">
        <f t="shared" si="20"/>
        <v>27354</v>
      </c>
      <c r="I76" s="17">
        <f t="shared" si="20"/>
        <v>28480</v>
      </c>
      <c r="J76" s="17">
        <f t="shared" si="20"/>
        <v>32980.472056986306</v>
      </c>
      <c r="K76" s="17">
        <f t="shared" si="20"/>
        <v>35102.04732256438</v>
      </c>
      <c r="L76" s="17">
        <f t="shared" si="20"/>
        <v>19465.099237272538</v>
      </c>
      <c r="M76" s="17">
        <f t="shared" si="20"/>
        <v>41389.892535676801</v>
      </c>
      <c r="N76" s="17">
        <f t="shared" si="20"/>
        <v>44756.638330989081</v>
      </c>
    </row>
    <row r="77" spans="1:15" outlineLevel="1" x14ac:dyDescent="0.35">
      <c r="A77" s="4" t="s">
        <v>63</v>
      </c>
      <c r="B77" s="4"/>
      <c r="C77" s="4"/>
      <c r="D77" s="4"/>
      <c r="E77" s="18">
        <v>0</v>
      </c>
      <c r="F77" s="18">
        <f>E76</f>
        <v>167971</v>
      </c>
      <c r="G77" s="18">
        <f t="shared" ref="G77:N77" si="21">F77+F76</f>
        <v>181210</v>
      </c>
      <c r="H77" s="18">
        <f t="shared" si="21"/>
        <v>183715</v>
      </c>
      <c r="I77" s="18">
        <f t="shared" si="21"/>
        <v>211069</v>
      </c>
      <c r="J77" s="18">
        <f t="shared" si="21"/>
        <v>239549</v>
      </c>
      <c r="K77" s="18">
        <f t="shared" si="21"/>
        <v>272529.4720569863</v>
      </c>
      <c r="L77" s="18">
        <f t="shared" si="21"/>
        <v>307631.51937955071</v>
      </c>
      <c r="M77" s="18">
        <f t="shared" si="21"/>
        <v>327096.61861682322</v>
      </c>
      <c r="N77" s="18">
        <f t="shared" si="21"/>
        <v>368486.51115250005</v>
      </c>
    </row>
    <row r="78" spans="1:15" outlineLevel="1" x14ac:dyDescent="0.35">
      <c r="A78" s="3" t="s">
        <v>64</v>
      </c>
      <c r="B78" s="3"/>
      <c r="C78" s="3"/>
      <c r="D78" s="3"/>
      <c r="E78" s="12">
        <f t="shared" ref="E78:N78" si="22">SUM(E76:E77)</f>
        <v>167971</v>
      </c>
      <c r="F78" s="12">
        <f t="shared" si="22"/>
        <v>181210</v>
      </c>
      <c r="G78" s="12">
        <f t="shared" si="22"/>
        <v>183715</v>
      </c>
      <c r="H78" s="12">
        <f t="shared" si="22"/>
        <v>211069</v>
      </c>
      <c r="I78" s="12">
        <f t="shared" si="22"/>
        <v>239549</v>
      </c>
      <c r="J78" s="12">
        <f t="shared" si="22"/>
        <v>272529.4720569863</v>
      </c>
      <c r="K78" s="12">
        <f t="shared" si="22"/>
        <v>307631.51937955071</v>
      </c>
      <c r="L78" s="12">
        <f t="shared" si="22"/>
        <v>327096.61861682322</v>
      </c>
      <c r="M78" s="12">
        <f t="shared" si="22"/>
        <v>368486.51115250005</v>
      </c>
      <c r="N78" s="12">
        <f t="shared" si="22"/>
        <v>413243.14948348911</v>
      </c>
    </row>
    <row r="79" spans="1:15" outlineLevel="1" x14ac:dyDescent="0.35">
      <c r="M79" s="10"/>
      <c r="N79" s="10"/>
    </row>
    <row r="80" spans="1:15" outlineLevel="1" x14ac:dyDescent="0.35">
      <c r="A80" t="s">
        <v>50</v>
      </c>
      <c r="E80" s="10">
        <f>E78-E41</f>
        <v>0</v>
      </c>
      <c r="F80" s="10">
        <f t="shared" ref="F80:N80" si="23">F78-F41</f>
        <v>0</v>
      </c>
      <c r="G80" s="10">
        <f t="shared" si="23"/>
        <v>0</v>
      </c>
      <c r="H80" s="10">
        <f t="shared" si="23"/>
        <v>0</v>
      </c>
      <c r="I80" s="10">
        <f t="shared" si="23"/>
        <v>-1</v>
      </c>
      <c r="J80" s="10">
        <f>J78-J41</f>
        <v>0</v>
      </c>
      <c r="K80" s="10">
        <f t="shared" si="23"/>
        <v>0</v>
      </c>
      <c r="L80" s="10">
        <f t="shared" si="23"/>
        <v>0</v>
      </c>
      <c r="M80" s="10">
        <f t="shared" si="23"/>
        <v>0</v>
      </c>
      <c r="N80" s="10">
        <f t="shared" si="23"/>
        <v>0</v>
      </c>
    </row>
    <row r="81" spans="1:14" outlineLevel="1" x14ac:dyDescent="0.35">
      <c r="M81" s="10"/>
      <c r="N81" s="10"/>
    </row>
    <row r="82" spans="1:14" x14ac:dyDescent="0.35">
      <c r="M82" s="10"/>
      <c r="N82" s="10"/>
    </row>
    <row r="83" spans="1:14" x14ac:dyDescent="0.35">
      <c r="A83" s="2" t="s">
        <v>8</v>
      </c>
      <c r="B83" s="2"/>
      <c r="C83" s="2"/>
      <c r="D83" s="2"/>
      <c r="E83" s="11"/>
      <c r="F83" s="11"/>
      <c r="G83" s="11"/>
      <c r="H83" s="11"/>
      <c r="I83" s="11"/>
      <c r="J83" s="11"/>
      <c r="K83" s="11"/>
      <c r="L83" s="11"/>
      <c r="M83" s="11"/>
      <c r="N83" s="11"/>
    </row>
    <row r="84" spans="1:14" outlineLevel="1" x14ac:dyDescent="0.35">
      <c r="A84" s="3" t="s">
        <v>67</v>
      </c>
      <c r="M84" s="10"/>
      <c r="N84" s="10"/>
    </row>
    <row r="85" spans="1:14" outlineLevel="1" x14ac:dyDescent="0.35">
      <c r="A85" t="s">
        <v>38</v>
      </c>
      <c r="E85" s="17">
        <f t="shared" ref="E85:I86" si="24">E42</f>
        <v>5100</v>
      </c>
      <c r="F85" s="17">
        <f t="shared" si="24"/>
        <v>5904</v>
      </c>
      <c r="G85" s="17">
        <f t="shared" si="24"/>
        <v>6567</v>
      </c>
      <c r="H85" s="17">
        <f t="shared" si="24"/>
        <v>7117</v>
      </c>
      <c r="I85" s="17">
        <f t="shared" si="24"/>
        <v>7539</v>
      </c>
      <c r="J85" s="17">
        <f t="shared" ref="J85:N86" si="25">J15*(J24/365)</f>
        <v>7807.098082191781</v>
      </c>
      <c r="K85" s="17">
        <f t="shared" si="25"/>
        <v>8158.4174958904105</v>
      </c>
      <c r="L85" s="17">
        <f t="shared" si="25"/>
        <v>8484.7541957260273</v>
      </c>
      <c r="M85" s="17">
        <f t="shared" si="25"/>
        <v>8781.7205925764374</v>
      </c>
      <c r="N85" s="17">
        <f t="shared" si="25"/>
        <v>9045.1722103537304</v>
      </c>
    </row>
    <row r="86" spans="1:14" outlineLevel="1" x14ac:dyDescent="0.35">
      <c r="A86" t="s">
        <v>39</v>
      </c>
      <c r="E86" s="17">
        <f t="shared" si="24"/>
        <v>7805</v>
      </c>
      <c r="F86" s="17">
        <f t="shared" si="24"/>
        <v>9601</v>
      </c>
      <c r="G86" s="17">
        <f t="shared" si="24"/>
        <v>9825</v>
      </c>
      <c r="H86" s="17">
        <f t="shared" si="24"/>
        <v>10531</v>
      </c>
      <c r="I86" s="17">
        <f t="shared" si="24"/>
        <v>11342</v>
      </c>
      <c r="J86" s="17">
        <f t="shared" si="25"/>
        <v>11714.984400000001</v>
      </c>
      <c r="K86" s="17">
        <f t="shared" si="25"/>
        <v>12242.158697999999</v>
      </c>
      <c r="L86" s="17">
        <f t="shared" si="25"/>
        <v>12387.741125759998</v>
      </c>
      <c r="M86" s="17">
        <f t="shared" si="25"/>
        <v>12821.312065161597</v>
      </c>
      <c r="N86" s="17">
        <f t="shared" si="25"/>
        <v>12839.119443029878</v>
      </c>
    </row>
    <row r="87" spans="1:14" outlineLevel="1" x14ac:dyDescent="0.35">
      <c r="A87" s="4" t="s">
        <v>43</v>
      </c>
      <c r="B87" s="4"/>
      <c r="C87" s="4"/>
      <c r="D87" s="4"/>
      <c r="E87" s="18">
        <f>E48</f>
        <v>3902</v>
      </c>
      <c r="F87" s="18">
        <f>F48</f>
        <v>4800</v>
      </c>
      <c r="G87" s="18">
        <f>G48</f>
        <v>4912</v>
      </c>
      <c r="H87" s="18">
        <f>H48</f>
        <v>5265</v>
      </c>
      <c r="I87" s="18">
        <f>I48</f>
        <v>5671</v>
      </c>
      <c r="J87" s="18">
        <f>J17*(J25/365)</f>
        <v>5937.7318191780823</v>
      </c>
      <c r="K87" s="18">
        <f>K17*(K25/365)</f>
        <v>6204.9297510410961</v>
      </c>
      <c r="L87" s="18">
        <f>L17*(L25/365)</f>
        <v>6278.7181048372595</v>
      </c>
      <c r="M87" s="18">
        <f>M17*(M25/365)</f>
        <v>6498.4732385065636</v>
      </c>
      <c r="N87" s="18">
        <f>N17*(N25/365)</f>
        <v>6507.498895782267</v>
      </c>
    </row>
    <row r="88" spans="1:14" outlineLevel="1" x14ac:dyDescent="0.35">
      <c r="A88" t="s">
        <v>69</v>
      </c>
      <c r="E88" s="10">
        <f t="shared" ref="E88:N88" si="26">SUM(E85:E86)-E87</f>
        <v>9003</v>
      </c>
      <c r="F88" s="10">
        <f t="shared" si="26"/>
        <v>10705</v>
      </c>
      <c r="G88" s="10">
        <f t="shared" si="26"/>
        <v>11480</v>
      </c>
      <c r="H88" s="10">
        <f t="shared" si="26"/>
        <v>12383</v>
      </c>
      <c r="I88" s="10">
        <f t="shared" si="26"/>
        <v>13210</v>
      </c>
      <c r="J88" s="10">
        <f t="shared" si="26"/>
        <v>13584.350663013698</v>
      </c>
      <c r="K88" s="10">
        <f t="shared" si="26"/>
        <v>14195.646442849315</v>
      </c>
      <c r="L88" s="10">
        <f t="shared" si="26"/>
        <v>14593.777216648767</v>
      </c>
      <c r="M88" s="10">
        <f t="shared" si="26"/>
        <v>15104.559419231469</v>
      </c>
      <c r="N88" s="10">
        <f t="shared" si="26"/>
        <v>15376.792757601343</v>
      </c>
    </row>
    <row r="89" spans="1:14" outlineLevel="1" x14ac:dyDescent="0.35">
      <c r="A89" t="s">
        <v>68</v>
      </c>
      <c r="E89" s="10">
        <f t="shared" ref="E89:N89" si="27">E88-D88</f>
        <v>9003</v>
      </c>
      <c r="F89" s="10">
        <f t="shared" si="27"/>
        <v>1702</v>
      </c>
      <c r="G89" s="10">
        <f t="shared" si="27"/>
        <v>775</v>
      </c>
      <c r="H89" s="10">
        <f t="shared" si="27"/>
        <v>903</v>
      </c>
      <c r="I89" s="10">
        <f t="shared" si="27"/>
        <v>827</v>
      </c>
      <c r="J89" s="10">
        <f t="shared" si="27"/>
        <v>374.35066301369807</v>
      </c>
      <c r="K89" s="10">
        <f t="shared" si="27"/>
        <v>611.29577983561649</v>
      </c>
      <c r="L89" s="10">
        <f t="shared" si="27"/>
        <v>398.13077379945207</v>
      </c>
      <c r="M89" s="10">
        <f t="shared" si="27"/>
        <v>510.78220258270267</v>
      </c>
      <c r="N89" s="10">
        <f t="shared" si="27"/>
        <v>272.23333836987331</v>
      </c>
    </row>
    <row r="90" spans="1:14" outlineLevel="1" x14ac:dyDescent="0.35">
      <c r="M90" s="10"/>
      <c r="N90" s="10"/>
    </row>
    <row r="91" spans="1:14" outlineLevel="1" x14ac:dyDescent="0.35">
      <c r="A91" s="3" t="s">
        <v>70</v>
      </c>
      <c r="M91" s="10"/>
      <c r="N91" s="10"/>
    </row>
    <row r="92" spans="1:14" outlineLevel="1" x14ac:dyDescent="0.35">
      <c r="A92" t="s">
        <v>71</v>
      </c>
      <c r="E92" s="10">
        <v>50000</v>
      </c>
      <c r="F92" s="17">
        <f>E95</f>
        <v>45500</v>
      </c>
      <c r="G92" s="17">
        <f t="shared" ref="G92:N92" si="28">F95</f>
        <v>42350</v>
      </c>
      <c r="H92" s="17">
        <f t="shared" si="28"/>
        <v>40145</v>
      </c>
      <c r="I92" s="17">
        <f t="shared" si="28"/>
        <v>38601</v>
      </c>
      <c r="J92" s="17">
        <f t="shared" si="28"/>
        <v>37521</v>
      </c>
      <c r="K92" s="17">
        <f t="shared" si="28"/>
        <v>37512.6</v>
      </c>
      <c r="L92" s="17">
        <f t="shared" si="28"/>
        <v>37507.56</v>
      </c>
      <c r="M92" s="17">
        <f t="shared" si="28"/>
        <v>37504.536</v>
      </c>
      <c r="N92" s="17">
        <f t="shared" si="28"/>
        <v>37502.721599999997</v>
      </c>
    </row>
    <row r="93" spans="1:14" outlineLevel="1" x14ac:dyDescent="0.35">
      <c r="A93" t="s">
        <v>72</v>
      </c>
      <c r="E93" s="10">
        <v>15000</v>
      </c>
      <c r="F93" s="10">
        <v>15000</v>
      </c>
      <c r="G93" s="10">
        <v>15000</v>
      </c>
      <c r="H93" s="10">
        <v>15000</v>
      </c>
      <c r="I93" s="10">
        <v>15000</v>
      </c>
      <c r="J93" s="31">
        <f>J18</f>
        <v>15000</v>
      </c>
      <c r="K93" s="31">
        <f>K18</f>
        <v>15000</v>
      </c>
      <c r="L93" s="31">
        <f>L18</f>
        <v>15000</v>
      </c>
      <c r="M93" s="31">
        <f>M18</f>
        <v>15000</v>
      </c>
      <c r="N93" s="31">
        <f>N18</f>
        <v>15000</v>
      </c>
    </row>
    <row r="94" spans="1:14" outlineLevel="1" x14ac:dyDescent="0.35">
      <c r="A94" s="4" t="s">
        <v>73</v>
      </c>
      <c r="B94" s="4"/>
      <c r="C94" s="4"/>
      <c r="D94" s="4"/>
      <c r="E94" s="13">
        <v>19500</v>
      </c>
      <c r="F94" s="13">
        <v>18150</v>
      </c>
      <c r="G94" s="13">
        <v>17205</v>
      </c>
      <c r="H94" s="13">
        <v>16544</v>
      </c>
      <c r="I94" s="13">
        <v>16080</v>
      </c>
      <c r="J94" s="18">
        <f>J92*J11</f>
        <v>15008.400000000001</v>
      </c>
      <c r="K94" s="18">
        <f>K92*K11</f>
        <v>15005.04</v>
      </c>
      <c r="L94" s="18">
        <f>L92*L11</f>
        <v>15003.023999999999</v>
      </c>
      <c r="M94" s="18">
        <f>M92*M11</f>
        <v>15001.814400000001</v>
      </c>
      <c r="N94" s="18">
        <f>N92*N11</f>
        <v>15001.08864</v>
      </c>
    </row>
    <row r="95" spans="1:14" outlineLevel="1" x14ac:dyDescent="0.35">
      <c r="A95" t="s">
        <v>74</v>
      </c>
      <c r="E95" s="10">
        <f>E92+E93-E94</f>
        <v>45500</v>
      </c>
      <c r="F95" s="10">
        <f t="shared" ref="F95:N95" si="29">F92+F93-F94</f>
        <v>42350</v>
      </c>
      <c r="G95" s="10">
        <f t="shared" si="29"/>
        <v>40145</v>
      </c>
      <c r="H95" s="10">
        <f t="shared" si="29"/>
        <v>38601</v>
      </c>
      <c r="I95" s="10">
        <f t="shared" si="29"/>
        <v>37521</v>
      </c>
      <c r="J95" s="10">
        <f t="shared" si="29"/>
        <v>37512.6</v>
      </c>
      <c r="K95" s="10">
        <f t="shared" si="29"/>
        <v>37507.56</v>
      </c>
      <c r="L95" s="10">
        <f t="shared" si="29"/>
        <v>37504.536</v>
      </c>
      <c r="M95" s="10">
        <f t="shared" si="29"/>
        <v>37502.721599999997</v>
      </c>
      <c r="N95" s="10">
        <f t="shared" si="29"/>
        <v>37501.632959999995</v>
      </c>
    </row>
    <row r="96" spans="1:14" outlineLevel="1" x14ac:dyDescent="0.35">
      <c r="M96" s="10"/>
      <c r="N96" s="10"/>
    </row>
    <row r="97" spans="1:14" outlineLevel="1" x14ac:dyDescent="0.35">
      <c r="A97" s="3" t="s">
        <v>75</v>
      </c>
      <c r="M97" s="10"/>
      <c r="N97" s="10"/>
    </row>
    <row r="98" spans="1:14" outlineLevel="1" x14ac:dyDescent="0.35">
      <c r="A98" t="s">
        <v>76</v>
      </c>
      <c r="E98" s="10">
        <v>50000</v>
      </c>
      <c r="F98" s="17">
        <f>E100</f>
        <v>50000</v>
      </c>
      <c r="G98" s="17">
        <f t="shared" ref="G98:N98" si="30">F100</f>
        <v>50000</v>
      </c>
      <c r="H98" s="17">
        <f t="shared" si="30"/>
        <v>30000</v>
      </c>
      <c r="I98" s="17">
        <f t="shared" si="30"/>
        <v>30000</v>
      </c>
      <c r="J98" s="17">
        <f t="shared" si="30"/>
        <v>30000</v>
      </c>
      <c r="K98" s="17">
        <f t="shared" si="30"/>
        <v>30000</v>
      </c>
      <c r="L98" s="17">
        <f t="shared" si="30"/>
        <v>30000</v>
      </c>
      <c r="M98" s="17">
        <f t="shared" si="30"/>
        <v>10000</v>
      </c>
      <c r="N98" s="17">
        <f t="shared" si="30"/>
        <v>10000</v>
      </c>
    </row>
    <row r="99" spans="1:14" outlineLevel="1" x14ac:dyDescent="0.35">
      <c r="A99" s="4" t="s">
        <v>77</v>
      </c>
      <c r="B99" s="4"/>
      <c r="C99" s="4"/>
      <c r="D99" s="4"/>
      <c r="E99" s="18">
        <f>E72</f>
        <v>0</v>
      </c>
      <c r="F99" s="18">
        <f>F72</f>
        <v>0</v>
      </c>
      <c r="G99" s="18">
        <f>G72</f>
        <v>-20000</v>
      </c>
      <c r="H99" s="18">
        <f>H72</f>
        <v>0</v>
      </c>
      <c r="I99" s="18">
        <f>I72</f>
        <v>0</v>
      </c>
      <c r="J99" s="39">
        <f>J19</f>
        <v>0</v>
      </c>
      <c r="K99" s="39">
        <f>K19</f>
        <v>0</v>
      </c>
      <c r="L99" s="39">
        <f>L19</f>
        <v>-20000</v>
      </c>
      <c r="M99" s="39">
        <f>M19</f>
        <v>0</v>
      </c>
      <c r="N99" s="39">
        <f>N19</f>
        <v>0</v>
      </c>
    </row>
    <row r="100" spans="1:14" outlineLevel="1" x14ac:dyDescent="0.35">
      <c r="A100" t="s">
        <v>78</v>
      </c>
      <c r="E100" s="10">
        <f>SUM(E98:E99)</f>
        <v>50000</v>
      </c>
      <c r="F100" s="10">
        <f t="shared" ref="F100:N100" si="31">SUM(F98:F99)</f>
        <v>50000</v>
      </c>
      <c r="G100" s="10">
        <f t="shared" si="31"/>
        <v>30000</v>
      </c>
      <c r="H100" s="10">
        <f t="shared" si="31"/>
        <v>30000</v>
      </c>
      <c r="I100" s="10">
        <f t="shared" si="31"/>
        <v>30000</v>
      </c>
      <c r="J100" s="10">
        <f t="shared" si="31"/>
        <v>30000</v>
      </c>
      <c r="K100" s="10">
        <f t="shared" si="31"/>
        <v>30000</v>
      </c>
      <c r="L100" s="10">
        <f t="shared" si="31"/>
        <v>10000</v>
      </c>
      <c r="M100" s="10">
        <f t="shared" si="31"/>
        <v>10000</v>
      </c>
      <c r="N100" s="10">
        <f t="shared" si="31"/>
        <v>10000</v>
      </c>
    </row>
    <row r="101" spans="1:14" outlineLevel="1" x14ac:dyDescent="0.35">
      <c r="A101" t="s">
        <v>79</v>
      </c>
      <c r="E101" s="17">
        <f t="shared" ref="E101:N101" si="32">E100*E12</f>
        <v>2500</v>
      </c>
      <c r="F101" s="17">
        <f t="shared" si="32"/>
        <v>2500</v>
      </c>
      <c r="G101" s="17">
        <f t="shared" si="32"/>
        <v>1500</v>
      </c>
      <c r="H101" s="17">
        <f t="shared" si="32"/>
        <v>1500</v>
      </c>
      <c r="I101" s="17">
        <f t="shared" si="32"/>
        <v>1500</v>
      </c>
      <c r="J101" s="17">
        <f t="shared" si="32"/>
        <v>1500</v>
      </c>
      <c r="K101" s="17">
        <f t="shared" si="32"/>
        <v>1500</v>
      </c>
      <c r="L101" s="17">
        <f t="shared" si="32"/>
        <v>500</v>
      </c>
      <c r="M101" s="17">
        <f t="shared" si="32"/>
        <v>500</v>
      </c>
      <c r="N101" s="17">
        <f t="shared" si="32"/>
        <v>500</v>
      </c>
    </row>
    <row r="102" spans="1:14" outlineLevel="1" x14ac:dyDescent="0.35">
      <c r="M102" s="10"/>
      <c r="N102" s="10"/>
    </row>
    <row r="103" spans="1:14" outlineLevel="1" x14ac:dyDescent="0.35">
      <c r="M103" s="10"/>
      <c r="N103" s="10"/>
    </row>
    <row r="104" spans="1:14" x14ac:dyDescent="0.35">
      <c r="M104" s="10"/>
      <c r="N104" s="10"/>
    </row>
    <row r="105" spans="1:14" x14ac:dyDescent="0.35">
      <c r="A105" s="2" t="s">
        <v>9</v>
      </c>
      <c r="B105" s="2"/>
      <c r="C105" s="2"/>
      <c r="D105" s="2"/>
      <c r="E105" s="11"/>
      <c r="F105" s="11"/>
      <c r="G105" s="11"/>
      <c r="H105" s="11"/>
      <c r="I105" s="11"/>
      <c r="J105" s="11"/>
      <c r="K105" s="11"/>
      <c r="L105" s="11"/>
      <c r="M105" s="11"/>
      <c r="N105" s="11"/>
    </row>
    <row r="106" spans="1:14" outlineLevel="1" x14ac:dyDescent="0.35">
      <c r="M106" s="10"/>
      <c r="N106" s="10"/>
    </row>
    <row r="107" spans="1:14" outlineLevel="1" x14ac:dyDescent="0.35">
      <c r="A107" s="32" t="s">
        <v>4</v>
      </c>
      <c r="B107" s="32"/>
      <c r="C107" s="32"/>
      <c r="D107" s="32"/>
      <c r="M107" s="10"/>
      <c r="N107" s="10"/>
    </row>
    <row r="108" spans="1:14" outlineLevel="1" x14ac:dyDescent="0.35">
      <c r="A108" t="s">
        <v>80</v>
      </c>
      <c r="D108" s="20">
        <v>0.25</v>
      </c>
      <c r="M108" s="10"/>
      <c r="N108" s="10"/>
    </row>
    <row r="109" spans="1:14" outlineLevel="1" x14ac:dyDescent="0.35">
      <c r="A109" t="s">
        <v>81</v>
      </c>
      <c r="D109" s="20">
        <v>0.12</v>
      </c>
      <c r="M109" s="10"/>
      <c r="N109" s="10"/>
    </row>
    <row r="110" spans="1:14" outlineLevel="1" x14ac:dyDescent="0.35">
      <c r="A110" t="s">
        <v>82</v>
      </c>
      <c r="D110" s="20">
        <v>0.03</v>
      </c>
      <c r="M110" s="10"/>
      <c r="N110" s="10"/>
    </row>
    <row r="111" spans="1:14" outlineLevel="1" x14ac:dyDescent="0.35">
      <c r="A111" t="s">
        <v>83</v>
      </c>
      <c r="D111" s="21">
        <v>7</v>
      </c>
      <c r="M111" s="10"/>
      <c r="N111" s="10"/>
    </row>
    <row r="112" spans="1:14" outlineLevel="1" x14ac:dyDescent="0.35">
      <c r="A112" t="s">
        <v>84</v>
      </c>
      <c r="D112" s="22">
        <v>43100</v>
      </c>
      <c r="M112" s="10"/>
      <c r="N112" s="10"/>
    </row>
    <row r="113" spans="1:16" outlineLevel="1" x14ac:dyDescent="0.35">
      <c r="A113" t="s">
        <v>490</v>
      </c>
      <c r="D113" s="22">
        <v>43281</v>
      </c>
      <c r="M113" s="10"/>
      <c r="N113" s="10"/>
    </row>
    <row r="114" spans="1:16" outlineLevel="1" x14ac:dyDescent="0.35">
      <c r="A114" t="s">
        <v>85</v>
      </c>
      <c r="D114" s="23">
        <v>25</v>
      </c>
      <c r="M114" s="10"/>
      <c r="N114" s="10"/>
    </row>
    <row r="115" spans="1:16" outlineLevel="1" x14ac:dyDescent="0.35">
      <c r="A115" t="s">
        <v>86</v>
      </c>
      <c r="D115" s="24">
        <v>20000</v>
      </c>
      <c r="M115" s="10"/>
      <c r="N115" s="10"/>
    </row>
    <row r="116" spans="1:16" outlineLevel="1" x14ac:dyDescent="0.35">
      <c r="M116" s="10"/>
      <c r="N116" s="10"/>
    </row>
    <row r="117" spans="1:16" outlineLevel="1" x14ac:dyDescent="0.35">
      <c r="M117" s="10"/>
      <c r="N117" s="10"/>
    </row>
    <row r="118" spans="1:16" outlineLevel="1" x14ac:dyDescent="0.35">
      <c r="A118" t="s">
        <v>87</v>
      </c>
      <c r="D118" t="s">
        <v>88</v>
      </c>
      <c r="E118" s="25">
        <v>2018</v>
      </c>
      <c r="F118" s="25">
        <v>2019</v>
      </c>
      <c r="G118" s="25">
        <v>2020</v>
      </c>
      <c r="H118" s="25">
        <v>2021</v>
      </c>
      <c r="I118" s="25">
        <v>2022</v>
      </c>
      <c r="J118" s="10" t="s">
        <v>92</v>
      </c>
      <c r="L118" s="34" t="s">
        <v>102</v>
      </c>
      <c r="M118" s="32"/>
      <c r="N118" s="32"/>
    </row>
    <row r="119" spans="1:16" outlineLevel="1" x14ac:dyDescent="0.35">
      <c r="A119" t="s">
        <v>89</v>
      </c>
      <c r="D119" s="22">
        <f>D112</f>
        <v>43100</v>
      </c>
      <c r="E119" s="22">
        <f>D113</f>
        <v>43281</v>
      </c>
      <c r="F119" s="27">
        <f>DATE(YEAR($D$113) + F120, MONTH($D$113), DAY($D$113))</f>
        <v>43646</v>
      </c>
      <c r="G119" s="27">
        <f>DATE(YEAR($D$113) + G120, MONTH($D$113), DAY($D$113))</f>
        <v>44012</v>
      </c>
      <c r="H119" s="27">
        <f>DATE(YEAR($D$113) + H120, MONTH($D$113), DAY($D$113))</f>
        <v>44377</v>
      </c>
      <c r="I119" s="27">
        <f>DATE(YEAR($D$113) + I120, MONTH($D$113), DAY($D$113))</f>
        <v>44742</v>
      </c>
      <c r="J119" s="22">
        <f>I119</f>
        <v>44742</v>
      </c>
      <c r="L119" s="10" t="s">
        <v>103</v>
      </c>
      <c r="N119" s="35">
        <f>I130/(D109-D110)</f>
        <v>522308.84396902629</v>
      </c>
    </row>
    <row r="120" spans="1:16" outlineLevel="1" x14ac:dyDescent="0.35">
      <c r="A120" t="s">
        <v>90</v>
      </c>
      <c r="E120" s="8">
        <v>0</v>
      </c>
      <c r="F120" s="10">
        <v>1</v>
      </c>
      <c r="G120" s="10">
        <v>2</v>
      </c>
      <c r="H120" s="10">
        <v>3</v>
      </c>
      <c r="I120" s="10">
        <v>4</v>
      </c>
      <c r="L120" s="10" t="s">
        <v>104</v>
      </c>
      <c r="N120" s="40">
        <f>(I125+I127)*D111</f>
        <v>546277.73326543416</v>
      </c>
      <c r="O120" s="35"/>
      <c r="P120" s="41"/>
    </row>
    <row r="121" spans="1:16" outlineLevel="1" x14ac:dyDescent="0.35">
      <c r="A121" t="s">
        <v>91</v>
      </c>
      <c r="E121" s="26">
        <f>(E119-D119)/365</f>
        <v>0.49589041095890413</v>
      </c>
      <c r="F121" s="26">
        <f>(F119-E119)/365</f>
        <v>1</v>
      </c>
      <c r="G121" s="26">
        <f>(G119-F119)/365</f>
        <v>1.0027397260273974</v>
      </c>
      <c r="H121" s="26">
        <f>(H119-G119)/365</f>
        <v>1</v>
      </c>
      <c r="I121" s="26">
        <f>(I119-H119)/365</f>
        <v>1</v>
      </c>
      <c r="L121" s="10" t="s">
        <v>105</v>
      </c>
      <c r="N121" s="35">
        <f>AVERAGE(N119:N120)</f>
        <v>534293.28861723025</v>
      </c>
    </row>
    <row r="122" spans="1:16" outlineLevel="1" x14ac:dyDescent="0.35"/>
    <row r="123" spans="1:16" outlineLevel="1" x14ac:dyDescent="0.35">
      <c r="A123" t="s">
        <v>93</v>
      </c>
      <c r="E123" s="10">
        <f>J33</f>
        <v>46314.47600000001</v>
      </c>
      <c r="F123" s="10">
        <f>K33</f>
        <v>49594.865419999995</v>
      </c>
      <c r="G123" s="10">
        <f>L33</f>
        <v>55361.397237599995</v>
      </c>
      <c r="H123" s="10">
        <f>M33</f>
        <v>58192.861580915982</v>
      </c>
      <c r="I123" s="10">
        <f>N33</f>
        <v>62538.587540776316</v>
      </c>
      <c r="J123" t="s">
        <v>136</v>
      </c>
    </row>
    <row r="124" spans="1:16" outlineLevel="1" x14ac:dyDescent="0.35">
      <c r="A124" t="s">
        <v>31</v>
      </c>
      <c r="E124" s="13">
        <f>J101</f>
        <v>1500</v>
      </c>
      <c r="F124" s="13">
        <f>K101</f>
        <v>1500</v>
      </c>
      <c r="G124" s="13">
        <f>L101</f>
        <v>500</v>
      </c>
      <c r="H124" s="13">
        <f>M101</f>
        <v>500</v>
      </c>
      <c r="I124" s="13">
        <f>N101</f>
        <v>500</v>
      </c>
      <c r="J124" t="s">
        <v>133</v>
      </c>
    </row>
    <row r="125" spans="1:16" outlineLevel="1" x14ac:dyDescent="0.35">
      <c r="A125" t="s">
        <v>94</v>
      </c>
      <c r="E125" s="17">
        <f>E123+E124</f>
        <v>47814.47600000001</v>
      </c>
      <c r="F125" s="17">
        <f>F123+F124</f>
        <v>51094.865419999995</v>
      </c>
      <c r="G125" s="17">
        <f>G123+G124</f>
        <v>55861.397237599995</v>
      </c>
      <c r="H125" s="17">
        <f>H123+H124</f>
        <v>58692.861580915982</v>
      </c>
      <c r="I125" s="17">
        <f>I123+I124</f>
        <v>63038.587540776316</v>
      </c>
    </row>
    <row r="126" spans="1:16" outlineLevel="1" x14ac:dyDescent="0.35">
      <c r="A126" t="s">
        <v>95</v>
      </c>
      <c r="E126" s="17">
        <f>E125*$D$108</f>
        <v>11953.619000000002</v>
      </c>
      <c r="F126" s="17">
        <f>F125*$D$108</f>
        <v>12773.716354999999</v>
      </c>
      <c r="G126" s="17">
        <f>G125*$D$108</f>
        <v>13965.349309399999</v>
      </c>
      <c r="H126" s="17">
        <f>H125*$D$108</f>
        <v>14673.215395228995</v>
      </c>
      <c r="I126" s="17">
        <f>I125*$D$108</f>
        <v>15759.646885194079</v>
      </c>
    </row>
    <row r="127" spans="1:16" outlineLevel="1" x14ac:dyDescent="0.35">
      <c r="A127" t="s">
        <v>96</v>
      </c>
      <c r="E127" s="10">
        <f>J94</f>
        <v>15008.400000000001</v>
      </c>
      <c r="F127" s="10">
        <f>K94</f>
        <v>15005.04</v>
      </c>
      <c r="G127" s="10">
        <f>L94</f>
        <v>15003.023999999999</v>
      </c>
      <c r="H127" s="10">
        <f>M94</f>
        <v>15001.814400000001</v>
      </c>
      <c r="I127" s="10">
        <f>N94</f>
        <v>15001.08864</v>
      </c>
      <c r="J127" t="s">
        <v>133</v>
      </c>
    </row>
    <row r="128" spans="1:16" outlineLevel="1" x14ac:dyDescent="0.35">
      <c r="A128" t="s">
        <v>97</v>
      </c>
      <c r="E128" s="10">
        <f>J93</f>
        <v>15000</v>
      </c>
      <c r="F128" s="10">
        <f>K93</f>
        <v>15000</v>
      </c>
      <c r="G128" s="10">
        <f>L93</f>
        <v>15000</v>
      </c>
      <c r="H128" s="10">
        <f>M93</f>
        <v>15000</v>
      </c>
      <c r="I128" s="10">
        <f>N93</f>
        <v>15000</v>
      </c>
      <c r="J128" t="s">
        <v>133</v>
      </c>
    </row>
    <row r="129" spans="1:14" outlineLevel="1" x14ac:dyDescent="0.35">
      <c r="A129" t="s">
        <v>98</v>
      </c>
      <c r="E129" s="13">
        <f>J89</f>
        <v>374.35066301369807</v>
      </c>
      <c r="F129" s="13">
        <f>K89</f>
        <v>611.29577983561649</v>
      </c>
      <c r="G129" s="13">
        <f>L89</f>
        <v>398.13077379945207</v>
      </c>
      <c r="H129" s="13">
        <f>M89</f>
        <v>510.78220258270267</v>
      </c>
      <c r="I129" s="13">
        <f>N89</f>
        <v>272.23333836987331</v>
      </c>
      <c r="J129" t="s">
        <v>133</v>
      </c>
    </row>
    <row r="130" spans="1:14" outlineLevel="1" x14ac:dyDescent="0.35">
      <c r="A130" t="s">
        <v>99</v>
      </c>
      <c r="E130" s="10">
        <f>E125-E126+E127-E128-E129</f>
        <v>35494.906336986307</v>
      </c>
      <c r="F130" s="10">
        <f>F125-F126+F127-F128-F129</f>
        <v>37714.893285164384</v>
      </c>
      <c r="G130" s="10">
        <f>G125-G126+G127-G128-G129</f>
        <v>41500.941154400542</v>
      </c>
      <c r="H130" s="10">
        <f>H125-H126+H127-H128-H129</f>
        <v>43510.678383104285</v>
      </c>
      <c r="I130" s="10">
        <f>I125-I126+I127-I128-I129</f>
        <v>47007.795957212365</v>
      </c>
    </row>
    <row r="131" spans="1:14" outlineLevel="1" x14ac:dyDescent="0.35">
      <c r="A131" t="s">
        <v>100</v>
      </c>
      <c r="D131" s="40">
        <f>-H139</f>
        <v>-290451</v>
      </c>
      <c r="E131" s="13"/>
      <c r="F131" s="13"/>
      <c r="G131" s="13"/>
      <c r="H131" s="13"/>
      <c r="I131" s="13"/>
      <c r="J131" s="13">
        <f>N121</f>
        <v>534293.28861723025</v>
      </c>
    </row>
    <row r="132" spans="1:14" outlineLevel="1" x14ac:dyDescent="0.35">
      <c r="A132" t="s">
        <v>101</v>
      </c>
      <c r="D132" s="35">
        <f>D131</f>
        <v>-290451</v>
      </c>
      <c r="E132" s="10">
        <f>(E131+E130)*E121</f>
        <v>17601.58369039595</v>
      </c>
      <c r="F132" s="10">
        <f>(F131+F130)*F121</f>
        <v>37714.893285164384</v>
      </c>
      <c r="G132" s="10">
        <f>(G131+G130)*G121</f>
        <v>41614.642363042738</v>
      </c>
      <c r="H132" s="10">
        <f>(H131+H130)*H121</f>
        <v>43510.678383104285</v>
      </c>
      <c r="I132" s="10">
        <f>(I131+I130)*I121</f>
        <v>47007.795957212365</v>
      </c>
      <c r="J132" s="10">
        <f>J131+J130</f>
        <v>534293.28861723025</v>
      </c>
      <c r="N132" s="42"/>
    </row>
    <row r="133" spans="1:14" outlineLevel="1" x14ac:dyDescent="0.35"/>
    <row r="134" spans="1:14" outlineLevel="1" x14ac:dyDescent="0.35"/>
    <row r="135" spans="1:14" outlineLevel="1" x14ac:dyDescent="0.35">
      <c r="A135" s="32" t="s">
        <v>106</v>
      </c>
      <c r="B135" s="32"/>
      <c r="C135" s="32"/>
      <c r="D135" s="32"/>
      <c r="F135" s="32" t="s">
        <v>112</v>
      </c>
      <c r="G135" s="32"/>
      <c r="H135" s="32"/>
      <c r="I135"/>
      <c r="J135" s="32" t="s">
        <v>116</v>
      </c>
      <c r="K135" s="32"/>
      <c r="L135" s="32"/>
    </row>
    <row r="136" spans="1:14" outlineLevel="1" x14ac:dyDescent="0.35">
      <c r="A136" t="s">
        <v>605</v>
      </c>
      <c r="D136" s="10">
        <f>IFERROR(XNPV(D109,E132:J132,E119:J119),"")</f>
        <v>484713.32456630806</v>
      </c>
      <c r="F136" s="10" t="s">
        <v>113</v>
      </c>
      <c r="H136" s="10">
        <f>D115*D114</f>
        <v>500000</v>
      </c>
      <c r="J136" s="10" t="s">
        <v>117</v>
      </c>
      <c r="L136" s="33">
        <f>IFERROR(D141/H141-1,"-")</f>
        <v>0.38852464913261597</v>
      </c>
    </row>
    <row r="137" spans="1:14" outlineLevel="1" x14ac:dyDescent="0.35">
      <c r="A137" t="s">
        <v>108</v>
      </c>
      <c r="D137" s="35">
        <f>I78</f>
        <v>239549</v>
      </c>
      <c r="E137" s="43" t="s">
        <v>138</v>
      </c>
      <c r="F137" s="10" t="s">
        <v>114</v>
      </c>
      <c r="H137" s="10">
        <f>I100</f>
        <v>30000</v>
      </c>
      <c r="I137" s="43" t="s">
        <v>137</v>
      </c>
      <c r="J137" s="10" t="s">
        <v>118</v>
      </c>
      <c r="L137" s="33">
        <f>IFERROR(XIRR(D132:J132,D119:J119),"-")</f>
        <v>0.26023738980293276</v>
      </c>
    </row>
    <row r="138" spans="1:14" outlineLevel="1" x14ac:dyDescent="0.35">
      <c r="A138" t="s">
        <v>109</v>
      </c>
      <c r="D138" s="40">
        <f>I100</f>
        <v>30000</v>
      </c>
      <c r="E138" s="43" t="s">
        <v>137</v>
      </c>
      <c r="F138" s="10" t="s">
        <v>115</v>
      </c>
      <c r="H138" s="13">
        <f>I78</f>
        <v>239549</v>
      </c>
      <c r="I138" s="43" t="s">
        <v>138</v>
      </c>
    </row>
    <row r="139" spans="1:14" outlineLevel="1" x14ac:dyDescent="0.35">
      <c r="A139" t="s">
        <v>110</v>
      </c>
      <c r="D139" s="35">
        <f>D136+D137-D138</f>
        <v>694262.32456630806</v>
      </c>
      <c r="F139" s="10" t="s">
        <v>606</v>
      </c>
      <c r="H139" s="10">
        <f>H136+H137-H138</f>
        <v>290451</v>
      </c>
    </row>
    <row r="140" spans="1:14" outlineLevel="1" x14ac:dyDescent="0.35"/>
    <row r="141" spans="1:14" outlineLevel="1" x14ac:dyDescent="0.35">
      <c r="A141" t="s">
        <v>111</v>
      </c>
      <c r="D141" s="44">
        <f>D139/D115</f>
        <v>34.7131162283154</v>
      </c>
      <c r="F141" t="s">
        <v>111</v>
      </c>
      <c r="H141" s="44">
        <f>H136/D115</f>
        <v>25</v>
      </c>
    </row>
    <row r="142" spans="1:14" outlineLevel="1" x14ac:dyDescent="0.35"/>
    <row r="144" spans="1:14" x14ac:dyDescent="0.35">
      <c r="A144" s="2" t="s">
        <v>10</v>
      </c>
      <c r="B144" s="2"/>
      <c r="C144" s="2"/>
      <c r="D144" s="2"/>
      <c r="E144" s="11"/>
      <c r="F144" s="11"/>
      <c r="G144" s="11"/>
      <c r="H144" s="11"/>
      <c r="I144" s="11"/>
      <c r="J144" s="11"/>
      <c r="K144" s="11"/>
      <c r="L144" s="11"/>
      <c r="M144" s="11"/>
      <c r="N144" s="11"/>
    </row>
  </sheetData>
  <mergeCells count="3">
    <mergeCell ref="A1:D2"/>
    <mergeCell ref="E1:I1"/>
    <mergeCell ref="J1:N1"/>
  </mergeCells>
  <phoneticPr fontId="4"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4 5 1 3 2 1 - 0 8 7 8 - 4 e 1 d - a 1 6 b - 5 d 6 5 f 0 6 4 2 d e 6 "   x m l n s = " h t t p : / / s c h e m a s . m i c r o s o f t . c o m / D a t a M a s h u p " > A A A A A D 8 U A A B Q S w M E F A A C A A g A z K I v 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M o i 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K I v W b 7 X 6 f U 6 E Q A A X m 0 A A B M A H A B G b 3 J t d W x h c y 9 T Z W N 0 a W 9 u M S 5 t I K I Y A C i g F A A A A A A A A A A A A A A A A A A A A A A A A A A A A O 1 c W 2 / b y B V + D 5 D / I K g v N u o a 6 0 X b h 2 5 T Q J b t r F H b U i 1 l 0 0 U S C G N y J M 2 G 4 q i 8 y H a C / P e e G Q 7 J I X n O c G S k y X a z + 7 B J N G e u P J f v + z h S y o N M y H g w K / 4 8 + e H 5 s + f P 0 j V L e D i 4 j A O 5 4 b O M Z X z D 4 2 z w Y h D x 7 P m z A f w 3 k 3 k S c P j k / C H g 0 f F r m b y / k / L 9 w Y W I + P F Y x h n Y p w f D 8 d / e v k p 5 k r 6 9 y r M P g + n 4 7 Z k M c j V W + l b M R m d v v / v L 4 m x 8 8 f a 7 k 8 U 4 T x L 4 / J Z v Z Q K t Y b B c t K Y / f o j S h + H h 0 S D O o + h o k C U 5 P z w q V t O y X M z W n K v l F q v 8 + O Y S P n 8 x b F k N j / 4 p 4 v D F U B s P 3 3 1 6 c 8 Y y 9 s 6 M + I f h N J E b m c E p / M h Z C F s Y w n h z d g f b M y 3 m 8 w N 0 8 q P B G 2 M 2 i q J Z w C K W p C / U k t 8 d V j O M 1 y x e w Q T z x y 2 v R 5 8 n L E 6 X M t m M Z Z R v Y t W Y H i D L O f r 4 c S j C I R w E W A w y / p B 9 O h p 8 H L J 0 s o S N 8 L I h h L / r h i 1 P h A z 1 X O 0 + g T 7 7 4 H E s w 2 7 j a M c T t u J n I s q V g 5 y z J B b x C u a H U 8 / + + u d j N a I 2 P G W p C I z 1 T D k Q Z X M + n Z W z x P n m j i e 6 a S z T b L K 8 5 T s e 5 7 z b 8 4 x v E x 4 I p t Y w 2 o C P i A / 6 7 / A 5 O C X 8 p f N 0 n S P E o T 3 I p U d v t X 8 e 9 u z P W O E 7 N I 0 3 l 6 M d E 1 E m x 3 I z y 2 T w f i 2 j 4 o m 2 R z s / v Z z j n 5 6 N k M / N k 7 k A T z n / T y 6 y R z D g s M z s h s P J z t l D t 8 9 L J u J J P G M R n y x P 8 1 T E P E X W Y V t B n s g T G B u x 4 j G c T a S O N t y I W K R Z A o e 7 4 + c P W x 6 n y C N 9 m c g 0 B b 9 e C u S 8 y 7 W T v V s G N z K e g I v D j P G K N i 4 e c 1 + 7 e 6 x r E c v E O l 3 k w O D A q Z m q J n j 6 G x m 7 H c A y j m E x u c x T s z A Z u 8 y V C 5 g u s A V 4 I m c i D Y p / 8 7 A a w X u A q g e 0 t 3 f v G A T + H + U h 9 I f z V L M n M o r g X 3 3 n 5 n 5 S Y G I / n q Y 5 6 S w 3 k E 9 Z J D 5 A a B L R U 1 t U M 7 f j t 5 q U n M Z a F r 7 6 y o D M c 5 N s z Z O X D I K I a O v Z q b Z p n p B l j 5 y 5 7 t D e G m W X x + C o 0 4 Q v O V S M U D v v m d i J k M d h t w f Y Z e y B O o p b D j 4 R A F w I e z J / b W h n c M w u 5 S w J 1 s r d Y a x I b v F M P u P a D c H s m i X v u f O B G l s 8 t W G L m G 3 V A i M T t V A l V t h Z Q i 4 + X y 4 B c U 2 W r + I 8 z a E D 1 J 0 U 8 T m w h A y 5 E y k 6 G 7 T e Q s W 6 k M m Y R Q H a X 2 Y s o h + q b m 6 5 y i g t Q B h H H q m 2 J 5 + U b m 1 t q M 8 E 8 G O R J F 5 K G d 6 L K O r 2 e Q 3 5 B i r P 0 p F q 6 v z W k y L p I o k U h c 2 W i U Q 5 0 W Q 5 Z l s B K x + l K c c S F x 4 S i K G N O t y t k y U 0 A k A U A A r T X n i i o 9 M 4 H + l 2 2 g h 8 B m u D 6 A F 4 G m R Q 3 I v Y 4 D B G E o 8 C O K R U 4 M u 1 c c F 0 e o 4 d i 3 F d 8 N A z m d 9 l y z w a B Y H M Y + w Q Z w o l C 5 7 C 7 K 8 Z u o F b 2 D u 0 X k F 6 h F V e c M r G O P w s 3 w I 4 V A f G E L e a i + A 9 T x p 4 9 1 M N z i + h v 4 q B w c + Q V G p 0 P g r D A p c f t P D 7 0 W C o L Y 8 G n A X r g Y L g x + q D g z c l I g f k b y 2 h n u m W y w S y K g x U j G w x D d N k P j 9 o r + r I M A A b 9 J e r a O L 9 N s R 3 o H o c x 9 v I v Q P V n w L O 9 4 X j F A B v Q m 4 P j F 2 i 6 h p H + y F n C i t T 6 N g D D 7 c Q M I J 5 e 1 B u F 9 e 6 k S y K X R t o t Q e f 9 i L S J 2 D Q J 6 L O v X A m i i x 9 s S S G H j G 8 i A F E B B J i I L A J + 3 C g 5 w H t a D D n A 9 / a g M 0 B 0 W h Q R s M w N / D y g F o U u H L A q T Z + Q h B T B y L 1 g 6 I 2 D E K B j x / U s c G N D 5 x x A x g n Z H G A l D Y s 2 Q e I E N C j C T b 8 4 A U C K P o g B A Y a c J j g A A Y l F P h 0 + P y Z i O m 6 b G u j p z B v H P B S a f y i w q g 9 t 0 M V t c 0 I S d Q 2 + V x 6 a H f a 3 5 A Y a j x v y h 7 V + h A E b w w g P 3 K x I 2 3 y T R 7 B W n o Y L Y B N H R o s m j I B d c Z E N G I Y R f J e H T o S J M 6 V 6 N z w I 4 9 C 6 K j C z j g b Y q n g l B r E G B q g I 1 C R N x e R C j w V k 5 C Q I I B 1 q C G W Z k N X n K V 8 c h e J F U X b j K F O X F h r q s q N + k O l x B 2 s j 5 g u X b e M o N t s D Y E 1 5 8 n m M t 5 B l q K W W s M h Z 2 O R k z G T u M i A G t + C A 6 8 S V G s 1 T w C e H s R H S D P 3 0 o 4 g p K Y Z P 2 D S / I z f I c / e a t S n v N e Q V 4 L d i Y j w F G N T 5 X h C e 0 6 v A C b z 9 E Z m I 1 3 m N X T K o A E O i H w d Q e s J Z Q t s x g C t s r x R p 6 l x u k 9 A F Y A e o 8 I q y O b y m m W a H 7 j C p y i x C r h Q S a a s + A 4 D 5 c k 8 J B N G 7 e o i v h A x p A 5 B i x t W X G h Y t l O Z B r F T 9 b Y 3 5 L X f Y J / L e K W C 0 N e 9 S n v c Z e 3 W P X y 2 7 F Y C q 3 L f t K X L d a 9 Z s A Y f T R 4 v c n B S e P B c j U u o k l 6 6 O r 5 Z a E B d D j 6 f 9 z g 2 s I k q u g t s 6 I z X r r k G e J 5 9 I H 5 5 H T y Y P p V A 2 W D J Y 0 H u b 7 S K i V i p m O 1 J f 7 b N q U w S e Y 8 n C d v O u Q t t W L j F K P w l J 8 u E Z 0 I p q Z z P N m q z / h W S G a F o T S Q A H 0 d 3 9 9 P R O N + r W J p l O F p U I u k r c V P 4 X K E f k 6 a n w E E h 7 Y t E p 5 Z T 4 I l L k U 0 B a 6 Y k a q k Z T 5 V v J 3 m W A u 9 x 1 m r o B j Q q p M V e + h i d J 6 h J k A h 0 Y k 7 X W H t f U d O R c Z m m O S b O 2 1 o N t b U y I Z w C J / m J R a S K T + 1 d N 5 p 0 S s r Y 2 g j P V Q X Z 1 o v T t b I / 7 e k e l u d 7 v Y P U n f r j q 2 X 2 p F l c h R r o S 8 g r / z W u X 8 / X 7 a D o I j x 5 s m 7 v k 6 x b t u R b m / P N N p K P n J u I Q k a 6 U D r M m o c K O B H 4 I M 5 k g r h b t 2 D 4 V y J d W v r N T Z Y Y W V k i Q b M E E m / s H g A Z U E E W I a 3 q W W i k H u B A 3 Y d t V N g K A 4 T h S m k h e o O k Q 3 S P h X y O i o T w R E 0 2 Z V u s c F p l m C a w l S x E W g A D 5 G J l l h U 8 a o o e F T K + q z J a B U P E s G u p a C 9 P W a a 0 R Q R g Q S K c L M e w Y e x 2 C M S m 2 O Q b 8 + y d Y V D X A C e q a I p j W C g D e M z 7 s E l l h Q / y K o Z 2 L R o r W q N Y D f I A w G G h B p i t G Q d 2 O Y Y P L z G w p I h T u v 4 7 i 7 q O R 9 c k n p F + B g G 3 0 2 9 C I L Z C Y M T O x 7 c P O 7 m M 9 S 5 + g r 8 D 2 E 5 f K b W 7 q D X X P F t L p G R a U y u C t i z E D V e G b p y 7 G 7 9 Y O c o N K C x w S R c b 6 + l Z c V Y p P 9 g D + 6 Z f c H a U O l y b c 6 h x D v 3 N X 3 F z a W x u V c 2 l o z m U s 7 Z W R q t j + + l h L Q U M 1 b x o l Y v W t T p K V q 9 2 1 V K r f P U p X J F C N a g 9 V C d b Z / J R l h x a k q 0 e u f Q i T C F C N C F E B e r R f W i l h 9 B 2 a j W n X 7 9 p K z b e G o 1 L l c F 1 m B 7 l B d N a L H W l 1 l N Q B a V X M / F T S Z y 6 C K W E 4 N o H r X Y 4 9 A 1 a 0 S A 1 D F K 1 c O s U b W U C 0 S I w 9 c G p N 9 g K g 1 t T e I q K 4 K 0 b d J S C p j b Q U g O 6 / B 9 j / C 2 O j 7 N 6 l M e 3 m D v B 1 R v s 3 I e P e z J w k n P v z b I R X u 3 B p L v c 2 c 2 W a X 6 M M e I O B 2 6 w X h f P 7 W W 2 T + S y b f b a 4 a s I Q + 1 w U o q F O n k n w j Q J b o m x S W / + 2 M s Y 2 x z R y Q p J H t h l f h T X 6 7 A 7 n M + R D K 6 P s 2 E s D e N l C B M j u V c f 2 0 L 4 1 Z 6 M y o d D O V m T g y c R z M i H C z 3 l T o e O D h j j S 9 / n K O d 1 3 O U o T Y h 7 H G X z 5 7 r D 0 Z z u N 3 R / Q 3 l W f U m q u K 4 0 7 N 5 g 4 J A U Y 1 1 M 0 j V k Y e L + s y k 1 2 p d D D T M x m + I k m 3 c b T d R B 4 g V e s a M E X L R r E Z 1 P 6 l r d a X N 2 1 Q / y M j Y p i p Q B L T s r o G k 7 t S T 7 3 p X r a w Z l H 5 9 X f Z i t W x e 3 O / Q K 7 s a 4 9 x h I E O r o 4 l a F S j P n K 6 X S y G 8 f a f V Y P Q Z N i 2 e G N N f M X 8 F U l X G d R n A 0 h K R Y l q u K 0 N I m R G P P v f O e L s 1 r 5 1 3 j E p Y X S o B 9 5 d K h k 5 Z X U a F g 6 H N U 9 0 3 N i S L G h T B D 5 5 g q U 9 Q p v m O S c E 6 3 l s h k E t e r d l 0 / q e 3 7 v h Z q y R A i t E N b F R 3 M v F Q o / K x N m q N 3 V j p f d d W V U N 1 r u / 7 L I r R D 2 1 a 0 R w O j K Q 9 s C g V 6 z V K u J D W G p Q 6 w 9 Q o l s G t h 5 t K 1 6 L c I P t 9 A J a 7 b U 6 O V z u O z r 3 I z 5 U F R R w + m f q e v v o i h 8 n U d D t S X n E r L 2 o G o 2 C t 0 H p / t N C k C v c q q w N J O W 5 l Y E i N i p Y u Z E m 4 r e G s E i G I 3 g k j N l R A D r c Q 3 8 H z 3 o o k k D 3 X W 0 6 a T r f 6 m 0 I N i f i l W t c u T d O W M 2 s Z 1 u 6 q 2 Q i 8 2 A X A o / I p y K z C o R n D n h r 4 c V 7 S 7 1 u r 4 + p u e 8 x R W E U K c K z B A l J k u j f R N 1 n b 5 o n 2 O v M 3 v A 2 k d K A 0 m t A i + c A C 5 / j u N t S V 5 m a A 0 c Q 5 T J 9 R y a f j K 3 D e v 2 0 W Q u l 9 X y Z P u 7 F X r O i 1 p i f 7 i s d / A D T O 6 K m n X g D i 2 v 4 L l T 0 F a H f 0 J S K u j F / 2 o H K p A q B A 6 F 5 d 9 S c z 9 p J u 2 9 C F V r x B Y H J b f y p F L 8 g K K / k J Z G U i 9 R c T O e 4 7 w + 7 Z f 2 R L k n K T j O A H f i 3 L v R b L 3 o t U 0 k a a p s x 9 Z d t N j D 0 L c Q 4 E R 0 u t F c 0 l i S 1 B Z m r z 2 0 N U O Q S U o K U F C U d r Z I p p e 1 L K H T H r S x x 7 C i F B E l B S 2 a W A / 8 X N R v V 5 y 1 0 f n U A J H U 7 Y u S a N o G U X E 3 N S L J l t + 9 I r 4 k r S D Q v W R J i d N c h A j F x V y k R + S 7 j g J D k p p K B L j T 1 t Q o k J T E x 8 y g t M P i n B 0 K A Z C K l w 0 o k s c M K r Q I A c 0 H d i H A F C Q 3 w n y 3 b A e B f I u 6 I 6 C d R y e O w B 5 G 4 I T o N s F s 3 2 A N Q m l S f C 8 B 1 z e A y D v A Y k p E O y G v T T Q 7 Y O 2 v W C W h K 9 P e c t 2 z T O m i s S X f s t W z u t 4 y 1 a a E G / Z y u b P 9 Z a t O d 1 X e 8 u 2 h H O Y i w 0 v Q w j h J f f 8 D t B H 9 3 0 a H A P k e R 3 / z Y Y U E I 1 M O h 9 H U N P K n D n L N x u G d E V f + I U Q o n N Z 3 X / R j d b P X G X 0 N 0 7 4 n c h C R G C W Z e h d Q / U U u m S 3 R 0 2 K K w 8 v E 3 m f r a l Z N T Z T F 5 V Y w u k x H B b V K N 0 1 J h x S d T y J q 0 h t 9 9 3 q 3 4 6 h d 7 C q f 2 C m a m b x Y 3 E w B p 2 S 2 1 s a Q L l E R a V y b e Q z g c + D 9 7 c q u y O N g Y l P o l n a q A O f H 2 r H T s g 8 H U c y x Y 4 1 N N n x 1 n I n p P l n w a M Q a e c P Z X p t + 2 M G o V K c D 2 R m x W x H u 9 V Z z 2 h 3 X I P i z q N P m F A / e q I L X e f 4 Z X L P k h B t Y 8 W v I P 2 k 4 p 2 f f B e y R y R o l 2 K Z P c 7 v 5 W v O 3 1 / p I + x M Y V n 8 K F a Y E 2 w T E f C 5 V I U g n Z v l n n x / D S l 5 j T l c u a N R H O c Q k e 5 n g B t T Z 7 j R P x o D S K a 7 U 1 1 Z 9 B W 9 r P j N j 6 7 J n X V R j t i j u k u H t E Y s z S 6 g Z r N I P e z z O E S d I Y b 0 1 W + 1 0 b c P A / D 8 f + U M 4 F e C W m 3 5 i g o M V C C y a 2 + j Q t h l t + i p F p e i l b f 1 y y 5 V y Y E S n O l a f i v v r V I 2 4 x G k e P X Z Q T G E E Z k O 3 t Q i z z u w H o K z D A 8 h 6 Y T Q Z P 9 u z r v B 3 / + h S / B h X d 4 g F e X b z l T 6 0 4 P 2 S h q n U a t N 6 p T q i y O L a 6 G g p V 7 Z l U i z Y / h 3 U / 0 y B x z p a / h 1 v a k H 0 H K A N Q B 7 6 B 1 g P 8 m u s e m n S 3 Y z D e f b T w k + R C Q 6 6 + Q m C q k d j 9 K A 6 8 D R m z c r a D c 1 H c 2 e r + t n + / n Y L d 9 I Q L k D z Q q 7 k m P h a 6 X i a N z t Y 4 0 9 O + O c 5 d t I B O q y Y D 0 I w G 4 o K I E 6 D n w 6 v 6 N E p n C e p 9 + h T V U G 0 l D w 5 W w 6 / h 8 i 4 + 9 L Z F x w B D V t i Z F X 6 T Z Y b M u F O F C y R q s n B E Y u G j 8 X Q r a n + j L 4 G E m w V Y l Y h B g 0 B a w S I 5 l 6 j d f T C C 3 E A Q F i d r r A d 6 s Z C 3 + h u i A A f w q P c E H d o 1 P F a F G A O R y I x Q s 9 1 S I U + l f K U A u 1 W c o A w M l C L h f 3 g D E c x 7 p 4 L J K O t V H P w t a M n Q W g M Q U 3 0 B h q m n q V n b K 4 1 e l G F x g 1 S 3 l m d X E w P 0 6 p a 6 B 1 r t 0 y Y Y 7 H S l 1 Q E R R f B j Y l N / 5 1 I n o c m D k H z e U U l 5 a P p / K e J w c n g z 8 O 3 l Q r f n d 0 8 v 3 h 4 E + D k 8 b x N u b H j 3 d + 8 + + v k 5 m y + O H 3 x P R 7 Y v r / T U w Q O Z 5 5 C S x / D W n J 3 l 9 j G c T + 9 B q + U n L Q c / + e H 7 6 t / B B a v 1 7 a H i g F Z I 6 q Z c V b v Y W I C 2 / B l I D f V t o p Q s M z 8 2 j j X 0 P y + f V j I j P + Z b w s v r j 2 d T I f 2 6 2 q F X y r W a 8 w O U E S j X U 4 r S B E B A P k l p N q q C 8 5 N e 9 V 1 f O 2 X 3 w 1 h / v h v 1 B L A Q I t A B Q A A g A I A M y i L 1 l F B P I g o w A A A P Y A A A A S A A A A A A A A A A A A A A A A A A A A A A B D b 2 5 m a W c v U G F j a 2 F n Z S 5 4 b W x Q S w E C L Q A U A A I A C A D M o i 9 Z D 8 r p q 6 Q A A A D p A A A A E w A A A A A A A A A A A A A A A A D v A A A A W 0 N v b n R l b n R f V H l w Z X N d L n h t b F B L A Q I t A B Q A A g A I A M y i L 1 m + 1 + n 1 O h E A A F 5 t A A A T A A A A A A A A A A A A A A A A A O A B A A B G b 3 J t d W x h c y 9 T Z W N 0 a W 9 u M S 5 t U E s F B g A A A A A D A A M A w g A A A G c T 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G A Q A A A A A A h o Y 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u Y 2 9 t Z V N 0 Y X R l b W V u d D w v S X R l b V B h d G g + P C 9 J d G V t T G 9 j Y X R p b 2 4 + P F N 0 Y W J s Z U V u d H J p Z X M + P E V u d H J 5 I F R 5 c G U 9 I k l z U H J p d m F 0 Z S I g V m F s d W U 9 I m w w I i A v P j x F b n R y e S B U e X B l P S J R d W V y e U l E I i B W Y W x 1 Z T 0 i c z J j M G E 0 Z W V l L T Z k M W E t N D g 2 Y i 0 5 N m Z k L T I y M m E x N z F h Y z N k 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j b 2 1 l U 3 R h d G V t Z W 5 0 I i A v P j x F b n R y e S B U e X B l P S J G a W x s Z W R D b 2 1 w b G V 0 Z V J l c 3 V s d F R v V 2 9 y a 3 N o Z W V 0 I i B W Y W x 1 Z T 0 i b D E i I C 8 + P E V u d H J 5 I F R 5 c G U 9 I k Z p b G x F c n J v c k N v d W 5 0 I i B W Y W x 1 Z T 0 i b D A i I C 8 + P E V u d H J 5 I F R 5 c G U 9 I k Z p b G x F c n J v c k N v Z G U i I F Z h b H V l P S J z V W 5 r b m 9 3 b i I g L z 4 8 R W 5 0 c n k g V H l w Z T 0 i R m l s b E N v d W 5 0 I i B W Y W x 1 Z T 0 i b D g 0 I i A v P j x F b n R y e S B U e X B l P S J B Z G R l Z F R v R G F 0 Y U 1 v Z G V s I i B W Y W x 1 Z T 0 i b D A i I C 8 + P E V u d H J 5 I F R 5 c G U 9 I k Z p b G x M Y X N 0 V X B k Y X R l Z C I g V m F s d W U 9 I m Q y M D I 0 L T A 5 L T E 2 V D A w O j I y O j E 3 L j Y y N D c 3 M z N a I i A v P j x F b n R y e S B U e X B l P S J G a W x s Q 2 9 s d W 1 u V H l w Z X M i I F Z h b H V l P S J z Q m d r R E J n W U R B d 1 V E Q X d N R E J R T U R B d 0 1 E Q X d N R E F 3 T U R B d 0 1 E Q X d N R E F 3 T U R B d 0 1 G Q X d N R E F 3 T U R B d 0 1 E Q X d N R E F 3 T U R C U U 1 G Q X d N R E F 3 T U R B d 0 F E Q X d N Q U F 3 T U R B d 0 1 E Q X d N R E F 3 W T 0 i I C 8 + P E V u d H J 5 I F R 5 c G U 9 I k Z p b G x D b 2 x 1 b W 5 O Y W 1 l c y I g V m F s d W U 9 I n N b J n F 1 b 3 Q 7 a W Q m c X V v d D s s J n F 1 b 3 Q 7 Y X N P Z k R h d G U m c X V v d D s s J n F 1 b 3 Q 7 W W V h c i Z x d W 9 0 O y w m c X V v d D t w Z X J p b 2 R U e X B l J n F 1 b 3 Q 7 L C Z x d W 9 0 O 2 N 1 c n J l b m N 5 Q 2 9 k Z S Z x d W 9 0 O y w m c X V v d D t B d m V y Y W d l R G l s d X R p b 2 5 F Y X J u a W 5 n c y Z x d W 9 0 O y w m c X V v d D t C Y X N p Y 0 F 2 Z X J h Z 2 V T a G F y Z X M m c X V v d D s s J n F 1 b 3 Q 7 Q m F z a W N F U F M m c X V v d D s s J n F 1 b 3 Q 7 Q 2 9 z d E 9 m U m V 2 Z W 5 1 Z S Z x d W 9 0 O y w m c X V v d D t E Z X B y Z W N p Y X R p b 2 5 B b W 9 y d G l 6 Y X R p b 2 5 E Z X B s Z X R p b 2 5 J b m N v b W V T d G F 0 Z W 1 l b n Q m c X V v d D s s J n F 1 b 3 Q 7 R G V w c m V j a W F 0 a W 9 u Q W 5 k Q W 1 v c n R p e m F 0 a W 9 u S W 5 J b m N v b W V T d G F 0 Z W 1 l b n Q m c X V v d D s s J n F 1 b 3 Q 7 R G l s d X R l Z E F 2 Z X J h Z 2 V T a G F y Z X M m c X V v d D s s J n F 1 b 3 Q 7 R G l s d X R l Z E V Q U y Z x d W 9 0 O y w m c X V v d D t E a W x 1 d G V k T k l B d m F p b H R v Q 2 9 t U 3 R v Y 2 t o b 2 x k Z X J z J n F 1 b 3 Q 7 L C Z x d W 9 0 O 0 V C S V Q m c X V v d D s s J n F 1 b 3 Q 7 R U J J V E R B J n F 1 b 3 Q 7 L C Z x d W 9 0 O 0 V h c m 5 p b m d z R n J v b U V x d W l 0 e U l u d G V y Z X N 0 T m V 0 T 2 Z U Y X g m c X V v d D s s J n F 1 b 3 Q 7 R 2 F p b k 9 u U 2 F s Z U 9 m Q n V z a W 5 l c 3 M m c X V v d D s s J n F 1 b 3 Q 7 R 2 F p b k 9 u U 2 F s Z U 9 m U 2 V j d X J p d H k m c X V v d D s s J n F 1 b 3 Q 7 R 2 V u Z X J h b E F u Z E F k b W l u a X N 0 c m F 0 a X Z l R X h w Z W 5 z Z S Z x d W 9 0 O y w m c X V v d D t H c m 9 z c 1 B y b 2 Z p d C Z x d W 9 0 O y w m c X V v d D t J b n R l c m V z d E V 4 c G V u c 2 U m c X V v d D s s J n F 1 b 3 Q 7 S W 5 0 Z X J l c 3 R F e H B l b n N l T m 9 u T 3 B l c m F 0 a W 5 n J n F 1 b 3 Q 7 L C Z x d W 9 0 O 0 l u d G V y Z X N 0 S W 5 j b 2 1 l J n F 1 b 3 Q 7 L C Z x d W 9 0 O 0 l u d G V y Z X N 0 S W 5 j b 2 1 l T m 9 u T 3 B l c m F 0 a W 5 n J n F 1 b 3 Q 7 L C Z x d W 9 0 O 0 1 p b m 9 y a X R 5 S W 5 0 Z X J l c 3 R z J n F 1 b 3 Q 7 L C Z x d W 9 0 O 0 5 l d E l u Y 2 9 t Z S Z x d W 9 0 O y w m c X V v d D t O Z X R J b m N v b W V D b 2 1 t b 2 5 T d G 9 j a 2 h v b G R l c n M m c X V v d D s s J n F 1 b 3 Q 7 T m V 0 S W 5 j b 2 1 l Q 2 9 u d G l u d W 9 1 c 0 9 w Z X J h d G l v b n M m c X V v d D s s J n F 1 b 3 Q 7 T m V 0 S W 5 j b 2 1 l R n J v b U N v b n R p b n V p b m d B b m R E a X N j b 2 5 0 a W 5 1 Z W R P c G V y Y X R p b 2 4 m c X V v d D s s J n F 1 b 3 Q 7 T m V 0 S W 5 j b 2 1 l R n J v b U N v b n R p b n V p b m d P c G V y Y X R p b 2 5 O Z X R N a W 5 v c m l 0 e U l u d G V y Z X N 0 J n F 1 b 3 Q 7 L C Z x d W 9 0 O 0 5 l d E l u Y 2 9 t Z U l u Y 2 x 1 Z G l u Z 0 5 v b m N v b n R y b 2 x s a W 5 n S W 5 0 Z X J l c 3 R z J n F 1 b 3 Q 7 L C Z x d W 9 0 O 0 5 l d E l u d G V y Z X N 0 S W 5 j b 2 1 l J n F 1 b 3 Q 7 L C Z x d W 9 0 O 0 5 l d E 5 v b k 9 w Z X J h d G l u Z 0 l u d G V y Z X N 0 S W 5 j b 2 1 l R X h w Z W 5 z Z S Z x d W 9 0 O y w m c X V v d D t O b 3 J t Y W x p e m V k R U J J V E R B J n F 1 b 3 Q 7 L C Z x d W 9 0 O 0 5 v c m 1 h b G l 6 Z W R J b m N v b W U m c X V v d D s s J n F 1 b 3 Q 7 T 3 B l c m F 0 a W 5 n R X h w Z W 5 z Z S Z x d W 9 0 O y w m c X V v d D t P c G V y Y X R p b m d J b m N v b W U m c X V v d D s s J n F 1 b 3 Q 7 T 3 B l c m F 0 a W 5 n U m V 2 Z W 5 1 Z S Z x d W 9 0 O y w m c X V v d D t P d G h l c k d h b m R B J n F 1 b 3 Q 7 L C Z x d W 9 0 O 0 9 0 a G V y S W 5 j b 2 1 l R X h w Z W 5 z Z S Z x d W 9 0 O y w m c X V v d D t P d G h l c k 5 v b k 9 w Z X J h d G l u Z 0 l u Y 2 9 t Z U V 4 c G V u c 2 V z J n F 1 b 3 Q 7 L C Z x d W 9 0 O 0 9 0 a G V y T 3 B l c m F 0 a W 5 n R X h w Z W 5 z Z X M m c X V v d D s s J n F 1 b 3 Q 7 T 3 R o Z X J 1 b m R l c l B y Z W Z l c n J l Z F N 0 b 2 N r R G l 2 a W R l b m Q m c X V v d D s s J n F 1 b 3 Q 7 U H J l d G F 4 S W 5 j b 2 1 l J n F 1 b 3 Q 7 L C Z x d W 9 0 O 1 J l Y 2 9 u Y 2 l s Z W R D b 3 N 0 T 2 Z S Z X Z l b n V l J n F 1 b 3 Q 7 L C Z x d W 9 0 O 1 J l Y 2 9 u Y 2 l s Z W R E Z X B y Z W N p Y X R p b 2 4 m c X V v d D s s J n F 1 b 3 Q 7 U m V z Z W F y Y 2 h B b m R E Z X Z l b G 9 w b W V u d C Z x d W 9 0 O y w m c X V v d D t T Z W x s a W 5 n Q W 5 k T W F y a 2 V 0 a W 5 n R X h w Z W 5 z Z S Z x d W 9 0 O y w m c X V v d D t T Z W x s a W 5 n R 2 V u Z X J h b E F u Z E F k b W l u a X N 0 c m F 0 a W 9 u J n F 1 b 3 Q 7 L C Z x d W 9 0 O 1 N w Z W N p Y W x J b m N v b W V D a G F y Z 2 V z J n F 1 b 3 Q 7 L C Z x d W 9 0 O 1 R h e E V m Z m V j d E 9 m V W 5 1 c 3 V h b E l 0 Z W 1 z J n F 1 b 3 Q 7 L C Z x d W 9 0 O 1 R h e F B y b 3 Z p c 2 l v b i Z x d W 9 0 O y w m c X V v d D t U Y X h S Y X R l R m 9 y Q 2 F s Y 3 M m c X V v d D s s J n F 1 b 3 Q 7 V G 9 0 Y W x F e H B l b n N l c y Z x d W 9 0 O y w m c X V v d D t U b 3 R h b E 9 w Z X J h d G l u Z 0 l u Y 2 9 t Z U F z U m V w b 3 J 0 Z W Q m c X V v d D s s J n F 1 b 3 Q 7 V G 9 0 Y W x S Z X Z l b n V l J n F 1 b 3 Q 7 L C Z x d W 9 0 O 1 R v d G F s V W 5 1 c 3 V h b E l 0 Z W 1 z J n F 1 b 3 Q 7 L C Z x d W 9 0 O 1 R v d G F s V W 5 1 c 3 V h b E l 0 Z W 1 z R X h j b H V k a W 5 n R 2 9 v Z H d p b G w m c X V v d D s s J n F 1 b 3 Q 7 V 3 J p d G V P Z m Y m c X V v d D s s J n F 1 b 3 Q 7 T m V 0 S W 5 j b 2 1 l R G l z Y 2 9 u d G l u d W 9 1 c 0 9 w Z X J h d G l v b n M m c X V v d D s s J n F 1 b 3 Q 7 R G V w c m V j a W F 0 a W 9 u S W 5 j b 2 1 l U 3 R h d G V t Z W 5 0 J n F 1 b 3 Q 7 L C Z x d W 9 0 O 0 V h c m 5 p b m d z R n J v b U V x d W l 0 e U l u d G V y Z X N 0 J n F 1 b 3 Q 7 L C Z x d W 9 0 O 0 l t c G F p c m 1 l b n R P Z k N h c G l 0 Y W x B c 3 N l d H M m c X V v d D s s J n F 1 b 3 Q 7 U H J l Z m V y c m V k U 3 R v Y 2 t E a X Z p Z G V u Z H M m c X V v d D s s J n F 1 b 3 Q 7 Y X N P Z l l l Y X I m c X V v d D s s J n F 1 b 3 Q 7 Q W 1 v c n R p e m F 0 a W 9 u J n F 1 b 3 Q 7 L C Z x d W 9 0 O 0 F t b 3 J 0 a X p h d G l v b k 9 m S W 5 0 Y W 5 n a W J s Z X N J b m N v b W V T d G F 0 Z W 1 l b n Q m c X V v d D s s J n F 1 b 3 Q 7 T 3 R o Z X J T c G V j a W F s Q 2 h h c m d l c y Z x d W 9 0 O y w m c X V v d D t P d G h l c l R h e G V z J n F 1 b 3 Q 7 L C Z x d W 9 0 O 1 J l c 3 R y d W N 0 d X J p b m d B b m R N Z X J n Z X J u Q W N x d W l z a X R p b 2 4 m c X V v d D s s J n F 1 b 3 Q 7 R 2 F p b k 9 u U 2 F s Z U 9 m U F B F J n F 1 b 3 Q 7 L C Z x d W 9 0 O 1 B y b 3 Z p c 2 l v b k Z v c k R v d W J 0 Z n V s Q W N j b 3 V u d H M m c X V v d D s s J n F 1 b 3 Q 7 U 2 F s Y X J p Z X N B b m R X Y W d l c y Z x d W 9 0 O y w m c X V v d D t S Z W 5 0 Q W 5 k T G F u Z G l u Z 0 Z l Z X M m c X V v d D s s J n F 1 b 3 Q 7 U m V u d E V 4 c G V u c 2 V T d X B w b G V t Z W 5 0 Y W w m c X V v d D s s J n F 1 b 3 Q 7 V G l j a 2 V y J n F 1 b 3 Q 7 X S I g L z 4 8 R W 5 0 c n k g V H l w Z T 0 i R m l s b F N 0 Y X R 1 c y I g V m F s d W U 9 I n N D b 2 1 w b G V 0 Z S I g L z 4 8 R W 5 0 c n k g V H l w Z T 0 i U m V s Y X R p b 2 5 z a G l w S W 5 m b 0 N v b n R h a W 5 l c i I g V m F s d W U 9 I n N 7 J n F 1 b 3 Q 7 Y 2 9 s d W 1 u Q 2 9 1 b n Q m c X V v d D s 6 N z c s J n F 1 b 3 Q 7 a 2 V 5 Q 2 9 s d W 1 u T m F t Z X M m c X V v d D s 6 W 1 0 s J n F 1 b 3 Q 7 c X V l c n l S Z W x h d G l v b n N o a X B z J n F 1 b 3 Q 7 O l t d L C Z x d W 9 0 O 2 N v b H V t b k l k Z W 5 0 a X R p Z X M m c X V v d D s 6 W y Z x d W 9 0 O 1 N l Y 3 R p b 2 4 x L 0 l u Y 2 9 t Z V N 0 Y X R l b W V u d C 9 D a G F u Z 2 V k I F R 5 c G U u e 2 l k L D B 9 J n F 1 b 3 Q 7 L C Z x d W 9 0 O 1 N l Y 3 R p b 2 4 x L 0 l u Y 2 9 t Z V N 0 Y X R l b W V u d C 9 D a G F u Z 2 V k I F R 5 c G U u e 2 F z T 2 Z E Y X R l L D F 9 J n F 1 b 3 Q 7 L C Z x d W 9 0 O 1 N l Y 3 R p b 2 4 x L 0 l u Y 2 9 t Z V N 0 Y X R l b W V u d C 9 J b n N l c n R l Z C B Z Z W F y L n t Z Z W F y L D c 2 f S Z x d W 9 0 O y w m c X V v d D t T Z W N 0 a W 9 u M S 9 J b m N v b W V T d G F 0 Z W 1 l b n Q v Q 2 h h b m d l Z C B U e X B l L n t w Z X J p b 2 R U e X B l L D J 9 J n F 1 b 3 Q 7 L C Z x d W 9 0 O 1 N l Y 3 R p b 2 4 x L 0 l u Y 2 9 t Z V N 0 Y X R l b W V u d C 9 D a G F u Z 2 V k I F R 5 c G U u e 2 N 1 c n J l b m N 5 Q 2 9 k Z S w z f S Z x d W 9 0 O y w m c X V v d D t T Z W N 0 a W 9 u M S 9 J b m N v b W V T d G F 0 Z W 1 l b n Q v Q 2 h h b m d l Z C B U e X B l L n t B d m V y Y W d l R G l s d X R p b 2 5 F Y X J u a W 5 n c y w 2 N n 0 m c X V v d D s s J n F 1 b 3 Q 7 U 2 V j d G l v b j E v S W 5 j b 2 1 l U 3 R h d G V t Z W 5 0 L 0 N o Y W 5 n Z W Q g V H l w Z S 5 7 Q m F z a W N B d m V y Y W d l U 2 h h c m V z L D R 9 J n F 1 b 3 Q 7 L C Z x d W 9 0 O 1 N l Y 3 R p b 2 4 x L 0 l u Y 2 9 t Z V N 0 Y X R l b W V u d C 9 D a G F u Z 2 V k I F R 5 c G U u e 0 J h c 2 l j R V B T L D V 9 J n F 1 b 3 Q 7 L C Z x d W 9 0 O 1 N l Y 3 R p b 2 4 x L 0 l u Y 2 9 t Z V N 0 Y X R l b W V u d C 9 D a G F u Z 2 V k I F R 5 c G U u e 0 N v c 3 R P Z l J l d m V u d W U s N n 0 m c X V v d D s s J n F 1 b 3 Q 7 U 2 V j d G l v b j E v S W 5 j b 2 1 l U 3 R h d G V t Z W 5 0 L 0 N o Y W 5 n Z W Q g V H l w Z S 5 7 R G V w c m V j a W F 0 a W 9 u Q W 1 v c n R p e m F 0 a W 9 u R G V w b G V 0 a W 9 u S W 5 j b 2 1 l U 3 R h d G V t Z W 5 0 L D U x f S Z x d W 9 0 O y w m c X V v d D t T Z W N 0 a W 9 u M S 9 J b m N v b W V T d G F 0 Z W 1 l b n Q v Q 2 h h b m d l Z C B U e X B l L n t E Z X B y Z W N p Y X R p b 2 5 B b m R B b W 9 y d G l 6 Y X R p b 2 5 J b k l u Y 2 9 t Z V N 0 Y X R l b W V u d C w 1 M n 0 m c X V v d D s s J n F 1 b 3 Q 7 U 2 V j d G l v b j E v S W 5 j b 2 1 l U 3 R h d G V t Z W 5 0 L 0 N o Y W 5 n Z W Q g V H l w Z S 5 7 R G l s d X R l Z E F 2 Z X J h Z 2 V T a G F y Z X M s N 3 0 m c X V v d D s s J n F 1 b 3 Q 7 U 2 V j d G l v b j E v S W 5 j b 2 1 l U 3 R h d G V t Z W 5 0 L 0 N o Y W 5 n Z W Q g V H l w Z S 5 7 R G l s d X R l Z E V Q U y w 4 f S Z x d W 9 0 O y w m c X V v d D t T Z W N 0 a W 9 u M S 9 J b m N v b W V T d G F 0 Z W 1 l b n Q v Q 2 h h b m d l Z C B U e X B l L n t E a W x 1 d G V k T k l B d m F p b H R v Q 2 9 t U 3 R v Y 2 t o b 2 x k Z X J z L D l 9 J n F 1 b 3 Q 7 L C Z x d W 9 0 O 1 N l Y 3 R p b 2 4 x L 0 l u Y 2 9 t Z V N 0 Y X R l b W V u d C 9 D a G F u Z 2 V k I F R 5 c G U u e 0 V C S V Q s M T B 9 J n F 1 b 3 Q 7 L C Z x d W 9 0 O 1 N l Y 3 R p b 2 4 x L 0 l u Y 2 9 t Z V N 0 Y X R l b W V u d C 9 D a G F u Z 2 V k I F R 5 c G U u e 0 V C S V R E Q S w x M X 0 m c X V v d D s s J n F 1 b 3 Q 7 U 2 V j d G l v b j E v S W 5 j b 2 1 l U 3 R h d G V t Z W 5 0 L 0 N o Y W 5 n Z W Q g V H l w Z S 5 7 R W F y b m l u Z 3 N G c m 9 t R X F 1 a X R 5 S W 5 0 Z X J l c 3 R O Z X R P Z l R h e C w 2 N 3 0 m c X V v d D s s J n F 1 b 3 Q 7 U 2 V j d G l v b j E v S W 5 j b 2 1 l U 3 R h d G V t Z W 5 0 L 0 N o Y W 5 n Z W Q g V H l w Z S 5 7 R 2 F p b k 9 u U 2 F s Z U 9 m Q n V z a W 5 l c 3 M s N j h 9 J n F 1 b 3 Q 7 L C Z x d W 9 0 O 1 N l Y 3 R p b 2 4 x L 0 l u Y 2 9 t Z V N 0 Y X R l b W V u d C 9 D a G F u Z 2 V k I F R 5 c G U u e 0 d h a W 5 P b l N h b G V P Z l N l Y 3 V y a X R 5 L D Y y f S Z x d W 9 0 O y w m c X V v d D t T Z W N 0 a W 9 u M S 9 J b m N v b W V T d G F 0 Z W 1 l b n Q v Q 2 h h b m d l Z C B U e X B l L n t H Z W 5 l c m F s Q W 5 k Q W R t a W 5 p c 3 R y Y X R p d m V F e H B l b n N l L D E z f S Z x d W 9 0 O y w m c X V v d D t T Z W N 0 a W 9 u M S 9 J b m N v b W V T d G F 0 Z W 1 l b n Q v Q 2 h h b m d l Z C B U e X B l L n t H c m 9 z c 1 B y b 2 Z p d C w x N H 0 m c X V v d D s s J n F 1 b 3 Q 7 U 2 V j d G l v b j E v S W 5 j b 2 1 l U 3 R h d G V t Z W 5 0 L 0 N o Y W 5 n Z W Q g V H l w Z S 5 7 S W 5 0 Z X J l c 3 R F e H B l b n N l L D U z f S Z x d W 9 0 O y w m c X V v d D t T Z W N 0 a W 9 u M S 9 J b m N v b W V T d G F 0 Z W 1 l b n Q v Q 2 h h b m d l Z C B U e X B l L n t J b n R l c m V z d E V 4 c G V u c 2 V O b 2 5 P c G V y Y X R p b m c s N T R 9 J n F 1 b 3 Q 7 L C Z x d W 9 0 O 1 N l Y 3 R p b 2 4 x L 0 l u Y 2 9 t Z V N 0 Y X R l b W V u d C 9 D a G F u Z 2 V k I F R 5 c G U u e 0 l u d G V y Z X N 0 S W 5 j b 2 1 l L D E 2 f S Z x d W 9 0 O y w m c X V v d D t T Z W N 0 a W 9 u M S 9 J b m N v b W V T d G F 0 Z W 1 l b n Q v Q 2 h h b m d l Z C B U e X B l L n t J b n R l c m V z d E l u Y 2 9 t Z U 5 v b k 9 w Z X J h d G l u Z y w x N 3 0 m c X V v d D s s J n F 1 b 3 Q 7 U 2 V j d G l v b j E v S W 5 j b 2 1 l U 3 R h d G V t Z W 5 0 L 0 N o Y W 5 n Z W Q g V H l w Z S 5 7 T W l u b 3 J p d H l J b n R l c m V z d H M s N T h 9 J n F 1 b 3 Q 7 L C Z x d W 9 0 O 1 N l Y 3 R p b 2 4 x L 0 l u Y 2 9 t Z V N 0 Y X R l b W V u d C 9 D a G F u Z 2 V k I F R 5 c G U u e 0 5 l d E l u Y 2 9 t Z S w x O H 0 m c X V v d D s s J n F 1 b 3 Q 7 U 2 V j d G l v b j E v S W 5 j b 2 1 l U 3 R h d G V t Z W 5 0 L 0 N o Y W 5 n Z W Q g V H l w Z S 5 7 T m V 0 S W 5 j b 2 1 l Q 2 9 t b W 9 u U 3 R v Y 2 t o b 2 x k Z X J z L D E 5 f S Z x d W 9 0 O y w m c X V v d D t T Z W N 0 a W 9 u M S 9 J b m N v b W V T d G F 0 Z W 1 l b n Q v Q 2 h h b m d l Z C B U e X B l L n t O Z X R J b m N v b W V D b 2 5 0 a W 5 1 b 3 V z T 3 B l c m F 0 a W 9 u c y w y M H 0 m c X V v d D s s J n F 1 b 3 Q 7 U 2 V j d G l v b j E v S W 5 j b 2 1 l U 3 R h d G V t Z W 5 0 L 0 N o Y W 5 n Z W Q g V H l w Z S 5 7 T m V 0 S W 5 j b 2 1 l R n J v b U N v b n R p b n V p b m d B b m R E a X N j b 2 5 0 a W 5 1 Z W R P c G V y Y X R p b 2 4 s M j F 9 J n F 1 b 3 Q 7 L C Z x d W 9 0 O 1 N l Y 3 R p b 2 4 x L 0 l u Y 2 9 t Z V N 0 Y X R l b W V u d C 9 D a G F u Z 2 V k I F R 5 c G U u e 0 5 l d E l u Y 2 9 t Z U Z y b 2 1 D b 2 5 0 a W 5 1 a W 5 n T 3 B l c m F 0 a W 9 u T m V 0 T W l u b 3 J p d H l J b n R l c m V z d C w y M n 0 m c X V v d D s s J n F 1 b 3 Q 7 U 2 V j d G l v b j E v S W 5 j b 2 1 l U 3 R h d G V t Z W 5 0 L 0 N o Y W 5 n Z W Q g V H l w Z S 5 7 T m V 0 S W 5 j b 2 1 l S W 5 j b H V k a W 5 n T m 9 u Y 2 9 u d H J v b G x p b m d J b n R l c m V z d H M s M j N 9 J n F 1 b 3 Q 7 L C Z x d W 9 0 O 1 N l Y 3 R p b 2 4 x L 0 l u Y 2 9 t Z V N 0 Y X R l b W V u d C 9 D a G F u Z 2 V k I F R 5 c G U u e 0 5 l d E l u d G V y Z X N 0 S W 5 j b 2 1 l L D I 0 f S Z x d W 9 0 O y w m c X V v d D t T Z W N 0 a W 9 u M S 9 J b m N v b W V T d G F 0 Z W 1 l b n Q v Q 2 h h b m d l Z C B U e X B l L n t O Z X R O b 2 5 P c G V y Y X R p b m d J b n R l c m V z d E l u Y 2 9 t Z U V 4 c G V u c 2 U s M j V 9 J n F 1 b 3 Q 7 L C Z x d W 9 0 O 1 N l Y 3 R p b 2 4 x L 0 l u Y 2 9 t Z V N 0 Y X R l b W V u d C 9 D a G F u Z 2 V k I F R 5 c G U u e 0 5 v c m 1 h b G l 6 Z W R F Q k l U R E E s M j Z 9 J n F 1 b 3 Q 7 L C Z x d W 9 0 O 1 N l Y 3 R p b 2 4 x L 0 l u Y 2 9 t Z V N 0 Y X R l b W V u d C 9 D a G F u Z 2 V k I F R 5 c G U u e 0 5 v c m 1 h b G l 6 Z W R J b m N v b W U s M j d 9 J n F 1 b 3 Q 7 L C Z x d W 9 0 O 1 N l Y 3 R p b 2 4 x L 0 l u Y 2 9 t Z V N 0 Y X R l b W V u d C 9 D a G F u Z 2 V k I F R 5 c G U u e 0 9 w Z X J h d G l u Z 0 V 4 c G V u c 2 U s M j h 9 J n F 1 b 3 Q 7 L C Z x d W 9 0 O 1 N l Y 3 R p b 2 4 x L 0 l u Y 2 9 t Z V N 0 Y X R l b W V u d C 9 D a G F u Z 2 V k I F R 5 c G U u e 0 9 w Z X J h d G l u Z 0 l u Y 2 9 t Z S w y O X 0 m c X V v d D s s J n F 1 b 3 Q 7 U 2 V j d G l v b j E v S W 5 j b 2 1 l U 3 R h d G V t Z W 5 0 L 0 N o Y W 5 n Z W Q g V H l w Z S 5 7 T 3 B l c m F 0 a W 5 n U m V 2 Z W 5 1 Z S w z M H 0 m c X V v d D s s J n F 1 b 3 Q 7 U 2 V j d G l v b j E v S W 5 j b 2 1 l U 3 R h d G V t Z W 5 0 L 0 N o Y W 5 n Z W Q g V H l w Z S 5 7 T 3 R o Z X J H Y W 5 k Q S w z M X 0 m c X V v d D s s J n F 1 b 3 Q 7 U 2 V j d G l v b j E v S W 5 j b 2 1 l U 3 R h d G V t Z W 5 0 L 0 N o Y W 5 n Z W Q g V H l w Z S 5 7 T 3 R o Z X J J b m N v b W V F e H B l b n N l L D M y f S Z x d W 9 0 O y w m c X V v d D t T Z W N 0 a W 9 u M S 9 J b m N v b W V T d G F 0 Z W 1 l b n Q v Q 2 h h b m d l Z C B U e X B l L n t P d G h l c k 5 v b k 9 w Z X J h d G l u Z 0 l u Y 2 9 t Z U V 4 c G V u c 2 V z L D M z f S Z x d W 9 0 O y w m c X V v d D t T Z W N 0 a W 9 u M S 9 J b m N v b W V T d G F 0 Z W 1 l b n Q v Q 2 h h b m d l Z C B U e X B l L n t P d G h l c k 9 w Z X J h d G l u Z 0 V 4 c G V u c 2 V z L D U 1 f S Z x d W 9 0 O y w m c X V v d D t T Z W N 0 a W 9 u M S 9 J b m N v b W V T d G F 0 Z W 1 l b n Q v Q 2 h h b m d l Z C B U e X B l L n t P d G h l c n V u Z G V y U H J l Z m V y c m V k U 3 R v Y 2 t E a X Z p Z G V u Z C w 2 O X 0 m c X V v d D s s J n F 1 b 3 Q 7 U 2 V j d G l v b j E v S W 5 j b 2 1 l U 3 R h d G V t Z W 5 0 L 0 N o Y W 5 n Z W Q g V H l w Z S 5 7 U H J l d G F 4 S W 5 j b 2 1 l L D M 0 f S Z x d W 9 0 O y w m c X V v d D t T Z W N 0 a W 9 u M S 9 J b m N v b W V T d G F 0 Z W 1 l b n Q v Q 2 h h b m d l Z C B U e X B l L n t S Z W N v b m N p b G V k Q 2 9 z d E 9 m U m V 2 Z W 5 1 Z S w z N X 0 m c X V v d D s s J n F 1 b 3 Q 7 U 2 V j d G l v b j E v S W 5 j b 2 1 l U 3 R h d G V t Z W 5 0 L 0 N o Y W 5 n Z W Q g V H l w Z S 5 7 U m V j b 2 5 j a W x l Z E R l c H J l Y 2 l h d G l v b i w z N n 0 m c X V v d D s s J n F 1 b 3 Q 7 U 2 V j d G l v b j E v S W 5 j b 2 1 l U 3 R h d G V t Z W 5 0 L 0 N o Y W 5 n Z W Q g V H l w Z S 5 7 U m V z Z W F y Y 2 h B b m R E Z X Z l b G 9 w b W V u d C w z O H 0 m c X V v d D s s J n F 1 b 3 Q 7 U 2 V j d G l v b j E v S W 5 j b 2 1 l U 3 R h d G V t Z W 5 0 L 0 N o Y W 5 n Z W Q g V H l w Z S 5 7 U 2 V s b G l u Z 0 F u Z E 1 h c m t l d G l u Z 0 V 4 c G V u c 2 U s M z l 9 J n F 1 b 3 Q 7 L C Z x d W 9 0 O 1 N l Y 3 R p b 2 4 x L 0 l u Y 2 9 t Z V N 0 Y X R l b W V u d C 9 D a G F u Z 2 V k I F R 5 c G U u e 1 N l b G x p b m d H Z W 5 l c m F s Q W 5 k Q W R t a W 5 p c 3 R y Y X R p b 2 4 s N D B 9 J n F 1 b 3 Q 7 L C Z x d W 9 0 O 1 N l Y 3 R p b 2 4 x L 0 l u Y 2 9 t Z V N 0 Y X R l b W V u d C 9 D a G F u Z 2 V k I F R 5 c G U u e 1 N w Z W N p Y W x J b m N v b W V D a G F y Z 2 V z L D Q x f S Z x d W 9 0 O y w m c X V v d D t T Z W N 0 a W 9 u M S 9 J b m N v b W V T d G F 0 Z W 1 l b n Q v Q 2 h h b m d l Z C B U e X B l L n t U Y X h F Z m Z l Y 3 R P Z l V u d X N 1 Y W x J d G V t c y w 0 M n 0 m c X V v d D s s J n F 1 b 3 Q 7 U 2 V j d G l v b j E v S W 5 j b 2 1 l U 3 R h d G V t Z W 5 0 L 0 N o Y W 5 n Z W Q g V H l w Z S 5 7 V G F 4 U H J v d m l z a W 9 u L D Q z f S Z x d W 9 0 O y w m c X V v d D t T Z W N 0 a W 9 u M S 9 J b m N v b W V T d G F 0 Z W 1 l b n Q v Q 2 h h b m d l Z C B U e X B l L n t U Y X h S Y X R l R m 9 y Q 2 F s Y 3 M s N D R 9 J n F 1 b 3 Q 7 L C Z x d W 9 0 O 1 N l Y 3 R p b 2 4 x L 0 l u Y 2 9 t Z V N 0 Y X R l b W V u d C 9 D a G F u Z 2 V k I F R 5 c G U u e 1 R v d G F s R X h w Z W 5 z Z X M s N D V 9 J n F 1 b 3 Q 7 L C Z x d W 9 0 O 1 N l Y 3 R p b 2 4 x L 0 l u Y 2 9 t Z V N 0 Y X R l b W V u d C 9 D a G F u Z 2 V k I F R 5 c G U u e 1 R v d G F s T 3 B l c m F 0 a W 5 n S W 5 j b 2 1 l Q X N S Z X B v c n R l Z C w 0 N n 0 m c X V v d D s s J n F 1 b 3 Q 7 U 2 V j d G l v b j E v S W 5 j b 2 1 l U 3 R h d G V t Z W 5 0 L 0 N o Y W 5 n Z W Q g V H l w Z S 5 7 V G 9 0 Y W x S Z X Z l b n V l L D Q 3 f S Z x d W 9 0 O y w m c X V v d D t T Z W N 0 a W 9 u M S 9 J b m N v b W V T d G F 0 Z W 1 l b n Q v Q 2 h h b m d l Z C B U e X B l L n t U b 3 R h b F V u d X N 1 Y W x J d G V t c y w 0 O H 0 m c X V v d D s s J n F 1 b 3 Q 7 U 2 V j d G l v b j E v S W 5 j b 2 1 l U 3 R h d G V t Z W 5 0 L 0 N o Y W 5 n Z W Q g V H l w Z S 5 7 V G 9 0 Y W x V b n V z d W F s S X R l b X N F e G N s d W R p b m d H b 2 9 k d 2 l s b C w 0 O X 0 m c X V v d D s s J n F 1 b 3 Q 7 U 2 V j d G l v b j E v S W 5 j b 2 1 l U 3 R h d G V t Z W 5 0 L 0 N o Y W 5 n Z W Q g V H l w Z S 5 7 V 3 J p d G V P Z m Y s N z B 9 J n F 1 b 3 Q 7 L C Z x d W 9 0 O 1 N l Y 3 R p b 2 4 x L 0 l u Y 2 9 t Z V N 0 Y X R l b W V u d C 9 D a G F u Z 2 V k I F R 5 c G U u e 0 5 l d E l u Y 2 9 t Z U R p c 2 N v b n R p b n V v d X N P c G V y Y X R p b 2 5 z L D Y z f S Z x d W 9 0 O y w m c X V v d D t T Z W N 0 a W 9 u M S 9 J b m N v b W V T d G F 0 Z W 1 l b n Q v U H J v b W 9 0 Z W Q g S G V h Z G V y c y 5 7 R G V w c m V j a W F 0 a W 9 u S W 5 j b 2 1 l U 3 R h d G V t Z W 5 0 L D Y x f S Z x d W 9 0 O y w m c X V v d D t T Z W N 0 a W 9 u M S 9 J b m N v b W V T d G F 0 Z W 1 l b n Q v Q 2 h h b m d l Z C B U e X B l L n t F Y X J u a W 5 n c 0 Z y b 2 1 F c X V p d H l J b n R l c m V z d C w 3 M X 0 m c X V v d D s s J n F 1 b 3 Q 7 U 2 V j d G l v b j E v S W 5 j b 2 1 l U 3 R h d G V t Z W 5 0 L 0 N o Y W 5 n Z W Q g V H l w Z S 5 7 S W 1 w Y W l y b W V u d E 9 m Q 2 F w a X R h b E F z c 2 V 0 c y w x N X 0 m c X V v d D s s J n F 1 b 3 Q 7 U 2 V j d G l v b j E v S W 5 j b 2 1 l U 3 R h d G V t Z W 5 0 L 0 N o Y W 5 n Z W Q g V H l w Z S 5 7 U H J l Z m V y c m V k U 3 R v Y 2 t E a X Z p Z G V u Z H M s N z J 9 J n F 1 b 3 Q 7 L C Z x d W 9 0 O 1 N l Y 3 R p b 2 4 x L 0 l u Y 2 9 t Z V N 0 Y X R l b W V u d C 9 Q c m 9 t b 3 R l Z C B I Z W F k Z X J z L n t h c 0 9 m W W V h c i w 2 N X 0 m c X V v d D s s J n F 1 b 3 Q 7 U 2 V j d G l v b j E v S W 5 j b 2 1 l U 3 R h d G V t Z W 5 0 L 0 N o Y W 5 n Z W Q g V H l w Z S 5 7 Q W 1 v c n R p e m F 0 a W 9 u L D U 5 f S Z x d W 9 0 O y w m c X V v d D t T Z W N 0 a W 9 u M S 9 J b m N v b W V T d G F 0 Z W 1 l b n Q v Q 2 h h b m d l Z C B U e X B l L n t B b W 9 y d G l 6 Y X R p b 2 5 P Z k l u d G F u Z 2 l i b G V z S W 5 j b 2 1 l U 3 R h d G V t Z W 5 0 L D Y w f S Z x d W 9 0 O y w m c X V v d D t T Z W N 0 a W 9 u M S 9 J b m N v b W V T d G F 0 Z W 1 l b n Q v Q 2 h h b m d l Z C B U e X B l L n t P d G h l c l N w Z W N p Y W x D a G F y Z 2 V z L D U 2 f S Z x d W 9 0 O y w m c X V v d D t T Z W N 0 a W 9 u M S 9 J b m N v b W V T d G F 0 Z W 1 l b n Q v Q 2 h h b m d l Z C B U e X B l L n t P d G h l c l R h e G V z L D U 3 f S Z x d W 9 0 O y w m c X V v d D t T Z W N 0 a W 9 u M S 9 J b m N v b W V T d G F 0 Z W 1 l b n Q v Q 2 h h b m d l Z C B U e X B l L n t S Z X N 0 c n V j d H V y a W 5 n Q W 5 k T W V y Z 2 V y b k F j c X V p c 2 l 0 a W 9 u L D c z f S Z x d W 9 0 O y w m c X V v d D t T Z W N 0 a W 9 u M S 9 J b m N v b W V T d G F 0 Z W 1 l b n Q v Q 2 h h b m d l Z C B U e X B l L n t H Y W l u T 2 5 T Y W x l T 2 Z Q U E U s M T J 9 J n F 1 b 3 Q 7 L C Z x d W 9 0 O 1 N l Y 3 R p b 2 4 x L 0 l u Y 2 9 t Z V N 0 Y X R l b W V u d C 9 D a G F u Z 2 V k I F R 5 c G U u e 1 B y b 3 Z p c 2 l v b k Z v c k R v d W J 0 Z n V s Q W N j b 3 V u d H M s N z R 9 J n F 1 b 3 Q 7 L C Z x d W 9 0 O 1 N l Y 3 R p b 2 4 x L 0 l u Y 2 9 t Z V N 0 Y X R l b W V u d C 9 D a G F u Z 2 V k I F R 5 c G U u e 1 N h b G F y a W V z Q W 5 k V 2 F n Z X M s N T B 9 J n F 1 b 3 Q 7 L C Z x d W 9 0 O 1 N l Y 3 R p b 2 4 x L 0 l u Y 2 9 t Z V N 0 Y X R l b W V u d C 9 D a G F u Z 2 V k I F R 5 c G U u e 1 J l b n R B b m R M Y W 5 k a W 5 n R m V l c y w 3 N X 0 m c X V v d D s s J n F 1 b 3 Q 7 U 2 V j d G l v b j E v S W 5 j b 2 1 l U 3 R h d G V t Z W 5 0 L 0 N o Y W 5 n Z W Q g V H l w Z S 5 7 U m V u d E V 4 c G V u c 2 V T d X B w b G V t Z W 5 0 Y W w s M z d 9 J n F 1 b 3 Q 7 L C Z x d W 9 0 O 1 N l Y 3 R p b 2 4 x L 0 l u Y 2 9 t Z V N 0 Y X R l b W V u d C 9 D a G F u Z 2 V k I F R 5 c G U u e 1 R p Y 2 t l c i w 2 N H 0 m c X V v d D t d L C Z x d W 9 0 O 0 N v b H V t b k N v d W 5 0 J n F 1 b 3 Q 7 O j c 3 L C Z x d W 9 0 O 0 t l e U N v b H V t b k 5 h b W V z J n F 1 b 3 Q 7 O l t d L C Z x d W 9 0 O 0 N v b H V t b k l k Z W 5 0 a X R p Z X M m c X V v d D s 6 W y Z x d W 9 0 O 1 N l Y 3 R p b 2 4 x L 0 l u Y 2 9 t Z V N 0 Y X R l b W V u d C 9 D a G F u Z 2 V k I F R 5 c G U u e 2 l k L D B 9 J n F 1 b 3 Q 7 L C Z x d W 9 0 O 1 N l Y 3 R p b 2 4 x L 0 l u Y 2 9 t Z V N 0 Y X R l b W V u d C 9 D a G F u Z 2 V k I F R 5 c G U u e 2 F z T 2 Z E Y X R l L D F 9 J n F 1 b 3 Q 7 L C Z x d W 9 0 O 1 N l Y 3 R p b 2 4 x L 0 l u Y 2 9 t Z V N 0 Y X R l b W V u d C 9 J b n N l c n R l Z C B Z Z W F y L n t Z Z W F y L D c 2 f S Z x d W 9 0 O y w m c X V v d D t T Z W N 0 a W 9 u M S 9 J b m N v b W V T d G F 0 Z W 1 l b n Q v Q 2 h h b m d l Z C B U e X B l L n t w Z X J p b 2 R U e X B l L D J 9 J n F 1 b 3 Q 7 L C Z x d W 9 0 O 1 N l Y 3 R p b 2 4 x L 0 l u Y 2 9 t Z V N 0 Y X R l b W V u d C 9 D a G F u Z 2 V k I F R 5 c G U u e 2 N 1 c n J l b m N 5 Q 2 9 k Z S w z f S Z x d W 9 0 O y w m c X V v d D t T Z W N 0 a W 9 u M S 9 J b m N v b W V T d G F 0 Z W 1 l b n Q v Q 2 h h b m d l Z C B U e X B l L n t B d m V y Y W d l R G l s d X R p b 2 5 F Y X J u a W 5 n c y w 2 N n 0 m c X V v d D s s J n F 1 b 3 Q 7 U 2 V j d G l v b j E v S W 5 j b 2 1 l U 3 R h d G V t Z W 5 0 L 0 N o Y W 5 n Z W Q g V H l w Z S 5 7 Q m F z a W N B d m V y Y W d l U 2 h h c m V z L D R 9 J n F 1 b 3 Q 7 L C Z x d W 9 0 O 1 N l Y 3 R p b 2 4 x L 0 l u Y 2 9 t Z V N 0 Y X R l b W V u d C 9 D a G F u Z 2 V k I F R 5 c G U u e 0 J h c 2 l j R V B T L D V 9 J n F 1 b 3 Q 7 L C Z x d W 9 0 O 1 N l Y 3 R p b 2 4 x L 0 l u Y 2 9 t Z V N 0 Y X R l b W V u d C 9 D a G F u Z 2 V k I F R 5 c G U u e 0 N v c 3 R P Z l J l d m V u d W U s N n 0 m c X V v d D s s J n F 1 b 3 Q 7 U 2 V j d G l v b j E v S W 5 j b 2 1 l U 3 R h d G V t Z W 5 0 L 0 N o Y W 5 n Z W Q g V H l w Z S 5 7 R G V w c m V j a W F 0 a W 9 u Q W 1 v c n R p e m F 0 a W 9 u R G V w b G V 0 a W 9 u S W 5 j b 2 1 l U 3 R h d G V t Z W 5 0 L D U x f S Z x d W 9 0 O y w m c X V v d D t T Z W N 0 a W 9 u M S 9 J b m N v b W V T d G F 0 Z W 1 l b n Q v Q 2 h h b m d l Z C B U e X B l L n t E Z X B y Z W N p Y X R p b 2 5 B b m R B b W 9 y d G l 6 Y X R p b 2 5 J b k l u Y 2 9 t Z V N 0 Y X R l b W V u d C w 1 M n 0 m c X V v d D s s J n F 1 b 3 Q 7 U 2 V j d G l v b j E v S W 5 j b 2 1 l U 3 R h d G V t Z W 5 0 L 0 N o Y W 5 n Z W Q g V H l w Z S 5 7 R G l s d X R l Z E F 2 Z X J h Z 2 V T a G F y Z X M s N 3 0 m c X V v d D s s J n F 1 b 3 Q 7 U 2 V j d G l v b j E v S W 5 j b 2 1 l U 3 R h d G V t Z W 5 0 L 0 N o Y W 5 n Z W Q g V H l w Z S 5 7 R G l s d X R l Z E V Q U y w 4 f S Z x d W 9 0 O y w m c X V v d D t T Z W N 0 a W 9 u M S 9 J b m N v b W V T d G F 0 Z W 1 l b n Q v Q 2 h h b m d l Z C B U e X B l L n t E a W x 1 d G V k T k l B d m F p b H R v Q 2 9 t U 3 R v Y 2 t o b 2 x k Z X J z L D l 9 J n F 1 b 3 Q 7 L C Z x d W 9 0 O 1 N l Y 3 R p b 2 4 x L 0 l u Y 2 9 t Z V N 0 Y X R l b W V u d C 9 D a G F u Z 2 V k I F R 5 c G U u e 0 V C S V Q s M T B 9 J n F 1 b 3 Q 7 L C Z x d W 9 0 O 1 N l Y 3 R p b 2 4 x L 0 l u Y 2 9 t Z V N 0 Y X R l b W V u d C 9 D a G F u Z 2 V k I F R 5 c G U u e 0 V C S V R E Q S w x M X 0 m c X V v d D s s J n F 1 b 3 Q 7 U 2 V j d G l v b j E v S W 5 j b 2 1 l U 3 R h d G V t Z W 5 0 L 0 N o Y W 5 n Z W Q g V H l w Z S 5 7 R W F y b m l u Z 3 N G c m 9 t R X F 1 a X R 5 S W 5 0 Z X J l c 3 R O Z X R P Z l R h e C w 2 N 3 0 m c X V v d D s s J n F 1 b 3 Q 7 U 2 V j d G l v b j E v S W 5 j b 2 1 l U 3 R h d G V t Z W 5 0 L 0 N o Y W 5 n Z W Q g V H l w Z S 5 7 R 2 F p b k 9 u U 2 F s Z U 9 m Q n V z a W 5 l c 3 M s N j h 9 J n F 1 b 3 Q 7 L C Z x d W 9 0 O 1 N l Y 3 R p b 2 4 x L 0 l u Y 2 9 t Z V N 0 Y X R l b W V u d C 9 D a G F u Z 2 V k I F R 5 c G U u e 0 d h a W 5 P b l N h b G V P Z l N l Y 3 V y a X R 5 L D Y y f S Z x d W 9 0 O y w m c X V v d D t T Z W N 0 a W 9 u M S 9 J b m N v b W V T d G F 0 Z W 1 l b n Q v Q 2 h h b m d l Z C B U e X B l L n t H Z W 5 l c m F s Q W 5 k Q W R t a W 5 p c 3 R y Y X R p d m V F e H B l b n N l L D E z f S Z x d W 9 0 O y w m c X V v d D t T Z W N 0 a W 9 u M S 9 J b m N v b W V T d G F 0 Z W 1 l b n Q v Q 2 h h b m d l Z C B U e X B l L n t H c m 9 z c 1 B y b 2 Z p d C w x N H 0 m c X V v d D s s J n F 1 b 3 Q 7 U 2 V j d G l v b j E v S W 5 j b 2 1 l U 3 R h d G V t Z W 5 0 L 0 N o Y W 5 n Z W Q g V H l w Z S 5 7 S W 5 0 Z X J l c 3 R F e H B l b n N l L D U z f S Z x d W 9 0 O y w m c X V v d D t T Z W N 0 a W 9 u M S 9 J b m N v b W V T d G F 0 Z W 1 l b n Q v Q 2 h h b m d l Z C B U e X B l L n t J b n R l c m V z d E V 4 c G V u c 2 V O b 2 5 P c G V y Y X R p b m c s N T R 9 J n F 1 b 3 Q 7 L C Z x d W 9 0 O 1 N l Y 3 R p b 2 4 x L 0 l u Y 2 9 t Z V N 0 Y X R l b W V u d C 9 D a G F u Z 2 V k I F R 5 c G U u e 0 l u d G V y Z X N 0 S W 5 j b 2 1 l L D E 2 f S Z x d W 9 0 O y w m c X V v d D t T Z W N 0 a W 9 u M S 9 J b m N v b W V T d G F 0 Z W 1 l b n Q v Q 2 h h b m d l Z C B U e X B l L n t J b n R l c m V z d E l u Y 2 9 t Z U 5 v b k 9 w Z X J h d G l u Z y w x N 3 0 m c X V v d D s s J n F 1 b 3 Q 7 U 2 V j d G l v b j E v S W 5 j b 2 1 l U 3 R h d G V t Z W 5 0 L 0 N o Y W 5 n Z W Q g V H l w Z S 5 7 T W l u b 3 J p d H l J b n R l c m V z d H M s N T h 9 J n F 1 b 3 Q 7 L C Z x d W 9 0 O 1 N l Y 3 R p b 2 4 x L 0 l u Y 2 9 t Z V N 0 Y X R l b W V u d C 9 D a G F u Z 2 V k I F R 5 c G U u e 0 5 l d E l u Y 2 9 t Z S w x O H 0 m c X V v d D s s J n F 1 b 3 Q 7 U 2 V j d G l v b j E v S W 5 j b 2 1 l U 3 R h d G V t Z W 5 0 L 0 N o Y W 5 n Z W Q g V H l w Z S 5 7 T m V 0 S W 5 j b 2 1 l Q 2 9 t b W 9 u U 3 R v Y 2 t o b 2 x k Z X J z L D E 5 f S Z x d W 9 0 O y w m c X V v d D t T Z W N 0 a W 9 u M S 9 J b m N v b W V T d G F 0 Z W 1 l b n Q v Q 2 h h b m d l Z C B U e X B l L n t O Z X R J b m N v b W V D b 2 5 0 a W 5 1 b 3 V z T 3 B l c m F 0 a W 9 u c y w y M H 0 m c X V v d D s s J n F 1 b 3 Q 7 U 2 V j d G l v b j E v S W 5 j b 2 1 l U 3 R h d G V t Z W 5 0 L 0 N o Y W 5 n Z W Q g V H l w Z S 5 7 T m V 0 S W 5 j b 2 1 l R n J v b U N v b n R p b n V p b m d B b m R E a X N j b 2 5 0 a W 5 1 Z W R P c G V y Y X R p b 2 4 s M j F 9 J n F 1 b 3 Q 7 L C Z x d W 9 0 O 1 N l Y 3 R p b 2 4 x L 0 l u Y 2 9 t Z V N 0 Y X R l b W V u d C 9 D a G F u Z 2 V k I F R 5 c G U u e 0 5 l d E l u Y 2 9 t Z U Z y b 2 1 D b 2 5 0 a W 5 1 a W 5 n T 3 B l c m F 0 a W 9 u T m V 0 T W l u b 3 J p d H l J b n R l c m V z d C w y M n 0 m c X V v d D s s J n F 1 b 3 Q 7 U 2 V j d G l v b j E v S W 5 j b 2 1 l U 3 R h d G V t Z W 5 0 L 0 N o Y W 5 n Z W Q g V H l w Z S 5 7 T m V 0 S W 5 j b 2 1 l S W 5 j b H V k a W 5 n T m 9 u Y 2 9 u d H J v b G x p b m d J b n R l c m V z d H M s M j N 9 J n F 1 b 3 Q 7 L C Z x d W 9 0 O 1 N l Y 3 R p b 2 4 x L 0 l u Y 2 9 t Z V N 0 Y X R l b W V u d C 9 D a G F u Z 2 V k I F R 5 c G U u e 0 5 l d E l u d G V y Z X N 0 S W 5 j b 2 1 l L D I 0 f S Z x d W 9 0 O y w m c X V v d D t T Z W N 0 a W 9 u M S 9 J b m N v b W V T d G F 0 Z W 1 l b n Q v Q 2 h h b m d l Z C B U e X B l L n t O Z X R O b 2 5 P c G V y Y X R p b m d J b n R l c m V z d E l u Y 2 9 t Z U V 4 c G V u c 2 U s M j V 9 J n F 1 b 3 Q 7 L C Z x d W 9 0 O 1 N l Y 3 R p b 2 4 x L 0 l u Y 2 9 t Z V N 0 Y X R l b W V u d C 9 D a G F u Z 2 V k I F R 5 c G U u e 0 5 v c m 1 h b G l 6 Z W R F Q k l U R E E s M j Z 9 J n F 1 b 3 Q 7 L C Z x d W 9 0 O 1 N l Y 3 R p b 2 4 x L 0 l u Y 2 9 t Z V N 0 Y X R l b W V u d C 9 D a G F u Z 2 V k I F R 5 c G U u e 0 5 v c m 1 h b G l 6 Z W R J b m N v b W U s M j d 9 J n F 1 b 3 Q 7 L C Z x d W 9 0 O 1 N l Y 3 R p b 2 4 x L 0 l u Y 2 9 t Z V N 0 Y X R l b W V u d C 9 D a G F u Z 2 V k I F R 5 c G U u e 0 9 w Z X J h d G l u Z 0 V 4 c G V u c 2 U s M j h 9 J n F 1 b 3 Q 7 L C Z x d W 9 0 O 1 N l Y 3 R p b 2 4 x L 0 l u Y 2 9 t Z V N 0 Y X R l b W V u d C 9 D a G F u Z 2 V k I F R 5 c G U u e 0 9 w Z X J h d G l u Z 0 l u Y 2 9 t Z S w y O X 0 m c X V v d D s s J n F 1 b 3 Q 7 U 2 V j d G l v b j E v S W 5 j b 2 1 l U 3 R h d G V t Z W 5 0 L 0 N o Y W 5 n Z W Q g V H l w Z S 5 7 T 3 B l c m F 0 a W 5 n U m V 2 Z W 5 1 Z S w z M H 0 m c X V v d D s s J n F 1 b 3 Q 7 U 2 V j d G l v b j E v S W 5 j b 2 1 l U 3 R h d G V t Z W 5 0 L 0 N o Y W 5 n Z W Q g V H l w Z S 5 7 T 3 R o Z X J H Y W 5 k Q S w z M X 0 m c X V v d D s s J n F 1 b 3 Q 7 U 2 V j d G l v b j E v S W 5 j b 2 1 l U 3 R h d G V t Z W 5 0 L 0 N o Y W 5 n Z W Q g V H l w Z S 5 7 T 3 R o Z X J J b m N v b W V F e H B l b n N l L D M y f S Z x d W 9 0 O y w m c X V v d D t T Z W N 0 a W 9 u M S 9 J b m N v b W V T d G F 0 Z W 1 l b n Q v Q 2 h h b m d l Z C B U e X B l L n t P d G h l c k 5 v b k 9 w Z X J h d G l u Z 0 l u Y 2 9 t Z U V 4 c G V u c 2 V z L D M z f S Z x d W 9 0 O y w m c X V v d D t T Z W N 0 a W 9 u M S 9 J b m N v b W V T d G F 0 Z W 1 l b n Q v Q 2 h h b m d l Z C B U e X B l L n t P d G h l c k 9 w Z X J h d G l u Z 0 V 4 c G V u c 2 V z L D U 1 f S Z x d W 9 0 O y w m c X V v d D t T Z W N 0 a W 9 u M S 9 J b m N v b W V T d G F 0 Z W 1 l b n Q v Q 2 h h b m d l Z C B U e X B l L n t P d G h l c n V u Z G V y U H J l Z m V y c m V k U 3 R v Y 2 t E a X Z p Z G V u Z C w 2 O X 0 m c X V v d D s s J n F 1 b 3 Q 7 U 2 V j d G l v b j E v S W 5 j b 2 1 l U 3 R h d G V t Z W 5 0 L 0 N o Y W 5 n Z W Q g V H l w Z S 5 7 U H J l d G F 4 S W 5 j b 2 1 l L D M 0 f S Z x d W 9 0 O y w m c X V v d D t T Z W N 0 a W 9 u M S 9 J b m N v b W V T d G F 0 Z W 1 l b n Q v Q 2 h h b m d l Z C B U e X B l L n t S Z W N v b m N p b G V k Q 2 9 z d E 9 m U m V 2 Z W 5 1 Z S w z N X 0 m c X V v d D s s J n F 1 b 3 Q 7 U 2 V j d G l v b j E v S W 5 j b 2 1 l U 3 R h d G V t Z W 5 0 L 0 N o Y W 5 n Z W Q g V H l w Z S 5 7 U m V j b 2 5 j a W x l Z E R l c H J l Y 2 l h d G l v b i w z N n 0 m c X V v d D s s J n F 1 b 3 Q 7 U 2 V j d G l v b j E v S W 5 j b 2 1 l U 3 R h d G V t Z W 5 0 L 0 N o Y W 5 n Z W Q g V H l w Z S 5 7 U m V z Z W F y Y 2 h B b m R E Z X Z l b G 9 w b W V u d C w z O H 0 m c X V v d D s s J n F 1 b 3 Q 7 U 2 V j d G l v b j E v S W 5 j b 2 1 l U 3 R h d G V t Z W 5 0 L 0 N o Y W 5 n Z W Q g V H l w Z S 5 7 U 2 V s b G l u Z 0 F u Z E 1 h c m t l d G l u Z 0 V 4 c G V u c 2 U s M z l 9 J n F 1 b 3 Q 7 L C Z x d W 9 0 O 1 N l Y 3 R p b 2 4 x L 0 l u Y 2 9 t Z V N 0 Y X R l b W V u d C 9 D a G F u Z 2 V k I F R 5 c G U u e 1 N l b G x p b m d H Z W 5 l c m F s Q W 5 k Q W R t a W 5 p c 3 R y Y X R p b 2 4 s N D B 9 J n F 1 b 3 Q 7 L C Z x d W 9 0 O 1 N l Y 3 R p b 2 4 x L 0 l u Y 2 9 t Z V N 0 Y X R l b W V u d C 9 D a G F u Z 2 V k I F R 5 c G U u e 1 N w Z W N p Y W x J b m N v b W V D a G F y Z 2 V z L D Q x f S Z x d W 9 0 O y w m c X V v d D t T Z W N 0 a W 9 u M S 9 J b m N v b W V T d G F 0 Z W 1 l b n Q v Q 2 h h b m d l Z C B U e X B l L n t U Y X h F Z m Z l Y 3 R P Z l V u d X N 1 Y W x J d G V t c y w 0 M n 0 m c X V v d D s s J n F 1 b 3 Q 7 U 2 V j d G l v b j E v S W 5 j b 2 1 l U 3 R h d G V t Z W 5 0 L 0 N o Y W 5 n Z W Q g V H l w Z S 5 7 V G F 4 U H J v d m l z a W 9 u L D Q z f S Z x d W 9 0 O y w m c X V v d D t T Z W N 0 a W 9 u M S 9 J b m N v b W V T d G F 0 Z W 1 l b n Q v Q 2 h h b m d l Z C B U e X B l L n t U Y X h S Y X R l R m 9 y Q 2 F s Y 3 M s N D R 9 J n F 1 b 3 Q 7 L C Z x d W 9 0 O 1 N l Y 3 R p b 2 4 x L 0 l u Y 2 9 t Z V N 0 Y X R l b W V u d C 9 D a G F u Z 2 V k I F R 5 c G U u e 1 R v d G F s R X h w Z W 5 z Z X M s N D V 9 J n F 1 b 3 Q 7 L C Z x d W 9 0 O 1 N l Y 3 R p b 2 4 x L 0 l u Y 2 9 t Z V N 0 Y X R l b W V u d C 9 D a G F u Z 2 V k I F R 5 c G U u e 1 R v d G F s T 3 B l c m F 0 a W 5 n S W 5 j b 2 1 l Q X N S Z X B v c n R l Z C w 0 N n 0 m c X V v d D s s J n F 1 b 3 Q 7 U 2 V j d G l v b j E v S W 5 j b 2 1 l U 3 R h d G V t Z W 5 0 L 0 N o Y W 5 n Z W Q g V H l w Z S 5 7 V G 9 0 Y W x S Z X Z l b n V l L D Q 3 f S Z x d W 9 0 O y w m c X V v d D t T Z W N 0 a W 9 u M S 9 J b m N v b W V T d G F 0 Z W 1 l b n Q v Q 2 h h b m d l Z C B U e X B l L n t U b 3 R h b F V u d X N 1 Y W x J d G V t c y w 0 O H 0 m c X V v d D s s J n F 1 b 3 Q 7 U 2 V j d G l v b j E v S W 5 j b 2 1 l U 3 R h d G V t Z W 5 0 L 0 N o Y W 5 n Z W Q g V H l w Z S 5 7 V G 9 0 Y W x V b n V z d W F s S X R l b X N F e G N s d W R p b m d H b 2 9 k d 2 l s b C w 0 O X 0 m c X V v d D s s J n F 1 b 3 Q 7 U 2 V j d G l v b j E v S W 5 j b 2 1 l U 3 R h d G V t Z W 5 0 L 0 N o Y W 5 n Z W Q g V H l w Z S 5 7 V 3 J p d G V P Z m Y s N z B 9 J n F 1 b 3 Q 7 L C Z x d W 9 0 O 1 N l Y 3 R p b 2 4 x L 0 l u Y 2 9 t Z V N 0 Y X R l b W V u d C 9 D a G F u Z 2 V k I F R 5 c G U u e 0 5 l d E l u Y 2 9 t Z U R p c 2 N v b n R p b n V v d X N P c G V y Y X R p b 2 5 z L D Y z f S Z x d W 9 0 O y w m c X V v d D t T Z W N 0 a W 9 u M S 9 J b m N v b W V T d G F 0 Z W 1 l b n Q v U H J v b W 9 0 Z W Q g S G V h Z G V y c y 5 7 R G V w c m V j a W F 0 a W 9 u S W 5 j b 2 1 l U 3 R h d G V t Z W 5 0 L D Y x f S Z x d W 9 0 O y w m c X V v d D t T Z W N 0 a W 9 u M S 9 J b m N v b W V T d G F 0 Z W 1 l b n Q v Q 2 h h b m d l Z C B U e X B l L n t F Y X J u a W 5 n c 0 Z y b 2 1 F c X V p d H l J b n R l c m V z d C w 3 M X 0 m c X V v d D s s J n F 1 b 3 Q 7 U 2 V j d G l v b j E v S W 5 j b 2 1 l U 3 R h d G V t Z W 5 0 L 0 N o Y W 5 n Z W Q g V H l w Z S 5 7 S W 1 w Y W l y b W V u d E 9 m Q 2 F w a X R h b E F z c 2 V 0 c y w x N X 0 m c X V v d D s s J n F 1 b 3 Q 7 U 2 V j d G l v b j E v S W 5 j b 2 1 l U 3 R h d G V t Z W 5 0 L 0 N o Y W 5 n Z W Q g V H l w Z S 5 7 U H J l Z m V y c m V k U 3 R v Y 2 t E a X Z p Z G V u Z H M s N z J 9 J n F 1 b 3 Q 7 L C Z x d W 9 0 O 1 N l Y 3 R p b 2 4 x L 0 l u Y 2 9 t Z V N 0 Y X R l b W V u d C 9 Q c m 9 t b 3 R l Z C B I Z W F k Z X J z L n t h c 0 9 m W W V h c i w 2 N X 0 m c X V v d D s s J n F 1 b 3 Q 7 U 2 V j d G l v b j E v S W 5 j b 2 1 l U 3 R h d G V t Z W 5 0 L 0 N o Y W 5 n Z W Q g V H l w Z S 5 7 Q W 1 v c n R p e m F 0 a W 9 u L D U 5 f S Z x d W 9 0 O y w m c X V v d D t T Z W N 0 a W 9 u M S 9 J b m N v b W V T d G F 0 Z W 1 l b n Q v Q 2 h h b m d l Z C B U e X B l L n t B b W 9 y d G l 6 Y X R p b 2 5 P Z k l u d G F u Z 2 l i b G V z S W 5 j b 2 1 l U 3 R h d G V t Z W 5 0 L D Y w f S Z x d W 9 0 O y w m c X V v d D t T Z W N 0 a W 9 u M S 9 J b m N v b W V T d G F 0 Z W 1 l b n Q v Q 2 h h b m d l Z C B U e X B l L n t P d G h l c l N w Z W N p Y W x D a G F y Z 2 V z L D U 2 f S Z x d W 9 0 O y w m c X V v d D t T Z W N 0 a W 9 u M S 9 J b m N v b W V T d G F 0 Z W 1 l b n Q v Q 2 h h b m d l Z C B U e X B l L n t P d G h l c l R h e G V z L D U 3 f S Z x d W 9 0 O y w m c X V v d D t T Z W N 0 a W 9 u M S 9 J b m N v b W V T d G F 0 Z W 1 l b n Q v Q 2 h h b m d l Z C B U e X B l L n t S Z X N 0 c n V j d H V y a W 5 n Q W 5 k T W V y Z 2 V y b k F j c X V p c 2 l 0 a W 9 u L D c z f S Z x d W 9 0 O y w m c X V v d D t T Z W N 0 a W 9 u M S 9 J b m N v b W V T d G F 0 Z W 1 l b n Q v Q 2 h h b m d l Z C B U e X B l L n t H Y W l u T 2 5 T Y W x l T 2 Z Q U E U s M T J 9 J n F 1 b 3 Q 7 L C Z x d W 9 0 O 1 N l Y 3 R p b 2 4 x L 0 l u Y 2 9 t Z V N 0 Y X R l b W V u d C 9 D a G F u Z 2 V k I F R 5 c G U u e 1 B y b 3 Z p c 2 l v b k Z v c k R v d W J 0 Z n V s Q W N j b 3 V u d H M s N z R 9 J n F 1 b 3 Q 7 L C Z x d W 9 0 O 1 N l Y 3 R p b 2 4 x L 0 l u Y 2 9 t Z V N 0 Y X R l b W V u d C 9 D a G F u Z 2 V k I F R 5 c G U u e 1 N h b G F y a W V z Q W 5 k V 2 F n Z X M s N T B 9 J n F 1 b 3 Q 7 L C Z x d W 9 0 O 1 N l Y 3 R p b 2 4 x L 0 l u Y 2 9 t Z V N 0 Y X R l b W V u d C 9 D a G F u Z 2 V k I F R 5 c G U u e 1 J l b n R B b m R M Y W 5 k a W 5 n R m V l c y w 3 N X 0 m c X V v d D s s J n F 1 b 3 Q 7 U 2 V j d G l v b j E v S W 5 j b 2 1 l U 3 R h d G V t Z W 5 0 L 0 N o Y W 5 n Z W Q g V H l w Z S 5 7 U m V u d E V 4 c G V u c 2 V T d X B w b G V t Z W 5 0 Y W w s M z d 9 J n F 1 b 3 Q 7 L C Z x d W 9 0 O 1 N l Y 3 R p b 2 4 x L 0 l u Y 2 9 t Z V N 0 Y X R l b W V u d C 9 D a G F u Z 2 V k I F R 5 c G U u e 1 R p Y 2 t l c i w 2 N H 0 m c X V v d D t d L C Z x d W 9 0 O 1 J l b G F 0 a W 9 u c 2 h p c E l u Z m 8 m c X V v d D s 6 W 1 1 9 I i A v P j w v U 3 R h Y m x l R W 5 0 c m l l c z 4 8 L 0 l 0 Z W 0 + P E l 0 Z W 0 + P E l 0 Z W 1 M b 2 N h d G l v b j 4 8 S X R l b V R 5 c G U + R m 9 y b X V s Y T w v S X R l b V R 5 c G U + P E l 0 Z W 1 Q Y X R o P l N l Y 3 R p b 2 4 x L 0 l u Y 2 9 t Z V N 0 Y X R l b W V u d C 9 T b 3 V y Y 2 U 8 L 0 l 0 Z W 1 Q Y X R o P j w v S X R l b U x v Y 2 F 0 a W 9 u P j x T d G F i b G V F b n R y a W V z I C 8 + P C 9 J d G V t P j x J d G V t P j x J d G V t T G 9 j Y X R p b 2 4 + P E l 0 Z W 1 U e X B l P k Z v c m 1 1 b G E 8 L 0 l 0 Z W 1 U e X B l P j x J d G V t U G F 0 a D 5 T Z W N 0 a W 9 u M S 9 J b m N v b W V T d G F 0 Z W 1 l b n Q v S W 5 j b 2 1 l U 3 R h d G V t Z W 5 0 X 1 N o Z W V 0 P C 9 J d G V t U G F 0 a D 4 8 L 0 l 0 Z W 1 M b 2 N h d G l v b j 4 8 U 3 R h Y m x l R W 5 0 c m l l c y A v P j w v S X R l b T 4 8 S X R l b T 4 8 S X R l b U x v Y 2 F 0 a W 9 u P j x J d G V t V H l w Z T 5 G b 3 J t d W x h P C 9 J d G V t V H l w Z T 4 8 S X R l b V B h d G g + U 2 V j d G l v b j E v S W 5 j b 2 1 l U 3 R h d G V t Z W 5 0 L 1 B y b 2 1 v d G V k J T I w S G V h Z G V y c z w v S X R l b V B h d G g + P C 9 J d G V t T G 9 j Y X R p b 2 4 + P F N 0 Y W J s Z U V u d H J p Z X M g L z 4 8 L 0 l 0 Z W 0 + P E l 0 Z W 0 + P E l 0 Z W 1 M b 2 N h d G l v b j 4 8 S X R l b V R 5 c G U + R m 9 y b X V s Y T w v S X R l b V R 5 c G U + P E l 0 Z W 1 Q Y X R o P l N l Y 3 R p b 2 4 x L 0 l u Y 2 9 t Z V N 0 Y X R l b W V u d C 9 D a G F u Z 2 V k J T I w V H l w Z T w v S X R l b V B h d G g + P C 9 J d G V t T G 9 j Y X R p b 2 4 + P F N 0 Y W J s Z U V u d H J p Z X M g L z 4 8 L 0 l 0 Z W 0 + P E l 0 Z W 0 + P E l 0 Z W 1 M b 2 N h d G l v b j 4 8 S X R l b V R 5 c G U + R m 9 y b X V s Y T w v S X R l b V R 5 c G U + P E l 0 Z W 1 Q Y X R o P l N l Y 3 R p b 2 4 x L 0 J h b G F u Y 2 V T a G V l d D w v S X R l b V B h d G g + P C 9 J d G V t T G 9 j Y X R p b 2 4 + P F N 0 Y W J s Z U V u d H J p Z X M + P E V u d H J 5 I F R 5 c G U 9 I k l z U H J p d m F 0 Z S I g V m F s d W U 9 I m w w I i A v P j x F b n R y e S B U e X B l P S J R d W V y e U l E I i B W Y W x 1 Z T 0 i c z Q z O D Z i N j E z L W Y 5 M 2 E t N G I 0 Y i 1 h N D M 2 L W M 3 O G U 1 N G U w M 2 I z 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F s Y W 5 j Z V N o Z W V 0 I i A v P j x F b n R y e S B U e X B l P S J G a W x s Z W R D b 2 1 w b G V 0 Z V J l c 3 V s d F R v V 2 9 y a 3 N o Z W V 0 I i B W Y W x 1 Z T 0 i b D E i I C 8 + P E V u d H J 5 I F R 5 c G U 9 I k Z p b G x F c n J v c k N v Z G U i I F Z h b H V l P S J z V W 5 r b m 9 3 b i I g L z 4 8 R W 5 0 c n k g V H l w Z T 0 i R m l s b E V y c m 9 y Q 2 9 1 b n Q i I F Z h b H V l P S J s M C I g L z 4 8 R W 5 0 c n k g V H l w Z T 0 i R m l s b E N v d W 5 0 I i B W Y W x 1 Z T 0 i b D Q 5 I i A v P j x F b n R y e S B U e X B l P S J B Z G R l Z F R v R G F 0 Y U 1 v Z G V s I i B W Y W x 1 Z T 0 i b D A i I C 8 + P E V u d H J 5 I F R 5 c G U 9 I k Z p b G x M Y X N 0 V X B k Y X R l Z C I g V m F s d W U 9 I m Q y M D I 0 L T A 5 L T E 2 V D A w O j I y O j E 3 L j c 0 M z Q 1 N j Z a I i A v P j x F b n R y e S B U e X B l P S J G a W x s Q 2 9 s d W 1 u V H l w Z X M i I F Z h b H V l P S J z Q m d r R E J n W U R B d 0 1 E Q X d N R E F 3 T U R B d 0 1 E Q X d N R E F 3 T U R B d 0 1 E Q X d N R E F 3 T U R B d 0 1 E Q X d N R E F 3 T U R B d 0 1 E Q X d N R E F 3 T U R B d 0 1 E Q X d N R E F 3 T U R B d 0 1 E Q X d N R E F 3 T U R B d 0 1 E Q X d N R E F 3 T U R B d 0 1 E Q X d N R E F 3 T U R B d 0 1 E Q X d N R E F 3 T U F B d 0 1 E Q X d B R E F 3 T U F B Q U 1 E Q X d B R E F B T U R B d 0 1 E Q X d N R E F 3 T U R B d 0 1 E Q X d N R E F 3 T U R B d 1 k 9 I i A v P j x F b n R y e S B U e X B l P S J G a W x s Q 2 9 s d W 1 u T m F t Z X M i I F Z h b H V l P S J z W y Z x d W 9 0 O 2 l k J n F 1 b 3 Q 7 L C Z x d W 9 0 O 2 F z T 2 Z E Y X R l J n F 1 b 3 Q 7 L C Z x d W 9 0 O 1 l l Y X I m c X V v d D s s J n F 1 b 3 Q 7 c G V y a W 9 k V H l w Z S Z x d W 9 0 O y w m c X V v d D t j d X J y Z W 5 j e U N v Z G U m c X V v d D s s J n F 1 b 3 Q 7 Q W N j b 3 V u d H N Q Y X l h Y m x l J n F 1 b 3 Q 7 L C Z x d W 9 0 O 0 F j Y 2 9 1 b n R z U m V j Z W l 2 Y W J s Z S Z x d W 9 0 O y w m c X V v d D t B Y 2 N 1 b X V s Y X R l Z E R l c H J l Y 2 l h d G l v b i Z x d W 9 0 O y w m c X V v d D t B Z G R p d G l v b m F s U G F p Z E l u Q 2 F w a X R h b C Z x d W 9 0 O y w m c X V v d D t B b G x v d 2 F u Y 2 V G b 3 J E b 3 V i d G Z 1 b E F j Y 2 9 1 b n R z U m V j Z W l 2 Y W J s Z S Z x d W 9 0 O y w m c X V v d D t B c 3 N l d H N I Z W x k R m 9 y U 2 F s Z U N 1 c n J l b n Q m c X V v d D s s J n F 1 b 3 Q 7 Q X Z h a W x h Y m x l R m 9 y U 2 F s Z V N l Y 3 V y a X R p Z X M m c X V v d D s s J n F 1 b 3 Q 7 Q n V p b G R p b m d z Q W 5 k S W 1 w c m 9 2 Z W 1 l b n R z J n F 1 b 3 Q 7 L C Z x d W 9 0 O 0 N h c G l 0 Y W x M Z W F z Z U 9 i b G l n Y X R p b 2 5 z J n F 1 b 3 Q 7 L C Z x d W 9 0 O 0 N h c G l 0 Y W x T d G 9 j a y Z x d W 9 0 O y w m c X V v d D t D Y X N o Q W 5 k Q 2 F z a E V x d W l 2 Y W x l b n R z J n F 1 b 3 Q 7 L C Z x d W 9 0 O 0 N h c 2 h D Y X N o R X F 1 a X Z h b G V u d H N B b m R T a G 9 y d F R l c m 1 J b n Z l c 3 R t Z W 5 0 c y Z x d W 9 0 O y w m c X V v d D t D b 2 1 t b 2 5 T d G 9 j a y Z x d W 9 0 O y w m c X V v d D t D b 2 1 t b 2 5 T d G 9 j a 0 V x d W l 0 e S Z x d W 9 0 O y w m c X V v d D t D b 2 5 z d H J 1 Y 3 R p b 2 5 J b l B y b 2 d y Z X N z J n F 1 b 3 Q 7 L C Z x d W 9 0 O 0 N 1 c n J l b n R B Y 2 N y d W V k R X h w Z W 5 z Z X M m c X V v d D s s J n F 1 b 3 Q 7 Q 3 V y c m V u d E F z c 2 V 0 c y Z x d W 9 0 O y w m c X V v d D t D d X J y Z W 5 0 Q 2 F w a X R h b E x l Y X N l T 2 J s a W d h d G l v b i Z x d W 9 0 O y w m c X V v d D t D d X J y Z W 5 0 R G V i d C Z x d W 9 0 O y w m c X V v d D t D d X J y Z W 5 0 R G V i d E F u Z E N h c G l 0 Y W x M Z W F z Z U 9 i b G l n Y X R p b 2 4 m c X V v d D s s J n F 1 b 3 Q 7 Q 3 V y c m V u d E x p Y W J p b G l 0 a W V z J n F 1 b 3 Q 7 L C Z x d W 9 0 O 0 N 1 c n J l b n R Q c m 9 2 a X N p b 2 5 z J n F 1 b 3 Q 7 L C Z x d W 9 0 O 0 d h a W 5 z T G 9 z c 2 V z T m 9 0 Q W Z m Z W N 0 a W 5 n U m V 0 Y W l u Z W R F Y X J u a W 5 n c y Z x d W 9 0 O y w m c X V v d D t H b 2 9 k d 2 l s b C Z x d W 9 0 O y w m c X V v d D t H b 2 9 k d 2 l s b E F u Z E 9 0 a G V y S W 5 0 Y W 5 n a W J s Z U F z c 2 V 0 c y Z x d W 9 0 O y w m c X V v d D t H c m 9 z c 0 F j Y 2 9 1 b n R z U m V j Z W l 2 Y W J s Z S Z x d W 9 0 O y w m c X V v d D t H c m 9 z c 1 B Q R S Z x d W 9 0 O y w m c X V v d D t I Z W x k V G 9 N Y X R 1 c m l 0 e V N l Y 3 V y a X R p Z X M m c X V v d D s s J n F 1 b 3 Q 7 S W 5 j b 2 1 l V G F 4 U G F 5 Y W J s Z S Z x d W 9 0 O y w m c X V v d D t J b n R l c m V z d F B h e W F i b G U m c X V v d D s s J n F 1 b 3 Q 7 S W 5 2 Z X N 0 Z W R D Y X B p d G F s J n F 1 b 3 Q 7 L C Z x d W 9 0 O 0 l u d m V z d G 1 l b n R p b k Z p b m F u Y 2 l h b E F z c 2 V 0 c y Z x d W 9 0 O y w m c X V v d D t J b n Z l c 3 R t Z W 5 0 c 0 F u Z E F k d m F u Y 2 V z J n F 1 b 3 Q 7 L C Z x d W 9 0 O 0 x h b m R B b m R J b X B y b 3 Z l b W V u d H M m c X V v d D s s J n F 1 b 3 Q 7 T G V h c 2 V z J n F 1 b 3 Q 7 L C Z x d W 9 0 O 0 x v b m d U Z X J t Q 2 F w a X R h b E x l Y X N l T 2 J s a W d h d G l v b i Z x d W 9 0 O y w m c X V v d D t M b 2 5 n V G V y b U R l Y n Q m c X V v d D s s J n F 1 b 3 Q 7 T G 9 u Z 1 R l c m 1 E Z W J 0 Q W 5 k Q 2 F w a X R h b E x l Y X N l T 2 J s a W d h d G l v b i Z x d W 9 0 O y w m c X V v d D t M b 2 5 n V G V y b U V x d W l 0 e U l u d m V z d G 1 l b n Q m c X V v d D s s J n F 1 b 3 Q 7 T G 9 u Z 1 R l c m 1 Q c m 9 2 a X N p b 2 5 z J n F 1 b 3 Q 7 L C Z x d W 9 0 O 0 1 h Y 2 h p b m V y e U Z 1 c m 5 p d H V y Z U V x d W l w b W V u d C Z x d W 9 0 O y w m c X V v d D t N a W 5 v c m l 0 e U l u d G V y Z X N 0 J n F 1 b 3 Q 7 L C Z x d W 9 0 O 0 5 l d E R l Y n Q m c X V v d D s s J n F 1 b 3 Q 7 T m V 0 U F B F J n F 1 b 3 Q 7 L C Z x d W 9 0 O 0 5 l d F R h b m d p Y m x l Q X N z Z X R z J n F 1 b 3 Q 7 L C Z x d W 9 0 O 0 5 v b k N 1 c n J l b n R E Z W Z l c n J l Z E x p Y W J p b G l 0 a W V z J n F 1 b 3 Q 7 L C Z x d W 9 0 O 0 5 v b k N 1 c n J l b n R E Z W Z l c n J l Z F R h e G V z T G l h Y m l s a X R p Z X M m c X V v d D s s J n F 1 b 3 Q 7 T m 9 u Q 3 V y c m V u d E 5 v d G V S Z W N l a X Z h Y m x l c y Z x d W 9 0 O y w m c X V v d D t P c m R p b m F y e V N o Y X J l c 0 5 1 b W J l c i Z x d W 9 0 O y w m c X V v d D t P d G h l c k N 1 c n J l b n R B c 3 N l d H M m c X V v d D s s J n F 1 b 3 Q 7 T 3 R o Z X J D d X J y Z W 5 0 Q m 9 y c m 9 3 a W 5 n c y Z x d W 9 0 O y w m c X V v d D t P d G h l c k N 1 c n J l b n R M a W F i a W x p d G l l c y Z x d W 9 0 O y w m c X V v d D t P d G h l c k V x d W l 0 e U F k a n V z d G 1 l b n R z J n F 1 b 3 Q 7 L C Z x d W 9 0 O 0 9 0 a G V y S W 5 0 Y W 5 n a W J s Z U F z c 2 V 0 c y Z x d W 9 0 O y w m c X V v d D t P d G h l c k 5 v b k N 1 c n J l b n R B c 3 N l d H M m c X V v d D s s J n F 1 b 3 Q 7 T 3 R o Z X J O b 2 5 D d X J y Z W 5 0 T G l h Y m l s a X R p Z X M m c X V v d D s s J n F 1 b 3 Q 7 T 3 R o Z X J Q Y X l h Y m x l J n F 1 b 3 Q 7 L C Z x d W 9 0 O 0 9 0 a G V y U H J v c G V y d G l l c y Z x d W 9 0 O y w m c X V v d D t P d G h l c l J l Y 2 V p d m F i b G V z J n F 1 b 3 Q 7 L C Z x d W 9 0 O 0 9 0 a G V y U 2 h v c n R U Z X J t S W 5 2 Z X N 0 b W V u d H M m c X V v d D s s J n F 1 b 3 Q 7 U G F 5 Y W J s Z X M m c X V v d D s s J n F 1 b 3 Q 7 U G F 5 Y W J s Z X N B b m R B Y 2 N y d W V k R X h w Z W 5 z Z X M m c X V v d D s s J n F 1 b 3 Q 7 U G V u c 2 l v b m F u Z E 9 0 a G V y U G 9 z d F J l d G l y Z W 1 l b n R C Z W 5 l Z m l 0 U G x h b n N D d X J y Z W 5 0 J n F 1 b 3 Q 7 L C Z x d W 9 0 O 1 B y Z W Z l c n J l Z F N l Y 3 V y a X R p Z X N P d X R z a W R l U 3 R v Y 2 t F c X V p d H k m c X V v d D s s J n F 1 b 3 Q 7 U H J l c G F p Z E F z c 2 V 0 c y Z x d W 9 0 O y w m c X V v d D t Q c m 9 w Z X J 0 a W V z J n F 1 b 3 Q 7 L C Z x d W 9 0 O 1 J l Y 2 V p d m F i b G V z J n F 1 b 3 Q 7 L C Z x d W 9 0 O 1 J l c 3 R y a W N 0 Z W R D Y X N o J n F 1 b 3 Q 7 L C Z x d W 9 0 O 1 J l d G F p b m V k R W F y b m l u Z 3 M m c X V v d D s s J n F 1 b 3 Q 7 U 2 h h c m V J c 3 N 1 Z W Q m c X V v d D s s J n F 1 b 3 Q 7 U 3 R v Y 2 t o b 2 x k Z X J z R X F 1 a X R 5 J n F 1 b 3 Q 7 L C Z x d W 9 0 O 1 R h b m d p Y m x l Q m 9 v a 1 Z h b H V l J n F 1 b 3 Q 7 L C Z x d W 9 0 O 1 R v d G F s Q X N z Z X R z J n F 1 b 3 Q 7 L C Z x d W 9 0 O 1 R v d G F s Q 2 F w a X R h b G l 6 Y X R p b 2 4 m c X V v d D s s J n F 1 b 3 Q 7 V G 9 0 Y W x E Z W J 0 J n F 1 b 3 Q 7 L C Z x d W 9 0 O 1 R v d G F s R X F 1 a X R 5 R 3 J v c 3 N N a W 5 v c m l 0 e U l u d G V y Z X N 0 J n F 1 b 3 Q 7 L C Z x d W 9 0 O 1 R v d G F s T G l h Y m l s a X R p Z X N O Z X R N a W 5 v c m l 0 e U l u d G V y Z X N 0 J n F 1 b 3 Q 7 L C Z x d W 9 0 O 1 R v d G F s T m 9 u Q 3 V y c m V u d E F z c 2 V 0 c y Z x d W 9 0 O y w m c X V v d D t U b 3 R h b E 5 v b k N 1 c n J l b n R M a W F i a W x p d G l l c 0 5 l d E 1 p b m 9 y a X R 5 S W 5 0 Z X J l c 3 Q m c X V v d D s s J n F 1 b 3 Q 7 V G 9 0 Y W x U Y X h Q Y X l h Y m x l J n F 1 b 3 Q 7 L C Z x d W 9 0 O 1 R y Y W R l Y W 5 k T 3 R o Z X J Q Y X l h Y m x l c 0 5 v b k N 1 c n J l b n Q m c X V v d D s s J n F 1 b 3 Q 7 V 2 9 y a 2 l u Z 0 N h c G l 0 Y W w m c X V v d D s s J n F 1 b 3 Q 7 Q 3 V y c m V u d E R l Z m V y c m V k T G l h Y m l s a X R p Z X M m c X V v d D s s J n F 1 b 3 Q 7 Q 3 V y c m V u d E R l Z m V y c m V k U m V 2 Z W 5 1 Z S Z x d W 9 0 O y w m c X V v d D t F b X B s b 3 l l Z U J l b m V m a X R z J n F 1 b 3 Q 7 L C Z x d W 9 0 O 0 Z p b m l z a G V k R 2 9 v Z H M m c X V v d D s s J n F 1 b 3 Q 7 S W 5 2 Z W 5 0 b 3 J 5 J n F 1 b 3 Q 7 L C Z x d W 9 0 O 0 5 v b k N 1 c n J l b n R E Z W Z l c n J l Z E F z c 2 V 0 c y Z x d W 9 0 O y w m c X V v d D t O b 2 5 D d X J y Z W 5 0 R G V m Z X J y Z W R U Y X h l c 0 F z c 2 V 0 c y Z x d W 9 0 O y w m c X V v d D t O b 2 5 D d X J y Z W 5 0 U G V u c 2 l v b k F u Z E 9 0 a G V y U G 9 z d H J l d G l y Z W 1 l b n R C Z W 5 l Z m l 0 U G x h b n M m c X V v d D s s J n F 1 b 3 Q 7 T G 9 h b n N S Z W N l a X Z h Y m x l J n F 1 b 3 Q 7 L C Z x d W 9 0 O 1 J h d 0 1 h d G V y a W F s c y Z x d W 9 0 O y w m c X V v d D t X b 3 J r S W 5 Q c m 9 j Z X N z J n F 1 b 3 Q 7 L C Z x d W 9 0 O 0 N h c 2 h F c X V p d m F s Z W 5 0 c y Z x d W 9 0 O y w m c X V v d D t D Y X N o R m l u Y W 5 j a W F s J n F 1 b 3 Q 7 L C Z x d W 9 0 O 1 R y Y W R p b m d T Z W N 1 c m l 0 a W V z J n F 1 b 3 Q 7 L C Z x d W 9 0 O 0 h l Z G d p b m d B c 3 N l d H N D d X J y Z W 5 0 J n F 1 b 3 Q 7 L C Z x d W 9 0 O 0 5 v b k N 1 c n J l b n R E Z W Z l c n J l Z F J l d m V u d W U m c X V v d D s s J n F 1 b 3 Q 7 Q 2 9 t b W V y Y 2 l h b F B h c G V y J n F 1 b 3 Q 7 L C Z x d W 9 0 O 0 F j Y 3 J 1 Z W R J b n R l c m V z d F J l Y 2 V p d m F i b G U m c X V v d D s s J n F 1 b 3 Q 7 R H V l Z n J v b V J l b G F 0 Z W R Q Y X J 0 a W V z Q 3 V y c m V u d C Z x d W 9 0 O y w m c X V v d D t D d X J y Z W 5 0 T m 9 0 Z X N Q Y X l h Y m x l J n F 1 b 3 Q 7 L C Z x d W 9 0 O 0 R p d m l k Z W 5 k c 1 B h e W F i b G U m c X V v d D s s J n F 1 b 3 Q 7 R m 9 y Z W l n b k N 1 c n J l b m N 5 V H J h b n N s Y X R p b 2 5 B Z G p 1 c 3 R t Z W 5 0 c y Z x d W 9 0 O y w m c X V v d D t S Z W N l a X Z h Y m x l c 0 F k a n V z d G 1 l b n R z Q W x s b 3 d h b m N l c y Z x d W 9 0 O y w m c X V v d D t J b n Z l c 3 R t Z W 5 0 c 2 l u Q X N z b 2 N p Y X R l c 2 F 0 Q 2 9 z d C Z x d W 9 0 O y w m c X V v d D t h c 0 9 m W W V h c i Z x d W 9 0 O y w m c X V v d D t M a W 5 l T 2 Z D c m V k a X Q m c X V v d D s s J n F 1 b 3 Q 7 T W l u a W 1 1 b V B l b n N p b 2 5 M a W F i a W x p d G l l c y Z x d W 9 0 O y w m c X V v d D t Q c m V m Z X J y Z W R T a G F y Z X N O d W 1 i Z X I m c X V v d D s s J n F 1 b 3 Q 7 U H J l Z m V y c m V k U 3 R v Y 2 s m c X V v d D s s J n F 1 b 3 Q 7 V H J l Y X N 1 c n l T a G F y Z X N O d W 1 i Z X I m c X V v d D s s J n F 1 b 3 Q 7 V H J l Y X N 1 c n l T d G 9 j a y Z x d W 9 0 O y w m c X V v d D t V b n J l Y W x p e m V k R 2 F p b k x v c 3 M m c X V v d D s s J n F 1 b 3 Q 7 R G V m a W 5 l Z F B l b n N p b 2 5 C Z W 5 l Z m l 0 J n F 1 b 3 Q 7 L C Z x d W 9 0 O 0 5 v b k N 1 c n J l b n R B Y 2 N v d W 5 0 c 1 J l Y 2 V p d m F i b G U m c X V v d D s s J n F 1 b 3 Q 7 T 3 R o Z X J J b n Z l b n R v c m l l c y Z x d W 9 0 O y w m c X V v d D t P d G h l c k l u d m V z d G 1 l b n R z J n F 1 b 3 Q 7 L C Z x d W 9 0 O 1 R h e G V z U m V j Z W l 2 Y W J s Z S Z x d W 9 0 O y w m c X V v d D t D d X J y Z W 5 0 R G V m Z X J y Z W R B c 3 N l d H M m c X V v d D s s J n F 1 b 3 Q 7 R G V y a X Z h d G l 2 Z V B y b 2 R 1 Y 3 R M a W F i a W x p d G l l c y Z x d W 9 0 O y w m c X V v d D t G a W 5 h b m N p Y W x B c 3 N l d H M m c X V v d D s s J n F 1 b 3 Q 7 S W 5 2 Z X N 0 b W V u d H N J b k 9 0 a G V y V m V u d H V y Z X N V b m R l c k V x d W l 0 e U 1 l d G h v Z C Z x d W 9 0 O y w m c X V v d D t M a W F i a W x p d G l l c 0 h l b G R m b 3 J T Y W x l T m 9 u Q 3 V y c m V u d C Z x d W 9 0 O y w m c X V v d D t O b 2 5 D d X J y Z W 5 0 Q W N j c n V l Z E V 4 c G V u c 2 V z J n F 1 b 3 Q 7 L C Z x d W 9 0 O 0 5 v b k N 1 c n J l b n R Q c m V w Y W l k Q X N z Z X R z J n F 1 b 3 Q 7 L C Z x d W 9 0 O 0 9 0 a G V y R X F 1 a X R 5 S W 5 0 Z X J l c 3 Q m c X V v d D s s J n F 1 b 3 Q 7 S W 5 2 Z W 5 0 b 3 J p Z X N B Z G p 1 c 3 R t Z W 5 0 c 0 F s b G 9 3 Y W 5 j Z X M m c X V v d D s s J n F 1 b 3 Q 7 V G l j a 2 V y J n F 1 b 3 Q 7 X S I g L z 4 8 R W 5 0 c n k g V H l w Z T 0 i R m l s b F N 0 Y X R 1 c y I g V m F s d W U 9 I n N D b 2 1 w b G V 0 Z S I g L z 4 8 R W 5 0 c n k g V H l w Z T 0 i U m V s Y X R p b 2 5 z a G l w S W 5 m b 0 N v b n R h a W 5 l c i I g V m F s d W U 9 I n N 7 J n F 1 b 3 Q 7 Y 2 9 s d W 1 u Q 2 9 1 b n Q m c X V v d D s 6 M T M 0 L C Z x d W 9 0 O 2 t l e U N v b H V t b k 5 h b W V z J n F 1 b 3 Q 7 O l t d L C Z x d W 9 0 O 3 F 1 Z X J 5 U m V s Y X R p b 2 5 z a G l w c y Z x d W 9 0 O z p b X S w m c X V v d D t j b 2 x 1 b W 5 J Z G V u d G l 0 a W V z J n F 1 b 3 Q 7 O l s m c X V v d D t T Z W N 0 a W 9 u M S 9 C Y W x h b m N l U 2 h l Z X Q v Q 2 h h b m d l Z C B U e X B l L n t p Z C w w f S Z x d W 9 0 O y w m c X V v d D t T Z W N 0 a W 9 u M S 9 C Y W x h b m N l U 2 h l Z X Q v Q 2 h h b m d l Z C B U e X B l L n t h c 0 9 m R G F 0 Z S w x f S Z x d W 9 0 O y w m c X V v d D t T Z W N 0 a W 9 u M S 9 C Y W x h b m N l U 2 h l Z X Q v S W 5 z Z X J 0 Z W Q g W W V h c i 5 7 W W V h c i w x M z N 9 J n F 1 b 3 Q 7 L C Z x d W 9 0 O 1 N l Y 3 R p b 2 4 x L 0 J h b G F u Y 2 V T a G V l d C 9 D a G F u Z 2 V k I F R 5 c G U u e 3 B l c m l v Z F R 5 c G U s M n 0 m c X V v d D s s J n F 1 b 3 Q 7 U 2 V j d G l v b j E v Q m F s Y W 5 j Z V N o Z W V 0 L 0 N o Y W 5 n Z W Q g V H l w Z S 5 7 Y 3 V y c m V u Y 3 l D b 2 R l L D N 9 J n F 1 b 3 Q 7 L C Z x d W 9 0 O 1 N l Y 3 R p b 2 4 x L 0 J h b G F u Y 2 V T a G V l d C 9 D a G F u Z 2 V k I F R 5 c G U u e 0 F j Y 2 9 1 b n R z U G F 5 Y W J s Z S w 0 f S Z x d W 9 0 O y w m c X V v d D t T Z W N 0 a W 9 u M S 9 C Y W x h b m N l U 2 h l Z X Q v Q 2 h h b m d l Z C B U e X B l L n t B Y 2 N v d W 5 0 c 1 J l Y 2 V p d m F i b G U s N X 0 m c X V v d D s s J n F 1 b 3 Q 7 U 2 V j d G l v b j E v Q m F s Y W 5 j Z V N o Z W V 0 L 0 N o Y W 5 n Z W Q g V H l w Z S 5 7 Q W N j d W 1 1 b G F 0 Z W R E Z X B y Z W N p Y X R p b 2 4 s N n 0 m c X V v d D s s J n F 1 b 3 Q 7 U 2 V j d G l v b j E v Q m F s Y W 5 j Z V N o Z W V 0 L 0 N o Y W 5 n Z W Q g V H l w Z S 5 7 Q W R k a X R p b 2 5 h b F B h a W R J b k N h c G l 0 Y W w s N 3 0 m c X V v d D s s J n F 1 b 3 Q 7 U 2 V j d G l v b j E v Q m F s Y W 5 j Z V N o Z W V 0 L 0 N o Y W 5 n Z W Q g V H l w Z S 5 7 Q W x s b 3 d h b m N l R m 9 y R G 9 1 Y n R m d W x B Y 2 N v d W 5 0 c 1 J l Y 2 V p d m F i b G U s O H 0 m c X V v d D s s J n F 1 b 3 Q 7 U 2 V j d G l v b j E v Q m F s Y W 5 j Z V N o Z W V 0 L 0 N o Y W 5 n Z W Q g V H l w Z S 5 7 Q X N z Z X R z S G V s Z E Z v c l N h b G V D d X J y Z W 5 0 L D k z f S Z x d W 9 0 O y w m c X V v d D t T Z W N 0 a W 9 u M S 9 C Y W x h b m N l U 2 h l Z X Q v Q 2 h h b m d l Z C B U e X B l L n t B d m F p b G F i b G V G b 3 J T Y W x l U 2 V j d X J p d G l l c y w x M T J 9 J n F 1 b 3 Q 7 L C Z x d W 9 0 O 1 N l Y 3 R p b 2 4 x L 0 J h b G F u Y 2 V T a G V l d C 9 D a G F u Z 2 V k I F R 5 c G U u e 0 J 1 a W x k a W 5 n c 0 F u Z E l t c H J v d m V t Z W 5 0 c y w 5 N H 0 m c X V v d D s s J n F 1 b 3 Q 7 U 2 V j d G l v b j E v Q m F s Y W 5 j Z V N o Z W V 0 L 0 N o Y W 5 n Z W Q g V H l w Z S 5 7 Q 2 F w a X R h b E x l Y X N l T 2 J s a W d h d G l v b n M s O X 0 m c X V v d D s s J n F 1 b 3 Q 7 U 2 V j d G l v b j E v Q m F s Y W 5 j Z V N o Z W V 0 L 0 N o Y W 5 n Z W Q g V H l w Z S 5 7 Q 2 F w a X R h b F N 0 b 2 N r L D E w f S Z x d W 9 0 O y w m c X V v d D t T Z W N 0 a W 9 u M S 9 C Y W x h b m N l U 2 h l Z X Q v Q 2 h h b m d l Z C B U e X B l L n t D Y X N o Q W 5 k Q 2 F z a E V x d W l 2 Y W x l b n R z L D E x f S Z x d W 9 0 O y w m c X V v d D t T Z W N 0 a W 9 u M S 9 C Y W x h b m N l U 2 h l Z X Q v Q 2 h h b m d l Z C B U e X B l L n t D Y X N o Q 2 F z a E V x d W l 2 Y W x l b n R z Q W 5 k U 2 h v c n R U Z X J t S W 5 2 Z X N 0 b W V u d H M s M T J 9 J n F 1 b 3 Q 7 L C Z x d W 9 0 O 1 N l Y 3 R p b 2 4 x L 0 J h b G F u Y 2 V T a G V l d C 9 D a G F u Z 2 V k I F R 5 c G U u e 0 N v b W 1 v b l N 0 b 2 N r L D E 1 f S Z x d W 9 0 O y w m c X V v d D t T Z W N 0 a W 9 u M S 9 C Y W x h b m N l U 2 h l Z X Q v Q 2 h h b m d l Z C B U e X B l L n t D b 2 1 t b 2 5 T d G 9 j a 0 V x d W l 0 e S w x N n 0 m c X V v d D s s J n F 1 b 3 Q 7 U 2 V j d G l v b j E v Q m F s Y W 5 j Z V N o Z W V 0 L 0 N o Y W 5 n Z W Q g V H l w Z S 5 7 Q 2 9 u c 3 R y d W N 0 a W 9 u S W 5 Q c m 9 n c m V z c y w x N 3 0 m c X V v d D s s J n F 1 b 3 Q 7 U 2 V j d G l v b j E v Q m F s Y W 5 j Z V N o Z W V 0 L 0 N o Y W 5 n Z W Q g V H l w Z S 5 7 Q 3 V y c m V u d E F j Y 3 J 1 Z W R F e H B l b n N l c y w x O H 0 m c X V v d D s s J n F 1 b 3 Q 7 U 2 V j d G l v b j E v Q m F s Y W 5 j Z V N o Z W V 0 L 0 N o Y W 5 n Z W Q g V H l w Z S 5 7 Q 3 V y c m V u d E F z c 2 V 0 c y w x O X 0 m c X V v d D s s J n F 1 b 3 Q 7 U 2 V j d G l v b j E v Q m F s Y W 5 j Z V N o Z W V 0 L 0 N o Y W 5 n Z W Q g V H l w Z S 5 7 Q 3 V y c m V u d E N h c G l 0 Y W x M Z W F z Z U 9 i b G l n Y X R p b 2 4 s M j B 9 J n F 1 b 3 Q 7 L C Z x d W 9 0 O 1 N l Y 3 R p b 2 4 x L 0 J h b G F u Y 2 V T a G V l d C 9 D a G F u Z 2 V k I F R 5 c G U u e 0 N 1 c n J l b n R E Z W J 0 L D g 0 f S Z x d W 9 0 O y w m c X V v d D t T Z W N 0 a W 9 u M S 9 C Y W x h b m N l U 2 h l Z X Q v Q 2 h h b m d l Z C B U e X B l L n t D d X J y Z W 5 0 R G V i d E F u Z E N h c G l 0 Y W x M Z W F z Z U 9 i b G l n Y X R p b 2 4 s M j F 9 J n F 1 b 3 Q 7 L C Z x d W 9 0 O 1 N l Y 3 R p b 2 4 x L 0 J h b G F u Y 2 V T a G V l d C 9 D a G F u Z 2 V k I F R 5 c G U u e 0 N 1 c n J l b n R M a W F i a W x p d G l l c y w y N H 0 m c X V v d D s s J n F 1 b 3 Q 7 U 2 V j d G l v b j E v Q m F s Y W 5 j Z V N o Z W V 0 L 0 N o Y W 5 n Z W Q g V H l w Z S 5 7 Q 3 V y c m V u d F B y b 3 Z p c 2 l v b n M s M j V 9 J n F 1 b 3 Q 7 L C Z x d W 9 0 O 1 N l Y 3 R p b 2 4 x L 0 J h b G F u Y 2 V T a G V l d C 9 D a G F u Z 2 V k I F R 5 c G U u e 0 d h a W 5 z T G 9 z c 2 V z T m 9 0 Q W Z m Z W N 0 a W 5 n U m V 0 Y W l u Z W R F Y X J u a W 5 n c y w y N 3 0 m c X V v d D s s J n F 1 b 3 Q 7 U 2 V j d G l v b j E v Q m F s Y W 5 j Z V N o Z W V 0 L 0 N o Y W 5 n Z W Q g V H l w Z S 5 7 R 2 9 v Z H d p b G w s M j h 9 J n F 1 b 3 Q 7 L C Z x d W 9 0 O 1 N l Y 3 R p b 2 4 x L 0 J h b G F u Y 2 V T a G V l d C 9 D a G F u Z 2 V k I F R 5 c G U u e 0 d v b 2 R 3 a W x s Q W 5 k T 3 R o Z X J J b n R h b m d p Y m x l Q X N z Z X R z L D I 5 f S Z x d W 9 0 O y w m c X V v d D t T Z W N 0 a W 9 u M S 9 C Y W x h b m N l U 2 h l Z X Q v Q 2 h h b m d l Z C B U e X B l L n t H c m 9 z c 0 F j Y 2 9 1 b n R z U m V j Z W l 2 Y W J s Z S w z M H 0 m c X V v d D s s J n F 1 b 3 Q 7 U 2 V j d G l v b j E v Q m F s Y W 5 j Z V N o Z W V 0 L 0 N o Y W 5 n Z W Q g V H l w Z S 5 7 R 3 J v c 3 N Q U E U s M z F 9 J n F 1 b 3 Q 7 L C Z x d W 9 0 O 1 N l Y 3 R p b 2 4 x L 0 J h b G F u Y 2 V T a G V l d C 9 D a G F u Z 2 V k I F R 5 c G U u e 0 h l b G R U b 0 1 h d H V y a X R 5 U 2 V j d X J p d G l l c y w x M T N 9 J n F 1 b 3 Q 7 L C Z x d W 9 0 O 1 N l Y 3 R p b 2 4 x L 0 J h b G F u Y 2 V T a G V l d C 9 D a G F u Z 2 V k I F R 5 c G U u e 0 l u Y 2 9 t Z V R h e F B h e W F i b G U s M z J 9 J n F 1 b 3 Q 7 L C Z x d W 9 0 O 1 N l Y 3 R p b 2 4 x L 0 J h b G F u Y 2 V T a G V l d C 9 D a G F u Z 2 V k I F R 5 c G U u e 0 l u d G V y Z X N 0 U G F 5 Y W J s Z S w x M D Z 9 J n F 1 b 3 Q 7 L C Z x d W 9 0 O 1 N l Y 3 R p b 2 4 x L 0 J h b G F u Y 2 V T a G V l d C 9 D a G F u Z 2 V k I F R 5 c G U u e 0 l u d m V z d G V k Q 2 F w a X R h b C w z N X 0 m c X V v d D s s J n F 1 b 3 Q 7 U 2 V j d G l v b j E v Q m F s Y W 5 j Z V N o Z W V 0 L 0 N o Y W 5 n Z W Q g V H l w Z S 5 7 S W 5 2 Z X N 0 b W V u d G l u R m l u Y W 5 j a W F s Q X N z Z X R z L D k 5 f S Z x d W 9 0 O y w m c X V v d D t T Z W N 0 a W 9 u M S 9 C Y W x h b m N l U 2 h l Z X Q v Q 2 h h b m d l Z C B U e X B l L n t J b n Z l c 3 R t Z W 5 0 c 0 F u Z E F k d m F u Y 2 V z L D c 4 f S Z x d W 9 0 O y w m c X V v d D t T Z W N 0 a W 9 u M S 9 C Y W x h b m N l U 2 h l Z X Q v Q 2 h h b m d l Z C B U e X B l L n t M Y W 5 k Q W 5 k S W 1 w c m 9 2 Z W 1 l b n R z L D M 2 f S Z x d W 9 0 O y w m c X V v d D t T Z W N 0 a W 9 u M S 9 C Y W x h b m N l U 2 h l Z X Q v Q 2 h h b m d l Z C B U e X B l L n t M Z W F z Z X M s M z d 9 J n F 1 b 3 Q 7 L C Z x d W 9 0 O 1 N l Y 3 R p b 2 4 x L 0 J h b G F u Y 2 V T a G V l d C 9 D a G F u Z 2 V k I F R 5 c G U u e 0 x v b m d U Z X J t Q 2 F w a X R h b E x l Y X N l T 2 J s a W d h d G l v b i w z O H 0 m c X V v d D s s J n F 1 b 3 Q 7 U 2 V j d G l v b j E v Q m F s Y W 5 j Z V N o Z W V 0 L 0 N o Y W 5 n Z W Q g V H l w Z S 5 7 T G 9 u Z 1 R l c m 1 E Z W J 0 L D g 2 f S Z x d W 9 0 O y w m c X V v d D t T Z W N 0 a W 9 u M S 9 C Y W x h b m N l U 2 h l Z X Q v Q 2 h h b m d l Z C B U e X B l L n t M b 2 5 n V G V y b U R l Y n R B b m R D Y X B p d G F s T G V h c 2 V P Y m x p Z 2 F 0 a W 9 u L D M 5 f S Z x d W 9 0 O y w m c X V v d D t T Z W N 0 a W 9 u M S 9 C Y W x h b m N l U 2 h l Z X Q v Q 2 h h b m d l Z C B U e X B l L n t M b 2 5 n V G V y b U V x d W l 0 e U l u d m V z d G 1 l b n Q s M T E 0 f S Z x d W 9 0 O y w m c X V v d D t T Z W N 0 a W 9 u M S 9 C Y W x h b m N l U 2 h l Z X Q v Q 2 h h b m d l Z C B U e X B l L n t M b 2 5 n V G V y b V B y b 3 Z p c 2 l v b n M s N D B 9 J n F 1 b 3 Q 7 L C Z x d W 9 0 O 1 N l Y 3 R p b 2 4 x L 0 J h b G F u Y 2 V T a G V l d C 9 D a G F u Z 2 V k I F R 5 c G U u e 0 1 h Y 2 h p b m V y e U Z 1 c m 5 p d H V y Z U V x d W l w b W V u d C w 0 M X 0 m c X V v d D s s J n F 1 b 3 Q 7 U 2 V j d G l v b j E v Q m F s Y W 5 j Z V N o Z W V 0 L 0 N o Y W 5 n Z W Q g V H l w Z S 5 7 T W l u b 3 J p d H l J b n R l c m V z d C w 5 N n 0 m c X V v d D s s J n F 1 b 3 Q 7 U 2 V j d G l v b j E v Q m F s Y W 5 j Z V N o Z W V 0 L 0 N o Y W 5 n Z W Q g V H l w Z S 5 7 T m V 0 R G V i d C w 4 N 3 0 m c X V v d D s s J n F 1 b 3 Q 7 U 2 V j d G l v b j E v Q m F s Y W 5 j Z V N o Z W V 0 L 0 N o Y W 5 n Z W Q g V H l w Z S 5 7 T m V 0 U F B F L D Q y f S Z x d W 9 0 O y w m c X V v d D t T Z W N 0 a W 9 u M S 9 C Y W x h b m N l U 2 h l Z X Q v Q 2 h h b m d l Z C B U e X B l L n t O Z X R U Y W 5 n a W J s Z U F z c 2 V 0 c y w 0 M 3 0 m c X V v d D s s J n F 1 b 3 Q 7 U 2 V j d G l v b j E v Q m F s Y W 5 j Z V N o Z W V 0 L 0 N o Y W 5 n Z W Q g V H l w Z S 5 7 T m 9 u Q 3 V y c m V u d E R l Z m V y c m V k T G l h Y m l s a X R p Z X M s N D V 9 J n F 1 b 3 Q 7 L C Z x d W 9 0 O 1 N l Y 3 R p b 2 4 x L 0 J h b G F u Y 2 V T a G V l d C 9 D a G F u Z 2 V k I F R 5 c G U u e 0 5 v b k N 1 c n J l b n R E Z W Z l c n J l Z F R h e G V z T G l h Y m l s a X R p Z X M s N D h 9 J n F 1 b 3 Q 7 L C Z x d W 9 0 O 1 N l Y 3 R p b 2 4 x L 0 J h b G F u Y 2 V T a G V l d C 9 D a G F u Z 2 V k I F R 5 c G U u e 0 5 v b k N 1 c n J l b n R O b 3 R l U m V j Z W l 2 Y W J s Z X M s O T d 9 J n F 1 b 3 Q 7 L C Z x d W 9 0 O 1 N l Y 3 R p b 2 4 x L 0 J h b G F u Y 2 V T a G V l d C 9 D a G F u Z 2 V k I F R 5 c G U u e 0 9 y Z G l u Y X J 5 U 2 h h c m V z T n V t Y m V y L D Q 5 f S Z x d W 9 0 O y w m c X V v d D t T Z W N 0 a W 9 u M S 9 C Y W x h b m N l U 2 h l Z X Q v Q 2 h h b m d l Z C B U e X B l L n t P d G h l c k N 1 c n J l b n R B c 3 N l d H M s N T B 9 J n F 1 b 3 Q 7 L C Z x d W 9 0 O 1 N l Y 3 R p b 2 4 x L 0 J h b G F u Y 2 V T a G V l d C 9 D a G F u Z 2 V k I F R 5 c G U u e 0 9 0 a G V y Q 3 V y c m V u d E J v c n J v d 2 l u Z 3 M s O D l 9 J n F 1 b 3 Q 7 L C Z x d W 9 0 O 1 N l Y 3 R p b 2 4 x L 0 J h b G F u Y 2 V T a G V l d C 9 D a G F u Z 2 V k I F R 5 c G U u e 0 9 0 a G V y Q 3 V y c m V u d E x p Y W J p b G l 0 a W V z L D U x f S Z x d W 9 0 O y w m c X V v d D t T Z W N 0 a W 9 u M S 9 C Y W x h b m N l U 2 h l Z X Q v Q 2 h h b m d l Z C B U e X B l L n t P d G h l c k V x d W l 0 e U F k a n V z d G 1 l b n R z L D U y f S Z x d W 9 0 O y w m c X V v d D t T Z W N 0 a W 9 u M S 9 C Y W x h b m N l U 2 h l Z X Q v Q 2 h h b m d l Z C B U e X B l L n t P d G h l c k l u d G F u Z 2 l i b G V B c 3 N l d H M s N T N 9 J n F 1 b 3 Q 7 L C Z x d W 9 0 O 1 N l Y 3 R p b 2 4 x L 0 J h b G F u Y 2 V T a G V l d C 9 D a G F u Z 2 V k I F R 5 c G U u e 0 9 0 a G V y T m 9 u Q 3 V y c m V u d E F z c 2 V 0 c y w 1 N H 0 m c X V v d D s s J n F 1 b 3 Q 7 U 2 V j d G l v b j E v Q m F s Y W 5 j Z V N o Z W V 0 L 0 N o Y W 5 n Z W Q g V H l w Z S 5 7 T 3 R o Z X J O b 2 5 D d X J y Z W 5 0 T G l h Y m l s a X R p Z X M s N T V 9 J n F 1 b 3 Q 7 L C Z x d W 9 0 O 1 N l Y 3 R p b 2 4 x L 0 J h b G F u Y 2 V T a G V l d C 9 D a G F u Z 2 V k I F R 5 c G U u e 0 9 0 a G V y U G F 5 Y W J s Z S w x M D h 9 J n F 1 b 3 Q 7 L C Z x d W 9 0 O 1 N l Y 3 R p b 2 4 x L 0 J h b G F u Y 2 V T a G V l d C 9 D a G F u Z 2 V k I F R 5 c G U u e 0 9 0 a G V y U H J v c G V y d G l l c y w 1 N n 0 m c X V v d D s s J n F 1 b 3 Q 7 U 2 V j d G l v b j E v Q m F s Y W 5 j Z V N o Z W V 0 L 0 N o Y W 5 n Z W Q g V H l w Z S 5 7 T 3 R o Z X J S Z W N l a X Z h Y m x l c y w x M D N 9 J n F 1 b 3 Q 7 L C Z x d W 9 0 O 1 N l Y 3 R p b 2 4 x L 0 J h b G F u Y 2 V T a G V l d C 9 D a G F u Z 2 V k I F R 5 c G U u e 0 9 0 a G V y U 2 h v c n R U Z X J t S W 5 2 Z X N 0 b W V u d H M s N T d 9 J n F 1 b 3 Q 7 L C Z x d W 9 0 O 1 N l Y 3 R p b 2 4 x L 0 J h b G F u Y 2 V T a G V l d C 9 D a G F u Z 2 V k I F R 5 c G U u e 1 B h e W F i b G V z L D U 4 f S Z x d W 9 0 O y w m c X V v d D t T Z W N 0 a W 9 u M S 9 C Y W x h b m N l U 2 h l Z X Q v Q 2 h h b m d l Z C B U e X B l L n t Q Y X l h Y m x l c 0 F u Z E F j Y 3 J 1 Z W R F e H B l b n N l c y w 1 O X 0 m c X V v d D s s J n F 1 b 3 Q 7 U 2 V j d G l v b j E v Q m F s Y W 5 j Z V N o Z W V 0 L 0 N o Y W 5 n Z W Q g V H l w Z S 5 7 U G V u c 2 l v b m F u Z E 9 0 a G V y U G 9 z d F J l d G l y Z W 1 l b n R C Z W 5 l Z m l 0 U G x h b n N D d X J y Z W 5 0 L D c 5 f S Z x d W 9 0 O y w m c X V v d D t T Z W N 0 a W 9 u M S 9 C Y W x h b m N l U 2 h l Z X Q v Q 2 h h b m d l Z C B U e X B l L n t Q c m V m Z X J y Z W R T Z W N 1 c m l 0 a W V z T 3 V 0 c 2 l k Z V N 0 b 2 N r R X F 1 a X R 5 L D g w f S Z x d W 9 0 O y w m c X V v d D t T Z W N 0 a W 9 u M S 9 C Y W x h b m N l U 2 h l Z X Q v Q 2 h h b m d l Z C B U e X B l L n t Q c m V w Y W l k Q X N z Z X R z L D Y w f S Z x d W 9 0 O y w m c X V v d D t T Z W N 0 a W 9 u M S 9 C Y W x h b m N l U 2 h l Z X Q v Q 2 h h b m d l Z C B U e X B l L n t Q c m 9 w Z X J 0 a W V z L D Y x f S Z x d W 9 0 O y w m c X V v d D t T Z W N 0 a W 9 u M S 9 C Y W x h b m N l U 2 h l Z X Q v Q 2 h h b m d l Z C B U e X B l L n t S Z W N l a X Z h Y m x l c y w 2 M 3 0 m c X V v d D s s J n F 1 b 3 Q 7 U 2 V j d G l v b j E v Q m F s Y W 5 j Z V N o Z W V 0 L 0 N o Y W 5 n Z W Q g V H l w Z S 5 7 U m V z d H J p Y 3 R l Z E N h c 2 g s O D J 9 J n F 1 b 3 Q 7 L C Z x d W 9 0 O 1 N l Y 3 R p b 2 4 x L 0 J h b G F u Y 2 V T a G V l d C 9 D a G F u Z 2 V k I F R 5 c G U u e 1 J l d G F p b m V k R W F y b m l u Z 3 M s N j R 9 J n F 1 b 3 Q 7 L C Z x d W 9 0 O 1 N l Y 3 R p b 2 4 x L 0 J h b G F u Y 2 V T a G V l d C 9 D a G F u Z 2 V k I F R 5 c G U u e 1 N o Y X J l S X N z d W V k L D Y 1 f S Z x d W 9 0 O y w m c X V v d D t T Z W N 0 a W 9 u M S 9 C Y W x h b m N l U 2 h l Z X Q v Q 2 h h b m d l Z C B U e X B l L n t T d G 9 j a 2 h v b G R l c n N F c X V p d H k s N j Z 9 J n F 1 b 3 Q 7 L C Z x d W 9 0 O 1 N l Y 3 R p b 2 4 x L 0 J h b G F u Y 2 V T a G V l d C 9 D a G F u Z 2 V k I F R 5 c G U u e 1 R h b m d p Y m x l Q m 9 v a 1 Z h b H V l L D Y 3 f S Z x d W 9 0 O y w m c X V v d D t T Z W N 0 a W 9 u M S 9 C Y W x h b m N l U 2 h l Z X Q v Q 2 h h b m d l Z C B U e X B l L n t U b 3 R h b E F z c 2 V 0 c y w 2 O X 0 m c X V v d D s s J n F 1 b 3 Q 7 U 2 V j d G l v b j E v Q m F s Y W 5 j Z V N o Z W V 0 L 0 N o Y W 5 n Z W Q g V H l w Z S 5 7 V G 9 0 Y W x D Y X B p d G F s a X p h d G l v b i w 3 M H 0 m c X V v d D s s J n F 1 b 3 Q 7 U 2 V j d G l v b j E v Q m F s Y W 5 j Z V N o Z W V 0 L 0 N o Y W 5 n Z W Q g V H l w Z S 5 7 V G 9 0 Y W x E Z W J 0 L D c x f S Z x d W 9 0 O y w m c X V v d D t T Z W N 0 a W 9 u M S 9 C Y W x h b m N l U 2 h l Z X Q v Q 2 h h b m d l Z C B U e X B l L n t U b 3 R h b E V x d W l 0 e U d y b 3 N z T W l u b 3 J p d H l J b n R l c m V z d C w 3 M n 0 m c X V v d D s s J n F 1 b 3 Q 7 U 2 V j d G l v b j E v Q m F s Y W 5 j Z V N o Z W V 0 L 0 N o Y W 5 n Z W Q g V H l w Z S 5 7 V G 9 0 Y W x M a W F i a W x p d G l l c 0 5 l d E 1 p b m 9 y a X R 5 S W 5 0 Z X J l c 3 Q s N z N 9 J n F 1 b 3 Q 7 L C Z x d W 9 0 O 1 N l Y 3 R p b 2 4 x L 0 J h b G F u Y 2 V T a G V l d C 9 D a G F u Z 2 V k I F R 5 c G U u e 1 R v d G F s T m 9 u Q 3 V y c m V u d E F z c 2 V 0 c y w 3 N H 0 m c X V v d D s s J n F 1 b 3 Q 7 U 2 V j d G l v b j E v Q m F s Y W 5 j Z V N o Z W V 0 L 0 N o Y W 5 n Z W Q g V H l w Z S 5 7 V G 9 0 Y W x O b 2 5 D d X J y Z W 5 0 T G l h Y m l s a X R p Z X N O Z X R N a W 5 v c m l 0 e U l u d G V y Z X N 0 L D c 1 f S Z x d W 9 0 O y w m c X V v d D t T Z W N 0 a W 9 u M S 9 C Y W x h b m N l U 2 h l Z X Q v Q 2 h h b m d l Z C B U e X B l L n t U b 3 R h b F R h e F B h e W F i b G U s N z Z 9 J n F 1 b 3 Q 7 L C Z x d W 9 0 O 1 N l Y 3 R p b 2 4 x L 0 J h b G F u Y 2 V T a G V l d C 9 D a G F u Z 2 V k I F R 5 c G U u e 1 R y Y W R l Y W 5 k T 3 R o Z X J Q Y X l h Y m x l c 0 5 v b k N 1 c n J l b n Q s O T F 9 J n F 1 b 3 Q 7 L C Z x d W 9 0 O 1 N l Y 3 R p b 2 4 x L 0 J h b G F u Y 2 V T a G V l d C 9 D a G F u Z 2 V k I F R 5 c G U u e 1 d v c m t p b m d D Y X B p d G F s L D c 3 f S Z x d W 9 0 O y w m c X V v d D t T Z W N 0 a W 9 u M S 9 C Y W x h b m N l U 2 h l Z X Q v Q 2 h h b m d l Z C B U e X B l L n t D d X J y Z W 5 0 R G V m Z X J y Z W R M a W F i a W x p d G l l c y w y M n 0 m c X V v d D s s J n F 1 b 3 Q 7 U 2 V j d G l v b j E v Q m F s Y W 5 j Z V N o Z W V 0 L 0 N o Y W 5 n Z W Q g V H l w Z S 5 7 Q 3 V y c m V u d E R l Z m V y c m V k U m V 2 Z W 5 1 Z S w y M 3 0 m c X V v d D s s J n F 1 b 3 Q 7 U 2 V j d G l v b j E v Q m F s Y W 5 j Z V N o Z W V 0 L 0 N o Y W 5 n Z W Q g V H l w Z S 5 7 R W 1 w b G 9 5 Z W V C Z W 5 l Z m l 0 c y w x M T V 9 J n F 1 b 3 Q 7 L C Z x d W 9 0 O 1 N l Y 3 R p b 2 4 x L 0 J h b G F u Y 2 V T a G V l d C 9 D a G F u Z 2 V k I F R 5 c G U u e 0 Z p b m l z a G V k R 2 9 v Z H M s M j Z 9 J n F 1 b 3 Q 7 L C Z x d W 9 0 O 1 N l Y 3 R p b 2 4 x L 0 J h b G F u Y 2 V T a G V l d C 9 D a G F u Z 2 V k I F R 5 c G U u e 0 l u d m V u d G 9 y e S w z N H 0 m c X V v d D s s J n F 1 b 3 Q 7 U 2 V j d G l v b j E v Q m F s Y W 5 j Z V N o Z W V 0 L 0 N o Y W 5 n Z W Q g V H l w Z S 5 7 T m 9 u Q 3 V y c m V u d E R l Z m V y c m V k Q X N z Z X R z L D Q 0 f S Z x d W 9 0 O y w m c X V v d D t T Z W N 0 a W 9 u M S 9 C Y W x h b m N l U 2 h l Z X Q v Q 2 h h b m d l Z C B U e X B l L n t O b 2 5 D d X J y Z W 5 0 R G V m Z X J y Z W R U Y X h l c 0 F z c 2 V 0 c y w 0 N 3 0 m c X V v d D s s J n F 1 b 3 Q 7 U 2 V j d G l v b j E v Q m F s Y W 5 j Z V N o Z W V 0 L 0 N o Y W 5 n Z W Q g V H l w Z S 5 7 T m 9 u Q 3 V y c m V u d F B l b n N p b 2 5 B b m R P d G h l c l B v c 3 R y Z X R p c m V t Z W 5 0 Q m V u Z W Z p d F B s Y W 5 z L D E x N n 0 m c X V v d D s s J n F 1 b 3 Q 7 U 2 V j d G l v b j E v Q m F s Y W 5 j Z V N o Z W V 0 L 1 B y b 2 1 v d G V k I E h l Y W R l c n M u e 0 x v Y W 5 z U m V j Z W l 2 Y W J s Z S w 5 N X 0 m c X V v d D s s J n F 1 b 3 Q 7 U 2 V j d G l v b j E v Q m F s Y W 5 j Z V N o Z W V 0 L 0 N o Y W 5 n Z W Q g V H l w Z S 5 7 U m F 3 T W F 0 Z X J p Y W x z L D Y y f S Z x d W 9 0 O y w m c X V v d D t T Z W N 0 a W 9 u M S 9 C Y W x h b m N l U 2 h l Z X Q v Q 2 h h b m d l Z C B U e X B l L n t X b 3 J r S W 5 Q c m 9 j Z X N z L D k 4 f S Z x d W 9 0 O y w m c X V v d D t T Z W N 0 a W 9 u M S 9 C Y W x h b m N l U 2 h l Z X Q v Q 2 h h b m d l Z C B U e X B l L n t D Y X N o R X F 1 a X Z h b G V u d H M s M T N 9 J n F 1 b 3 Q 7 L C Z x d W 9 0 O 1 N l Y 3 R p b 2 4 x L 0 J h b G F u Y 2 V T a G V l d C 9 D a G F u Z 2 V k I F R 5 c G U u e 0 N h c 2 h G a W 5 h b m N p Y W w s M T R 9 J n F 1 b 3 Q 7 L C Z x d W 9 0 O 1 N l Y 3 R p b 2 4 x L 0 J h b G F u Y 2 V T a G V l d C 9 Q c m 9 t b 3 R l Z C B I Z W F k Z X J z L n t U c m F k a W 5 n U 2 V j d X J p d G l l c y w x M D B 9 J n F 1 b 3 Q 7 L C Z x d W 9 0 O 1 N l Y 3 R p b 2 4 x L 0 J h b G F u Y 2 V T a G V l d C 9 D a G F u Z 2 V k I F R 5 c G U u e 0 h l Z G d p b m d B c 3 N l d H N D d X J y Z W 5 0 L D g 1 f S Z x d W 9 0 O y w m c X V v d D t T Z W N 0 a W 9 u M S 9 C Y W x h b m N l U 2 h l Z X Q v Q 2 h h b m d l Z C B U e X B l L n t O b 2 5 D d X J y Z W 5 0 R G V m Z X J y Z W R S Z X Z l b n V l L D Q 2 f S Z x d W 9 0 O y w m c X V v d D t T Z W N 0 a W 9 u M S 9 C Y W x h b m N l U 2 h l Z X Q v Q 2 h h b m d l Z C B U e X B l L n t D b 2 1 t Z X J j a W F s U G F w Z X I s M T E 3 f S Z x d W 9 0 O y w m c X V v d D t T Z W N 0 a W 9 u M S 9 C Y W x h b m N l U 2 h l Z X Q v U H J v b W 9 0 Z W Q g S G V h Z G V y c y 5 7 Q W N j c n V l Z E l u d G V y Z X N 0 U m V j Z W l 2 Y W J s Z S w x M D R 9 J n F 1 b 3 Q 7 L C Z x d W 9 0 O 1 N l Y 3 R p b 2 4 x L 0 J h b G F u Y 2 V T a G V l d C 9 Q c m 9 t b 3 R l Z C B I Z W F k Z X J z L n t E d W V m c m 9 t U m V s Y X R l Z F B h c n R p Z X N D d X J y Z W 5 0 L D E w N X 0 m c X V v d D s s J n F 1 b 3 Q 7 U 2 V j d G l v b j E v Q m F s Y W 5 j Z V N o Z W V 0 L 0 N o Y W 5 n Z W Q g V H l w Z S 5 7 Q 3 V y c m V u d E 5 v d G V z U G F 5 Y W J s Z S w x M T h 9 J n F 1 b 3 Q 7 L C Z x d W 9 0 O 1 N l Y 3 R p b 2 4 x L 0 J h b G F u Y 2 V T a G V l d C 9 D a G F u Z 2 V k I F R 5 c G U u e 0 R p d m l k Z W 5 k c 1 B h e W F i b G U s M T E 5 f S Z x d W 9 0 O y w m c X V v d D t T Z W N 0 a W 9 u M S 9 C Y W x h b m N l U 2 h l Z X Q v Q 2 h h b m d l Z C B U e X B l L n t G b 3 J l a W d u Q 3 V y c m V u Y 3 l U c m F u c 2 x h d G l v b k F k a n V z d G 1 l b n R z L D E y M H 0 m c X V v d D s s J n F 1 b 3 Q 7 U 2 V j d G l v b j E v Q m F s Y W 5 j Z V N o Z W V 0 L 1 B y b 2 1 v d G V k I E h l Y W R l c n M u e 1 J l Y 2 V p d m F i b G V z Q W R q d X N 0 b W V u d H N B b G x v d 2 F u Y 2 V z L D E w O X 0 m c X V v d D s s J n F 1 b 3 Q 7 U 2 V j d G l v b j E v Q m F s Y W 5 j Z V N o Z W V 0 L 0 N o Y W 5 n Z W Q g V H l w Z S 5 7 S W 5 2 Z X N 0 b W V u d H N p b k F z c 2 9 j a W F 0 Z X N h d E N v c 3 Q s M T I x f S Z x d W 9 0 O y w m c X V v d D t T Z W N 0 a W 9 u M S 9 C Y W x h b m N l U 2 h l Z X Q v U H J v b W 9 0 Z W Q g S G V h Z G V y c y 5 7 Y X N P Z l l l Y X I s M T E x f S Z x d W 9 0 O y w m c X V v d D t T Z W N 0 a W 9 u M S 9 C Y W x h b m N l U 2 h l Z X Q v Q 2 h h b m d l Z C B U e X B l L n t M a W 5 l T 2 Z D c m V k a X Q s M T A 3 f S Z x d W 9 0 O y w m c X V v d D t T Z W N 0 a W 9 u M S 9 C Y W x h b m N l U 2 h l Z X Q v Q 2 h h b m d l Z C B U e X B l L n t N a W 5 p b X V t U G V u c 2 l v b k x p Y W J p b G l 0 a W V z L D E y M n 0 m c X V v d D s s J n F 1 b 3 Q 7 U 2 V j d G l v b j E v Q m F s Y W 5 j Z V N o Z W V 0 L 0 N o Y W 5 n Z W Q g V H l w Z S 5 7 U H J l Z m V y c m V k U 2 h h c m V z T n V t Y m V y L D E y M 3 0 m c X V v d D s s J n F 1 b 3 Q 7 U 2 V j d G l v b j E v Q m F s Y W 5 j Z V N o Z W V 0 L 0 N o Y W 5 n Z W Q g V H l w Z S 5 7 U H J l Z m V y c m V k U 3 R v Y 2 s s O D F 9 J n F 1 b 3 Q 7 L C Z x d W 9 0 O 1 N l Y 3 R p b 2 4 x L 0 J h b G F u Y 2 V T a G V l d C 9 D a G F u Z 2 V k I F R 5 c G U u e 1 R y Z W F z d X J 5 U 2 h h c m V z T n V t Y m V y L D g z f S Z x d W 9 0 O y w m c X V v d D t T Z W N 0 a W 9 u M S 9 C Y W x h b m N l U 2 h l Z X Q v Q 2 h h b m d l Z C B U e X B l L n t U c m V h c 3 V y e V N 0 b 2 N r L D k y f S Z x d W 9 0 O y w m c X V v d D t T Z W N 0 a W 9 u M S 9 C Y W x h b m N l U 2 h l Z X Q v Q 2 h h b m d l Z C B U e X B l L n t V b n J l Y W x p e m V k R 2 F p b k x v c 3 M s M T I 0 f S Z x d W 9 0 O y w m c X V v d D t T Z W N 0 a W 9 u M S 9 C Y W x h b m N l U 2 h l Z X Q v Q 2 h h b m d l Z C B U e X B l L n t E Z W Z p b m V k U G V u c 2 l v b k J l b m V m a X Q s M T I 1 f S Z x d W 9 0 O y w m c X V v d D t T Z W N 0 a W 9 u M S 9 C Y W x h b m N l U 2 h l Z X Q v Q 2 h h b m d l Z C B U e X B l L n t O b 2 5 D d X J y Z W 5 0 Q W N j b 3 V u d H N S Z W N l a X Z h Y m x l L D E w M n 0 m c X V v d D s s J n F 1 b 3 Q 7 U 2 V j d G l v b j E v Q m F s Y W 5 j Z V N o Z W V 0 L 0 N o Y W 5 n Z W Q g V H l w Z S 5 7 T 3 R o Z X J J b n Z l b n R v c m l l c y w x M j Z 9 J n F 1 b 3 Q 7 L C Z x d W 9 0 O 1 N l Y 3 R p b 2 4 x L 0 J h b G F u Y 2 V T a G V l d C 9 D a G F u Z 2 V k I F R 5 c G U u e 0 9 0 a G V y S W 5 2 Z X N 0 b W V u d H M s M T I 3 f S Z x d W 9 0 O y w m c X V v d D t T Z W N 0 a W 9 u M S 9 C Y W x h b m N l U 2 h l Z X Q v Q 2 h h b m d l Z C B U e X B l L n t U Y X h l c 1 J l Y 2 V p d m F i b G U s N j h 9 J n F 1 b 3 Q 7 L C Z x d W 9 0 O 1 N l Y 3 R p b 2 4 x L 0 J h b G F u Y 2 V T a G V l d C 9 D a G F u Z 2 V k I F R 5 c G U u e 0 N 1 c n J l b n R E Z W Z l c n J l Z E F z c 2 V 0 c y w x M j h 9 J n F 1 b 3 Q 7 L C Z x d W 9 0 O 1 N l Y 3 R p b 2 4 x L 0 J h b G F u Y 2 V T a G V l d C 9 D a G F u Z 2 V k I F R 5 c G U u e 0 R l c m l 2 Y X R p d m V Q c m 9 k d W N 0 T G l h Y m l s a X R p Z X M s M T I 5 f S Z x d W 9 0 O y w m c X V v d D t T Z W N 0 a W 9 u M S 9 C Y W x h b m N l U 2 h l Z X Q v Q 2 h h b m d l Z C B U e X B l L n t G a W 5 h b m N p Y W x B c 3 N l d H M s M T M w f S Z x d W 9 0 O y w m c X V v d D t T Z W N 0 a W 9 u M S 9 C Y W x h b m N l U 2 h l Z X Q v Q 2 h h b m d l Z C B U e X B l L n t J b n Z l c 3 R t Z W 5 0 c 0 l u T 3 R o Z X J W Z W 5 0 d X J l c 1 V u Z G V y R X F 1 a X R 5 T W V 0 a G 9 k L D E z M X 0 m c X V v d D s s J n F 1 b 3 Q 7 U 2 V j d G l v b j E v Q m F s Y W 5 j Z V N o Z W V 0 L 0 N o Y W 5 n Z W Q g V H l w Z S 5 7 T G l h Y m l s a X R p Z X N I Z W x k Z m 9 y U 2 F s Z U 5 v b k N 1 c n J l b n Q s M T A x f S Z x d W 9 0 O y w m c X V v d D t T Z W N 0 a W 9 u M S 9 C Y W x h b m N l U 2 h l Z X Q v Q 2 h h b m d l Z C B U e X B l L n t O b 2 5 D d X J y Z W 5 0 Q W N j c n V l Z E V 4 c G V u c 2 V z L D E z M n 0 m c X V v d D s s J n F 1 b 3 Q 7 U 2 V j d G l v b j E v Q m F s Y W 5 j Z V N o Z W V 0 L 0 N o Y W 5 n Z W Q g V H l w Z S 5 7 T m 9 u Q 3 V y c m V u d F B y Z X B h a W R B c 3 N l d H M s O D h 9 J n F 1 b 3 Q 7 L C Z x d W 9 0 O 1 N l Y 3 R p b 2 4 x L 0 J h b G F u Y 2 V T a G V l d C 9 D a G F u Z 2 V k I F R 5 c G U u e 0 9 0 a G V y R X F 1 a X R 5 S W 5 0 Z X J l c 3 Q s O T B 9 J n F 1 b 3 Q 7 L C Z x d W 9 0 O 1 N l Y 3 R p b 2 4 x L 0 J h b G F u Y 2 V T a G V l d C 9 D a G F u Z 2 V k I F R 5 c G U u e 0 l u d m V u d G 9 y a W V z Q W R q d X N 0 b W V u d H N B b G x v d 2 F u Y 2 V z L D M z f S Z x d W 9 0 O y w m c X V v d D t T Z W N 0 a W 9 u M S 9 C Y W x h b m N l U 2 h l Z X Q v Q 2 h h b m d l Z C B U e X B l L n t U a W N r Z X I s M T E w f S Z x d W 9 0 O 1 0 s J n F 1 b 3 Q 7 Q 2 9 s d W 1 u Q 2 9 1 b n Q m c X V v d D s 6 M T M 0 L C Z x d W 9 0 O 0 t l e U N v b H V t b k 5 h b W V z J n F 1 b 3 Q 7 O l t d L C Z x d W 9 0 O 0 N v b H V t b k l k Z W 5 0 a X R p Z X M m c X V v d D s 6 W y Z x d W 9 0 O 1 N l Y 3 R p b 2 4 x L 0 J h b G F u Y 2 V T a G V l d C 9 D a G F u Z 2 V k I F R 5 c G U u e 2 l k L D B 9 J n F 1 b 3 Q 7 L C Z x d W 9 0 O 1 N l Y 3 R p b 2 4 x L 0 J h b G F u Y 2 V T a G V l d C 9 D a G F u Z 2 V k I F R 5 c G U u e 2 F z T 2 Z E Y X R l L D F 9 J n F 1 b 3 Q 7 L C Z x d W 9 0 O 1 N l Y 3 R p b 2 4 x L 0 J h b G F u Y 2 V T a G V l d C 9 J b n N l c n R l Z C B Z Z W F y L n t Z Z W F y L D E z M 3 0 m c X V v d D s s J n F 1 b 3 Q 7 U 2 V j d G l v b j E v Q m F s Y W 5 j Z V N o Z W V 0 L 0 N o Y W 5 n Z W Q g V H l w Z S 5 7 c G V y a W 9 k V H l w Z S w y f S Z x d W 9 0 O y w m c X V v d D t T Z W N 0 a W 9 u M S 9 C Y W x h b m N l U 2 h l Z X Q v Q 2 h h b m d l Z C B U e X B l L n t j d X J y Z W 5 j e U N v Z G U s M 3 0 m c X V v d D s s J n F 1 b 3 Q 7 U 2 V j d G l v b j E v Q m F s Y W 5 j Z V N o Z W V 0 L 0 N o Y W 5 n Z W Q g V H l w Z S 5 7 Q W N j b 3 V u d H N Q Y X l h Y m x l L D R 9 J n F 1 b 3 Q 7 L C Z x d W 9 0 O 1 N l Y 3 R p b 2 4 x L 0 J h b G F u Y 2 V T a G V l d C 9 D a G F u Z 2 V k I F R 5 c G U u e 0 F j Y 2 9 1 b n R z U m V j Z W l 2 Y W J s Z S w 1 f S Z x d W 9 0 O y w m c X V v d D t T Z W N 0 a W 9 u M S 9 C Y W x h b m N l U 2 h l Z X Q v Q 2 h h b m d l Z C B U e X B l L n t B Y 2 N 1 b X V s Y X R l Z E R l c H J l Y 2 l h d G l v b i w 2 f S Z x d W 9 0 O y w m c X V v d D t T Z W N 0 a W 9 u M S 9 C Y W x h b m N l U 2 h l Z X Q v Q 2 h h b m d l Z C B U e X B l L n t B Z G R p d G l v b m F s U G F p Z E l u Q 2 F w a X R h b C w 3 f S Z x d W 9 0 O y w m c X V v d D t T Z W N 0 a W 9 u M S 9 C Y W x h b m N l U 2 h l Z X Q v Q 2 h h b m d l Z C B U e X B l L n t B b G x v d 2 F u Y 2 V G b 3 J E b 3 V i d G Z 1 b E F j Y 2 9 1 b n R z U m V j Z W l 2 Y W J s Z S w 4 f S Z x d W 9 0 O y w m c X V v d D t T Z W N 0 a W 9 u M S 9 C Y W x h b m N l U 2 h l Z X Q v Q 2 h h b m d l Z C B U e X B l L n t B c 3 N l d H N I Z W x k R m 9 y U 2 F s Z U N 1 c n J l b n Q s O T N 9 J n F 1 b 3 Q 7 L C Z x d W 9 0 O 1 N l Y 3 R p b 2 4 x L 0 J h b G F u Y 2 V T a G V l d C 9 D a G F u Z 2 V k I F R 5 c G U u e 0 F 2 Y W l s Y W J s Z U Z v c l N h b G V T Z W N 1 c m l 0 a W V z L D E x M n 0 m c X V v d D s s J n F 1 b 3 Q 7 U 2 V j d G l v b j E v Q m F s Y W 5 j Z V N o Z W V 0 L 0 N o Y W 5 n Z W Q g V H l w Z S 5 7 Q n V p b G R p b m d z Q W 5 k S W 1 w c m 9 2 Z W 1 l b n R z L D k 0 f S Z x d W 9 0 O y w m c X V v d D t T Z W N 0 a W 9 u M S 9 C Y W x h b m N l U 2 h l Z X Q v Q 2 h h b m d l Z C B U e X B l L n t D Y X B p d G F s T G V h c 2 V P Y m x p Z 2 F 0 a W 9 u c y w 5 f S Z x d W 9 0 O y w m c X V v d D t T Z W N 0 a W 9 u M S 9 C Y W x h b m N l U 2 h l Z X Q v Q 2 h h b m d l Z C B U e X B l L n t D Y X B p d G F s U 3 R v Y 2 s s M T B 9 J n F 1 b 3 Q 7 L C Z x d W 9 0 O 1 N l Y 3 R p b 2 4 x L 0 J h b G F u Y 2 V T a G V l d C 9 D a G F u Z 2 V k I F R 5 c G U u e 0 N h c 2 h B b m R D Y X N o R X F 1 a X Z h b G V u d H M s M T F 9 J n F 1 b 3 Q 7 L C Z x d W 9 0 O 1 N l Y 3 R p b 2 4 x L 0 J h b G F u Y 2 V T a G V l d C 9 D a G F u Z 2 V k I F R 5 c G U u e 0 N h c 2 h D Y X N o R X F 1 a X Z h b G V u d H N B b m R T a G 9 y d F R l c m 1 J b n Z l c 3 R t Z W 5 0 c y w x M n 0 m c X V v d D s s J n F 1 b 3 Q 7 U 2 V j d G l v b j E v Q m F s Y W 5 j Z V N o Z W V 0 L 0 N o Y W 5 n Z W Q g V H l w Z S 5 7 Q 2 9 t b W 9 u U 3 R v Y 2 s s M T V 9 J n F 1 b 3 Q 7 L C Z x d W 9 0 O 1 N l Y 3 R p b 2 4 x L 0 J h b G F u Y 2 V T a G V l d C 9 D a G F u Z 2 V k I F R 5 c G U u e 0 N v b W 1 v b l N 0 b 2 N r R X F 1 a X R 5 L D E 2 f S Z x d W 9 0 O y w m c X V v d D t T Z W N 0 a W 9 u M S 9 C Y W x h b m N l U 2 h l Z X Q v Q 2 h h b m d l Z C B U e X B l L n t D b 2 5 z d H J 1 Y 3 R p b 2 5 J b l B y b 2 d y Z X N z L D E 3 f S Z x d W 9 0 O y w m c X V v d D t T Z W N 0 a W 9 u M S 9 C Y W x h b m N l U 2 h l Z X Q v Q 2 h h b m d l Z C B U e X B l L n t D d X J y Z W 5 0 Q W N j c n V l Z E V 4 c G V u c 2 V z L D E 4 f S Z x d W 9 0 O y w m c X V v d D t T Z W N 0 a W 9 u M S 9 C Y W x h b m N l U 2 h l Z X Q v Q 2 h h b m d l Z C B U e X B l L n t D d X J y Z W 5 0 Q X N z Z X R z L D E 5 f S Z x d W 9 0 O y w m c X V v d D t T Z W N 0 a W 9 u M S 9 C Y W x h b m N l U 2 h l Z X Q v Q 2 h h b m d l Z C B U e X B l L n t D d X J y Z W 5 0 Q 2 F w a X R h b E x l Y X N l T 2 J s a W d h d G l v b i w y M H 0 m c X V v d D s s J n F 1 b 3 Q 7 U 2 V j d G l v b j E v Q m F s Y W 5 j Z V N o Z W V 0 L 0 N o Y W 5 n Z W Q g V H l w Z S 5 7 Q 3 V y c m V u d E R l Y n Q s O D R 9 J n F 1 b 3 Q 7 L C Z x d W 9 0 O 1 N l Y 3 R p b 2 4 x L 0 J h b G F u Y 2 V T a G V l d C 9 D a G F u Z 2 V k I F R 5 c G U u e 0 N 1 c n J l b n R E Z W J 0 Q W 5 k Q 2 F w a X R h b E x l Y X N l T 2 J s a W d h d G l v b i w y M X 0 m c X V v d D s s J n F 1 b 3 Q 7 U 2 V j d G l v b j E v Q m F s Y W 5 j Z V N o Z W V 0 L 0 N o Y W 5 n Z W Q g V H l w Z S 5 7 Q 3 V y c m V u d E x p Y W J p b G l 0 a W V z L D I 0 f S Z x d W 9 0 O y w m c X V v d D t T Z W N 0 a W 9 u M S 9 C Y W x h b m N l U 2 h l Z X Q v Q 2 h h b m d l Z C B U e X B l L n t D d X J y Z W 5 0 U H J v d m l z a W 9 u c y w y N X 0 m c X V v d D s s J n F 1 b 3 Q 7 U 2 V j d G l v b j E v Q m F s Y W 5 j Z V N o Z W V 0 L 0 N o Y W 5 n Z W Q g V H l w Z S 5 7 R 2 F p b n N M b 3 N z Z X N O b 3 R B Z m Z l Y 3 R p b m d S Z X R h a W 5 l Z E V h c m 5 p b m d z L D I 3 f S Z x d W 9 0 O y w m c X V v d D t T Z W N 0 a W 9 u M S 9 C Y W x h b m N l U 2 h l Z X Q v Q 2 h h b m d l Z C B U e X B l L n t H b 2 9 k d 2 l s b C w y O H 0 m c X V v d D s s J n F 1 b 3 Q 7 U 2 V j d G l v b j E v Q m F s Y W 5 j Z V N o Z W V 0 L 0 N o Y W 5 n Z W Q g V H l w Z S 5 7 R 2 9 v Z H d p b G x B b m R P d G h l c k l u d G F u Z 2 l i b G V B c 3 N l d H M s M j l 9 J n F 1 b 3 Q 7 L C Z x d W 9 0 O 1 N l Y 3 R p b 2 4 x L 0 J h b G F u Y 2 V T a G V l d C 9 D a G F u Z 2 V k I F R 5 c G U u e 0 d y b 3 N z Q W N j b 3 V u d H N S Z W N l a X Z h Y m x l L D M w f S Z x d W 9 0 O y w m c X V v d D t T Z W N 0 a W 9 u M S 9 C Y W x h b m N l U 2 h l Z X Q v Q 2 h h b m d l Z C B U e X B l L n t H c m 9 z c 1 B Q R S w z M X 0 m c X V v d D s s J n F 1 b 3 Q 7 U 2 V j d G l v b j E v Q m F s Y W 5 j Z V N o Z W V 0 L 0 N o Y W 5 n Z W Q g V H l w Z S 5 7 S G V s Z F R v T W F 0 d X J p d H l T Z W N 1 c m l 0 a W V z L D E x M 3 0 m c X V v d D s s J n F 1 b 3 Q 7 U 2 V j d G l v b j E v Q m F s Y W 5 j Z V N o Z W V 0 L 0 N o Y W 5 n Z W Q g V H l w Z S 5 7 S W 5 j b 2 1 l V G F 4 U G F 5 Y W J s Z S w z M n 0 m c X V v d D s s J n F 1 b 3 Q 7 U 2 V j d G l v b j E v Q m F s Y W 5 j Z V N o Z W V 0 L 0 N o Y W 5 n Z W Q g V H l w Z S 5 7 S W 5 0 Z X J l c 3 R Q Y X l h Y m x l L D E w N n 0 m c X V v d D s s J n F 1 b 3 Q 7 U 2 V j d G l v b j E v Q m F s Y W 5 j Z V N o Z W V 0 L 0 N o Y W 5 n Z W Q g V H l w Z S 5 7 S W 5 2 Z X N 0 Z W R D Y X B p d G F s L D M 1 f S Z x d W 9 0 O y w m c X V v d D t T Z W N 0 a W 9 u M S 9 C Y W x h b m N l U 2 h l Z X Q v Q 2 h h b m d l Z C B U e X B l L n t J b n Z l c 3 R t Z W 5 0 a W 5 G a W 5 h b m N p Y W x B c 3 N l d H M s O T l 9 J n F 1 b 3 Q 7 L C Z x d W 9 0 O 1 N l Y 3 R p b 2 4 x L 0 J h b G F u Y 2 V T a G V l d C 9 D a G F u Z 2 V k I F R 5 c G U u e 0 l u d m V z d G 1 l b n R z Q W 5 k Q W R 2 Y W 5 j Z X M s N z h 9 J n F 1 b 3 Q 7 L C Z x d W 9 0 O 1 N l Y 3 R p b 2 4 x L 0 J h b G F u Y 2 V T a G V l d C 9 D a G F u Z 2 V k I F R 5 c G U u e 0 x h b m R B b m R J b X B y b 3 Z l b W V u d H M s M z Z 9 J n F 1 b 3 Q 7 L C Z x d W 9 0 O 1 N l Y 3 R p b 2 4 x L 0 J h b G F u Y 2 V T a G V l d C 9 D a G F u Z 2 V k I F R 5 c G U u e 0 x l Y X N l c y w z N 3 0 m c X V v d D s s J n F 1 b 3 Q 7 U 2 V j d G l v b j E v Q m F s Y W 5 j Z V N o Z W V 0 L 0 N o Y W 5 n Z W Q g V H l w Z S 5 7 T G 9 u Z 1 R l c m 1 D Y X B p d G F s T G V h c 2 V P Y m x p Z 2 F 0 a W 9 u L D M 4 f S Z x d W 9 0 O y w m c X V v d D t T Z W N 0 a W 9 u M S 9 C Y W x h b m N l U 2 h l Z X Q v Q 2 h h b m d l Z C B U e X B l L n t M b 2 5 n V G V y b U R l Y n Q s O D Z 9 J n F 1 b 3 Q 7 L C Z x d W 9 0 O 1 N l Y 3 R p b 2 4 x L 0 J h b G F u Y 2 V T a G V l d C 9 D a G F u Z 2 V k I F R 5 c G U u e 0 x v b m d U Z X J t R G V i d E F u Z E N h c G l 0 Y W x M Z W F z Z U 9 i b G l n Y X R p b 2 4 s M z l 9 J n F 1 b 3 Q 7 L C Z x d W 9 0 O 1 N l Y 3 R p b 2 4 x L 0 J h b G F u Y 2 V T a G V l d C 9 D a G F u Z 2 V k I F R 5 c G U u e 0 x v b m d U Z X J t R X F 1 a X R 5 S W 5 2 Z X N 0 b W V u d C w x M T R 9 J n F 1 b 3 Q 7 L C Z x d W 9 0 O 1 N l Y 3 R p b 2 4 x L 0 J h b G F u Y 2 V T a G V l d C 9 D a G F u Z 2 V k I F R 5 c G U u e 0 x v b m d U Z X J t U H J v d m l z a W 9 u c y w 0 M H 0 m c X V v d D s s J n F 1 b 3 Q 7 U 2 V j d G l v b j E v Q m F s Y W 5 j Z V N o Z W V 0 L 0 N o Y W 5 n Z W Q g V H l w Z S 5 7 T W F j a G l u Z X J 5 R n V y b m l 0 d X J l R X F 1 a X B t Z W 5 0 L D Q x f S Z x d W 9 0 O y w m c X V v d D t T Z W N 0 a W 9 u M S 9 C Y W x h b m N l U 2 h l Z X Q v Q 2 h h b m d l Z C B U e X B l L n t N a W 5 v c m l 0 e U l u d G V y Z X N 0 L D k 2 f S Z x d W 9 0 O y w m c X V v d D t T Z W N 0 a W 9 u M S 9 C Y W x h b m N l U 2 h l Z X Q v Q 2 h h b m d l Z C B U e X B l L n t O Z X R E Z W J 0 L D g 3 f S Z x d W 9 0 O y w m c X V v d D t T Z W N 0 a W 9 u M S 9 C Y W x h b m N l U 2 h l Z X Q v Q 2 h h b m d l Z C B U e X B l L n t O Z X R Q U E U s N D J 9 J n F 1 b 3 Q 7 L C Z x d W 9 0 O 1 N l Y 3 R p b 2 4 x L 0 J h b G F u Y 2 V T a G V l d C 9 D a G F u Z 2 V k I F R 5 c G U u e 0 5 l d F R h b m d p Y m x l Q X N z Z X R z L D Q z f S Z x d W 9 0 O y w m c X V v d D t T Z W N 0 a W 9 u M S 9 C Y W x h b m N l U 2 h l Z X Q v Q 2 h h b m d l Z C B U e X B l L n t O b 2 5 D d X J y Z W 5 0 R G V m Z X J y Z W R M a W F i a W x p d G l l c y w 0 N X 0 m c X V v d D s s J n F 1 b 3 Q 7 U 2 V j d G l v b j E v Q m F s Y W 5 j Z V N o Z W V 0 L 0 N o Y W 5 n Z W Q g V H l w Z S 5 7 T m 9 u Q 3 V y c m V u d E R l Z m V y c m V k V G F 4 Z X N M a W F i a W x p d G l l c y w 0 O H 0 m c X V v d D s s J n F 1 b 3 Q 7 U 2 V j d G l v b j E v Q m F s Y W 5 j Z V N o Z W V 0 L 0 N o Y W 5 n Z W Q g V H l w Z S 5 7 T m 9 u Q 3 V y c m V u d E 5 v d G V S Z W N l a X Z h Y m x l c y w 5 N 3 0 m c X V v d D s s J n F 1 b 3 Q 7 U 2 V j d G l v b j E v Q m F s Y W 5 j Z V N o Z W V 0 L 0 N o Y W 5 n Z W Q g V H l w Z S 5 7 T 3 J k a W 5 h c n l T a G F y Z X N O d W 1 i Z X I s N D l 9 J n F 1 b 3 Q 7 L C Z x d W 9 0 O 1 N l Y 3 R p b 2 4 x L 0 J h b G F u Y 2 V T a G V l d C 9 D a G F u Z 2 V k I F R 5 c G U u e 0 9 0 a G V y Q 3 V y c m V u d E F z c 2 V 0 c y w 1 M H 0 m c X V v d D s s J n F 1 b 3 Q 7 U 2 V j d G l v b j E v Q m F s Y W 5 j Z V N o Z W V 0 L 0 N o Y W 5 n Z W Q g V H l w Z S 5 7 T 3 R o Z X J D d X J y Z W 5 0 Q m 9 y c m 9 3 a W 5 n c y w 4 O X 0 m c X V v d D s s J n F 1 b 3 Q 7 U 2 V j d G l v b j E v Q m F s Y W 5 j Z V N o Z W V 0 L 0 N o Y W 5 n Z W Q g V H l w Z S 5 7 T 3 R o Z X J D d X J y Z W 5 0 T G l h Y m l s a X R p Z X M s N T F 9 J n F 1 b 3 Q 7 L C Z x d W 9 0 O 1 N l Y 3 R p b 2 4 x L 0 J h b G F u Y 2 V T a G V l d C 9 D a G F u Z 2 V k I F R 5 c G U u e 0 9 0 a G V y R X F 1 a X R 5 Q W R q d X N 0 b W V u d H M s N T J 9 J n F 1 b 3 Q 7 L C Z x d W 9 0 O 1 N l Y 3 R p b 2 4 x L 0 J h b G F u Y 2 V T a G V l d C 9 D a G F u Z 2 V k I F R 5 c G U u e 0 9 0 a G V y S W 5 0 Y W 5 n a W J s Z U F z c 2 V 0 c y w 1 M 3 0 m c X V v d D s s J n F 1 b 3 Q 7 U 2 V j d G l v b j E v Q m F s Y W 5 j Z V N o Z W V 0 L 0 N o Y W 5 n Z W Q g V H l w Z S 5 7 T 3 R o Z X J O b 2 5 D d X J y Z W 5 0 Q X N z Z X R z L D U 0 f S Z x d W 9 0 O y w m c X V v d D t T Z W N 0 a W 9 u M S 9 C Y W x h b m N l U 2 h l Z X Q v Q 2 h h b m d l Z C B U e X B l L n t P d G h l c k 5 v b k N 1 c n J l b n R M a W F i a W x p d G l l c y w 1 N X 0 m c X V v d D s s J n F 1 b 3 Q 7 U 2 V j d G l v b j E v Q m F s Y W 5 j Z V N o Z W V 0 L 0 N o Y W 5 n Z W Q g V H l w Z S 5 7 T 3 R o Z X J Q Y X l h Y m x l L D E w O H 0 m c X V v d D s s J n F 1 b 3 Q 7 U 2 V j d G l v b j E v Q m F s Y W 5 j Z V N o Z W V 0 L 0 N o Y W 5 n Z W Q g V H l w Z S 5 7 T 3 R o Z X J Q c m 9 w Z X J 0 a W V z L D U 2 f S Z x d W 9 0 O y w m c X V v d D t T Z W N 0 a W 9 u M S 9 C Y W x h b m N l U 2 h l Z X Q v Q 2 h h b m d l Z C B U e X B l L n t P d G h l c l J l Y 2 V p d m F i b G V z L D E w M 3 0 m c X V v d D s s J n F 1 b 3 Q 7 U 2 V j d G l v b j E v Q m F s Y W 5 j Z V N o Z W V 0 L 0 N o Y W 5 n Z W Q g V H l w Z S 5 7 T 3 R o Z X J T a G 9 y d F R l c m 1 J b n Z l c 3 R t Z W 5 0 c y w 1 N 3 0 m c X V v d D s s J n F 1 b 3 Q 7 U 2 V j d G l v b j E v Q m F s Y W 5 j Z V N o Z W V 0 L 0 N o Y W 5 n Z W Q g V H l w Z S 5 7 U G F 5 Y W J s Z X M s N T h 9 J n F 1 b 3 Q 7 L C Z x d W 9 0 O 1 N l Y 3 R p b 2 4 x L 0 J h b G F u Y 2 V T a G V l d C 9 D a G F u Z 2 V k I F R 5 c G U u e 1 B h e W F i b G V z Q W 5 k Q W N j c n V l Z E V 4 c G V u c 2 V z L D U 5 f S Z x d W 9 0 O y w m c X V v d D t T Z W N 0 a W 9 u M S 9 C Y W x h b m N l U 2 h l Z X Q v Q 2 h h b m d l Z C B U e X B l L n t Q Z W 5 z a W 9 u Y W 5 k T 3 R o Z X J Q b 3 N 0 U m V 0 a X J l b W V u d E J l b m V m a X R Q b G F u c 0 N 1 c n J l b n Q s N z l 9 J n F 1 b 3 Q 7 L C Z x d W 9 0 O 1 N l Y 3 R p b 2 4 x L 0 J h b G F u Y 2 V T a G V l d C 9 D a G F u Z 2 V k I F R 5 c G U u e 1 B y Z W Z l c n J l Z F N l Y 3 V y a X R p Z X N P d X R z a W R l U 3 R v Y 2 t F c X V p d H k s O D B 9 J n F 1 b 3 Q 7 L C Z x d W 9 0 O 1 N l Y 3 R p b 2 4 x L 0 J h b G F u Y 2 V T a G V l d C 9 D a G F u Z 2 V k I F R 5 c G U u e 1 B y Z X B h a W R B c 3 N l d H M s N j B 9 J n F 1 b 3 Q 7 L C Z x d W 9 0 O 1 N l Y 3 R p b 2 4 x L 0 J h b G F u Y 2 V T a G V l d C 9 D a G F u Z 2 V k I F R 5 c G U u e 1 B y b 3 B l c n R p Z X M s N j F 9 J n F 1 b 3 Q 7 L C Z x d W 9 0 O 1 N l Y 3 R p b 2 4 x L 0 J h b G F u Y 2 V T a G V l d C 9 D a G F u Z 2 V k I F R 5 c G U u e 1 J l Y 2 V p d m F i b G V z L D Y z f S Z x d W 9 0 O y w m c X V v d D t T Z W N 0 a W 9 u M S 9 C Y W x h b m N l U 2 h l Z X Q v Q 2 h h b m d l Z C B U e X B l L n t S Z X N 0 c m l j d G V k Q 2 F z a C w 4 M n 0 m c X V v d D s s J n F 1 b 3 Q 7 U 2 V j d G l v b j E v Q m F s Y W 5 j Z V N o Z W V 0 L 0 N o Y W 5 n Z W Q g V H l w Z S 5 7 U m V 0 Y W l u Z W R F Y X J u a W 5 n c y w 2 N H 0 m c X V v d D s s J n F 1 b 3 Q 7 U 2 V j d G l v b j E v Q m F s Y W 5 j Z V N o Z W V 0 L 0 N o Y W 5 n Z W Q g V H l w Z S 5 7 U 2 h h c m V J c 3 N 1 Z W Q s N j V 9 J n F 1 b 3 Q 7 L C Z x d W 9 0 O 1 N l Y 3 R p b 2 4 x L 0 J h b G F u Y 2 V T a G V l d C 9 D a G F u Z 2 V k I F R 5 c G U u e 1 N 0 b 2 N r a G 9 s Z G V y c 0 V x d W l 0 e S w 2 N n 0 m c X V v d D s s J n F 1 b 3 Q 7 U 2 V j d G l v b j E v Q m F s Y W 5 j Z V N o Z W V 0 L 0 N o Y W 5 n Z W Q g V H l w Z S 5 7 V G F u Z 2 l i b G V C b 2 9 r V m F s d W U s N j d 9 J n F 1 b 3 Q 7 L C Z x d W 9 0 O 1 N l Y 3 R p b 2 4 x L 0 J h b G F u Y 2 V T a G V l d C 9 D a G F u Z 2 V k I F R 5 c G U u e 1 R v d G F s Q X N z Z X R z L D Y 5 f S Z x d W 9 0 O y w m c X V v d D t T Z W N 0 a W 9 u M S 9 C Y W x h b m N l U 2 h l Z X Q v Q 2 h h b m d l Z C B U e X B l L n t U b 3 R h b E N h c G l 0 Y W x p e m F 0 a W 9 u L D c w f S Z x d W 9 0 O y w m c X V v d D t T Z W N 0 a W 9 u M S 9 C Y W x h b m N l U 2 h l Z X Q v Q 2 h h b m d l Z C B U e X B l L n t U b 3 R h b E R l Y n Q s N z F 9 J n F 1 b 3 Q 7 L C Z x d W 9 0 O 1 N l Y 3 R p b 2 4 x L 0 J h b G F u Y 2 V T a G V l d C 9 D a G F u Z 2 V k I F R 5 c G U u e 1 R v d G F s R X F 1 a X R 5 R 3 J v c 3 N N a W 5 v c m l 0 e U l u d G V y Z X N 0 L D c y f S Z x d W 9 0 O y w m c X V v d D t T Z W N 0 a W 9 u M S 9 C Y W x h b m N l U 2 h l Z X Q v Q 2 h h b m d l Z C B U e X B l L n t U b 3 R h b E x p Y W J p b G l 0 a W V z T m V 0 T W l u b 3 J p d H l J b n R l c m V z d C w 3 M 3 0 m c X V v d D s s J n F 1 b 3 Q 7 U 2 V j d G l v b j E v Q m F s Y W 5 j Z V N o Z W V 0 L 0 N o Y W 5 n Z W Q g V H l w Z S 5 7 V G 9 0 Y W x O b 2 5 D d X J y Z W 5 0 Q X N z Z X R z L D c 0 f S Z x d W 9 0 O y w m c X V v d D t T Z W N 0 a W 9 u M S 9 C Y W x h b m N l U 2 h l Z X Q v Q 2 h h b m d l Z C B U e X B l L n t U b 3 R h b E 5 v b k N 1 c n J l b n R M a W F i a W x p d G l l c 0 5 l d E 1 p b m 9 y a X R 5 S W 5 0 Z X J l c 3 Q s N z V 9 J n F 1 b 3 Q 7 L C Z x d W 9 0 O 1 N l Y 3 R p b 2 4 x L 0 J h b G F u Y 2 V T a G V l d C 9 D a G F u Z 2 V k I F R 5 c G U u e 1 R v d G F s V G F 4 U G F 5 Y W J s Z S w 3 N n 0 m c X V v d D s s J n F 1 b 3 Q 7 U 2 V j d G l v b j E v Q m F s Y W 5 j Z V N o Z W V 0 L 0 N o Y W 5 n Z W Q g V H l w Z S 5 7 V H J h Z G V h b m R P d G h l c l B h e W F i b G V z T m 9 u Q 3 V y c m V u d C w 5 M X 0 m c X V v d D s s J n F 1 b 3 Q 7 U 2 V j d G l v b j E v Q m F s Y W 5 j Z V N o Z W V 0 L 0 N o Y W 5 n Z W Q g V H l w Z S 5 7 V 2 9 y a 2 l u Z 0 N h c G l 0 Y W w s N z d 9 J n F 1 b 3 Q 7 L C Z x d W 9 0 O 1 N l Y 3 R p b 2 4 x L 0 J h b G F u Y 2 V T a G V l d C 9 D a G F u Z 2 V k I F R 5 c G U u e 0 N 1 c n J l b n R E Z W Z l c n J l Z E x p Y W J p b G l 0 a W V z L D I y f S Z x d W 9 0 O y w m c X V v d D t T Z W N 0 a W 9 u M S 9 C Y W x h b m N l U 2 h l Z X Q v Q 2 h h b m d l Z C B U e X B l L n t D d X J y Z W 5 0 R G V m Z X J y Z W R S Z X Z l b n V l L D I z f S Z x d W 9 0 O y w m c X V v d D t T Z W N 0 a W 9 u M S 9 C Y W x h b m N l U 2 h l Z X Q v Q 2 h h b m d l Z C B U e X B l L n t F b X B s b 3 l l Z U J l b m V m a X R z L D E x N X 0 m c X V v d D s s J n F 1 b 3 Q 7 U 2 V j d G l v b j E v Q m F s Y W 5 j Z V N o Z W V 0 L 0 N o Y W 5 n Z W Q g V H l w Z S 5 7 R m l u a X N o Z W R H b 2 9 k c y w y N n 0 m c X V v d D s s J n F 1 b 3 Q 7 U 2 V j d G l v b j E v Q m F s Y W 5 j Z V N o Z W V 0 L 0 N o Y W 5 n Z W Q g V H l w Z S 5 7 S W 5 2 Z W 5 0 b 3 J 5 L D M 0 f S Z x d W 9 0 O y w m c X V v d D t T Z W N 0 a W 9 u M S 9 C Y W x h b m N l U 2 h l Z X Q v Q 2 h h b m d l Z C B U e X B l L n t O b 2 5 D d X J y Z W 5 0 R G V m Z X J y Z W R B c 3 N l d H M s N D R 9 J n F 1 b 3 Q 7 L C Z x d W 9 0 O 1 N l Y 3 R p b 2 4 x L 0 J h b G F u Y 2 V T a G V l d C 9 D a G F u Z 2 V k I F R 5 c G U u e 0 5 v b k N 1 c n J l b n R E Z W Z l c n J l Z F R h e G V z Q X N z Z X R z L D Q 3 f S Z x d W 9 0 O y w m c X V v d D t T Z W N 0 a W 9 u M S 9 C Y W x h b m N l U 2 h l Z X Q v Q 2 h h b m d l Z C B U e X B l L n t O b 2 5 D d X J y Z W 5 0 U G V u c 2 l v b k F u Z E 9 0 a G V y U G 9 z d H J l d G l y Z W 1 l b n R C Z W 5 l Z m l 0 U G x h b n M s M T E 2 f S Z x d W 9 0 O y w m c X V v d D t T Z W N 0 a W 9 u M S 9 C Y W x h b m N l U 2 h l Z X Q v U H J v b W 9 0 Z W Q g S G V h Z G V y c y 5 7 T G 9 h b n N S Z W N l a X Z h Y m x l L D k 1 f S Z x d W 9 0 O y w m c X V v d D t T Z W N 0 a W 9 u M S 9 C Y W x h b m N l U 2 h l Z X Q v Q 2 h h b m d l Z C B U e X B l L n t S Y X d N Y X R l c m l h b H M s N j J 9 J n F 1 b 3 Q 7 L C Z x d W 9 0 O 1 N l Y 3 R p b 2 4 x L 0 J h b G F u Y 2 V T a G V l d C 9 D a G F u Z 2 V k I F R 5 c G U u e 1 d v c m t J b l B y b 2 N l c 3 M s O T h 9 J n F 1 b 3 Q 7 L C Z x d W 9 0 O 1 N l Y 3 R p b 2 4 x L 0 J h b G F u Y 2 V T a G V l d C 9 D a G F u Z 2 V k I F R 5 c G U u e 0 N h c 2 h F c X V p d m F s Z W 5 0 c y w x M 3 0 m c X V v d D s s J n F 1 b 3 Q 7 U 2 V j d G l v b j E v Q m F s Y W 5 j Z V N o Z W V 0 L 0 N o Y W 5 n Z W Q g V H l w Z S 5 7 Q 2 F z a E Z p b m F u Y 2 l h b C w x N H 0 m c X V v d D s s J n F 1 b 3 Q 7 U 2 V j d G l v b j E v Q m F s Y W 5 j Z V N o Z W V 0 L 1 B y b 2 1 v d G V k I E h l Y W R l c n M u e 1 R y Y W R p b m d T Z W N 1 c m l 0 a W V z L D E w M H 0 m c X V v d D s s J n F 1 b 3 Q 7 U 2 V j d G l v b j E v Q m F s Y W 5 j Z V N o Z W V 0 L 0 N o Y W 5 n Z W Q g V H l w Z S 5 7 S G V k Z 2 l u Z 0 F z c 2 V 0 c 0 N 1 c n J l b n Q s O D V 9 J n F 1 b 3 Q 7 L C Z x d W 9 0 O 1 N l Y 3 R p b 2 4 x L 0 J h b G F u Y 2 V T a G V l d C 9 D a G F u Z 2 V k I F R 5 c G U u e 0 5 v b k N 1 c n J l b n R E Z W Z l c n J l Z F J l d m V u d W U s N D Z 9 J n F 1 b 3 Q 7 L C Z x d W 9 0 O 1 N l Y 3 R p b 2 4 x L 0 J h b G F u Y 2 V T a G V l d C 9 D a G F u Z 2 V k I F R 5 c G U u e 0 N v b W 1 l c m N p Y W x Q Y X B l c i w x M T d 9 J n F 1 b 3 Q 7 L C Z x d W 9 0 O 1 N l Y 3 R p b 2 4 x L 0 J h b G F u Y 2 V T a G V l d C 9 Q c m 9 t b 3 R l Z C B I Z W F k Z X J z L n t B Y 2 N y d W V k S W 5 0 Z X J l c 3 R S Z W N l a X Z h Y m x l L D E w N H 0 m c X V v d D s s J n F 1 b 3 Q 7 U 2 V j d G l v b j E v Q m F s Y W 5 j Z V N o Z W V 0 L 1 B y b 2 1 v d G V k I E h l Y W R l c n M u e 0 R 1 Z W Z y b 2 1 S Z W x h d G V k U G F y d G l l c 0 N 1 c n J l b n Q s M T A 1 f S Z x d W 9 0 O y w m c X V v d D t T Z W N 0 a W 9 u M S 9 C Y W x h b m N l U 2 h l Z X Q v Q 2 h h b m d l Z C B U e X B l L n t D d X J y Z W 5 0 T m 9 0 Z X N Q Y X l h Y m x l L D E x O H 0 m c X V v d D s s J n F 1 b 3 Q 7 U 2 V j d G l v b j E v Q m F s Y W 5 j Z V N o Z W V 0 L 0 N o Y W 5 n Z W Q g V H l w Z S 5 7 R G l 2 a W R l b m R z U G F 5 Y W J s Z S w x M T l 9 J n F 1 b 3 Q 7 L C Z x d W 9 0 O 1 N l Y 3 R p b 2 4 x L 0 J h b G F u Y 2 V T a G V l d C 9 D a G F u Z 2 V k I F R 5 c G U u e 0 Z v c m V p Z 2 5 D d X J y Z W 5 j e V R y Y W 5 z b G F 0 a W 9 u Q W R q d X N 0 b W V u d H M s M T I w f S Z x d W 9 0 O y w m c X V v d D t T Z W N 0 a W 9 u M S 9 C Y W x h b m N l U 2 h l Z X Q v U H J v b W 9 0 Z W Q g S G V h Z G V y c y 5 7 U m V j Z W l 2 Y W J s Z X N B Z G p 1 c 3 R t Z W 5 0 c 0 F s b G 9 3 Y W 5 j Z X M s M T A 5 f S Z x d W 9 0 O y w m c X V v d D t T Z W N 0 a W 9 u M S 9 C Y W x h b m N l U 2 h l Z X Q v Q 2 h h b m d l Z C B U e X B l L n t J b n Z l c 3 R t Z W 5 0 c 2 l u Q X N z b 2 N p Y X R l c 2 F 0 Q 2 9 z d C w x M j F 9 J n F 1 b 3 Q 7 L C Z x d W 9 0 O 1 N l Y 3 R p b 2 4 x L 0 J h b G F u Y 2 V T a G V l d C 9 Q c m 9 t b 3 R l Z C B I Z W F k Z X J z L n t h c 0 9 m W W V h c i w x M T F 9 J n F 1 b 3 Q 7 L C Z x d W 9 0 O 1 N l Y 3 R p b 2 4 x L 0 J h b G F u Y 2 V T a G V l d C 9 D a G F u Z 2 V k I F R 5 c G U u e 0 x p b m V P Z k N y Z W R p d C w x M D d 9 J n F 1 b 3 Q 7 L C Z x d W 9 0 O 1 N l Y 3 R p b 2 4 x L 0 J h b G F u Y 2 V T a G V l d C 9 D a G F u Z 2 V k I F R 5 c G U u e 0 1 p b m l t d W 1 Q Z W 5 z a W 9 u T G l h Y m l s a X R p Z X M s M T I y f S Z x d W 9 0 O y w m c X V v d D t T Z W N 0 a W 9 u M S 9 C Y W x h b m N l U 2 h l Z X Q v Q 2 h h b m d l Z C B U e X B l L n t Q c m V m Z X J y Z W R T a G F y Z X N O d W 1 i Z X I s M T I z f S Z x d W 9 0 O y w m c X V v d D t T Z W N 0 a W 9 u M S 9 C Y W x h b m N l U 2 h l Z X Q v Q 2 h h b m d l Z C B U e X B l L n t Q c m V m Z X J y Z W R T d G 9 j a y w 4 M X 0 m c X V v d D s s J n F 1 b 3 Q 7 U 2 V j d G l v b j E v Q m F s Y W 5 j Z V N o Z W V 0 L 0 N o Y W 5 n Z W Q g V H l w Z S 5 7 V H J l Y X N 1 c n l T a G F y Z X N O d W 1 i Z X I s O D N 9 J n F 1 b 3 Q 7 L C Z x d W 9 0 O 1 N l Y 3 R p b 2 4 x L 0 J h b G F u Y 2 V T a G V l d C 9 D a G F u Z 2 V k I F R 5 c G U u e 1 R y Z W F z d X J 5 U 3 R v Y 2 s s O T J 9 J n F 1 b 3 Q 7 L C Z x d W 9 0 O 1 N l Y 3 R p b 2 4 x L 0 J h b G F u Y 2 V T a G V l d C 9 D a G F u Z 2 V k I F R 5 c G U u e 1 V u c m V h b G l 6 Z W R H Y W l u T G 9 z c y w x M j R 9 J n F 1 b 3 Q 7 L C Z x d W 9 0 O 1 N l Y 3 R p b 2 4 x L 0 J h b G F u Y 2 V T a G V l d C 9 D a G F u Z 2 V k I F R 5 c G U u e 0 R l Z m l u Z W R Q Z W 5 z a W 9 u Q m V u Z W Z p d C w x M j V 9 J n F 1 b 3 Q 7 L C Z x d W 9 0 O 1 N l Y 3 R p b 2 4 x L 0 J h b G F u Y 2 V T a G V l d C 9 D a G F u Z 2 V k I F R 5 c G U u e 0 5 v b k N 1 c n J l b n R B Y 2 N v d W 5 0 c 1 J l Y 2 V p d m F i b G U s M T A y f S Z x d W 9 0 O y w m c X V v d D t T Z W N 0 a W 9 u M S 9 C Y W x h b m N l U 2 h l Z X Q v Q 2 h h b m d l Z C B U e X B l L n t P d G h l c k l u d m V u d G 9 y a W V z L D E y N n 0 m c X V v d D s s J n F 1 b 3 Q 7 U 2 V j d G l v b j E v Q m F s Y W 5 j Z V N o Z W V 0 L 0 N o Y W 5 n Z W Q g V H l w Z S 5 7 T 3 R o Z X J J b n Z l c 3 R t Z W 5 0 c y w x M j d 9 J n F 1 b 3 Q 7 L C Z x d W 9 0 O 1 N l Y 3 R p b 2 4 x L 0 J h b G F u Y 2 V T a G V l d C 9 D a G F u Z 2 V k I F R 5 c G U u e 1 R h e G V z U m V j Z W l 2 Y W J s Z S w 2 O H 0 m c X V v d D s s J n F 1 b 3 Q 7 U 2 V j d G l v b j E v Q m F s Y W 5 j Z V N o Z W V 0 L 0 N o Y W 5 n Z W Q g V H l w Z S 5 7 Q 3 V y c m V u d E R l Z m V y c m V k Q X N z Z X R z L D E y O H 0 m c X V v d D s s J n F 1 b 3 Q 7 U 2 V j d G l v b j E v Q m F s Y W 5 j Z V N o Z W V 0 L 0 N o Y W 5 n Z W Q g V H l w Z S 5 7 R G V y a X Z h d G l 2 Z V B y b 2 R 1 Y 3 R M a W F i a W x p d G l l c y w x M j l 9 J n F 1 b 3 Q 7 L C Z x d W 9 0 O 1 N l Y 3 R p b 2 4 x L 0 J h b G F u Y 2 V T a G V l d C 9 D a G F u Z 2 V k I F R 5 c G U u e 0 Z p b m F u Y 2 l h b E F z c 2 V 0 c y w x M z B 9 J n F 1 b 3 Q 7 L C Z x d W 9 0 O 1 N l Y 3 R p b 2 4 x L 0 J h b G F u Y 2 V T a G V l d C 9 D a G F u Z 2 V k I F R 5 c G U u e 0 l u d m V z d G 1 l b n R z S W 5 P d G h l c l Z l b n R 1 c m V z V W 5 k Z X J F c X V p d H l N Z X R o b 2 Q s M T M x f S Z x d W 9 0 O y w m c X V v d D t T Z W N 0 a W 9 u M S 9 C Y W x h b m N l U 2 h l Z X Q v Q 2 h h b m d l Z C B U e X B l L n t M a W F i a W x p d G l l c 0 h l b G R m b 3 J T Y W x l T m 9 u Q 3 V y c m V u d C w x M D F 9 J n F 1 b 3 Q 7 L C Z x d W 9 0 O 1 N l Y 3 R p b 2 4 x L 0 J h b G F u Y 2 V T a G V l d C 9 D a G F u Z 2 V k I F R 5 c G U u e 0 5 v b k N 1 c n J l b n R B Y 2 N y d W V k R X h w Z W 5 z Z X M s M T M y f S Z x d W 9 0 O y w m c X V v d D t T Z W N 0 a W 9 u M S 9 C Y W x h b m N l U 2 h l Z X Q v Q 2 h h b m d l Z C B U e X B l L n t O b 2 5 D d X J y Z W 5 0 U H J l c G F p Z E F z c 2 V 0 c y w 4 O H 0 m c X V v d D s s J n F 1 b 3 Q 7 U 2 V j d G l v b j E v Q m F s Y W 5 j Z V N o Z W V 0 L 0 N o Y W 5 n Z W Q g V H l w Z S 5 7 T 3 R o Z X J F c X V p d H l J b n R l c m V z d C w 5 M H 0 m c X V v d D s s J n F 1 b 3 Q 7 U 2 V j d G l v b j E v Q m F s Y W 5 j Z V N o Z W V 0 L 0 N o Y W 5 n Z W Q g V H l w Z S 5 7 S W 5 2 Z W 5 0 b 3 J p Z X N B Z G p 1 c 3 R t Z W 5 0 c 0 F s b G 9 3 Y W 5 j Z X M s M z N 9 J n F 1 b 3 Q 7 L C Z x d W 9 0 O 1 N l Y 3 R p b 2 4 x L 0 J h b G F u Y 2 V T a G V l d C 9 D a G F u Z 2 V k I F R 5 c G U u e 1 R p Y 2 t l c i w x M T B 9 J n F 1 b 3 Q 7 X S w m c X V v d D t S Z W x h d G l v b n N o a X B J b m Z v J n F 1 b 3 Q 7 O l t d f S I g L z 4 8 L 1 N 0 Y W J s Z U V u d H J p Z X M + P C 9 J d G V t P j x J d G V t P j x J d G V t T G 9 j Y X R p b 2 4 + P E l 0 Z W 1 U e X B l P k Z v c m 1 1 b G E 8 L 0 l 0 Z W 1 U e X B l P j x J d G V t U G F 0 a D 5 T Z W N 0 a W 9 u M S 9 C Y W x h b m N l U 2 h l Z X Q v U 2 9 1 c m N l P C 9 J d G V t U G F 0 a D 4 8 L 0 l 0 Z W 1 M b 2 N h d G l v b j 4 8 U 3 R h Y m x l R W 5 0 c m l l c y A v P j w v S X R l b T 4 8 S X R l b T 4 8 S X R l b U x v Y 2 F 0 a W 9 u P j x J d G V t V H l w Z T 5 G b 3 J t d W x h P C 9 J d G V t V H l w Z T 4 8 S X R l b V B h d G g + U 2 V j d G l v b j E v Q m F s Y W 5 j Z V N o Z W V 0 L 0 J h b G F u Y 2 V T a G V l d F 9 T a G V l d D w v S X R l b V B h d G g + P C 9 J d G V t T G 9 j Y X R p b 2 4 + P F N 0 Y W J s Z U V u d H J p Z X M g L z 4 8 L 0 l 0 Z W 0 + P E l 0 Z W 0 + P E l 0 Z W 1 M b 2 N h d G l v b j 4 8 S X R l b V R 5 c G U + R m 9 y b X V s Y T w v S X R l b V R 5 c G U + P E l 0 Z W 1 Q Y X R o P l N l Y 3 R p b 2 4 x L 0 J h b G F u Y 2 V T a G V l d C 9 Q c m 9 t b 3 R l Z C U y M E h l Y W R l c n M 8 L 0 l 0 Z W 1 Q Y X R o P j w v S X R l b U x v Y 2 F 0 a W 9 u P j x T d G F i b G V F b n R y a W V z I C 8 + P C 9 J d G V t P j x J d G V t P j x J d G V t T G 9 j Y X R p b 2 4 + P E l 0 Z W 1 U e X B l P k Z v c m 1 1 b G E 8 L 0 l 0 Z W 1 U e X B l P j x J d G V t U G F 0 a D 5 T Z W N 0 a W 9 u M S 9 C Y W x h b m N l U 2 h l Z X Q v Q 2 h h b m d l Z C U y M F R 5 c G U 8 L 0 l 0 Z W 1 Q Y X R o P j w v S X R l b U x v Y 2 F 0 a W 9 u P j x T d G F i b G V F b n R y a W V z I C 8 + P C 9 J d G V t P j x J d G V t P j x J d G V t T G 9 j Y X R p b 2 4 + P E l 0 Z W 1 U e X B l P k Z v c m 1 1 b G E 8 L 0 l 0 Z W 1 U e X B l P j x J d G V t U G F 0 a D 5 T Z W N 0 a W 9 u M S 9 D Y X N o R m x v d z w v S X R l b V B h d G g + P C 9 J d G V t T G 9 j Y X R p b 2 4 + P F N 0 Y W J s Z U V u d H J p Z X M + P E V u d H J 5 I F R 5 c G U 9 I k l z U H J p d m F 0 Z S I g V m F s d W U 9 I m w w I i A v P j x F b n R y e S B U e X B l P S J R d W V y e U l E I i B W Y W x 1 Z T 0 i c z Y 3 Z j M 0 M G Z i L T B j M z Y t N D B i Y S 1 i M m F i L W Q 4 Y j Q 1 Z G F h Y m J l 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F z a E Z s b 3 c i I C 8 + P E V u d H J 5 I F R 5 c G U 9 I k Z p b G x l Z E N v b X B s Z X R l U m V z d W x 0 V G 9 X b 3 J r c 2 h l Z X Q i I F Z h b H V l P S J s M S I g L z 4 8 R W 5 0 c n k g V H l w Z T 0 i R m l s b E V y c m 9 y Q 2 9 k Z S I g V m F s d W U 9 I n N V b m t u b 3 d u I i A v P j x F b n R y e S B U e X B l P S J G a W x s R X J y b 3 J D b 3 V u d C I g V m F s d W U 9 I m w w I i A v P j x F b n R y e S B U e X B l P S J G a W x s Q 2 9 1 b n Q i I F Z h b H V l P S J s N j Q i I C 8 + P E V u d H J 5 I F R 5 c G U 9 I k F k Z G V k V G 9 E Y X R h T W 9 k Z W w i I F Z h b H V l P S J s M C I g L z 4 8 R W 5 0 c n k g V H l w Z T 0 i R m l s b E x h c 3 R V c G R h d G V k I i B W Y W x 1 Z T 0 i Z D I w M j Q t M D k t M T Z U M D A 6 M j I 6 M j I u M z Y x N z E 1 N 1 o i I C 8 + P E V u d H J 5 I F R 5 c G U 9 I k Z p b G x D b 2 x 1 b W 5 U e X B l c y I g V m F s d W U 9 I n N C Z 2 t E Q m d Z R E F 3 T U R B d 0 1 E Q X d N R E F 3 T U R B d 0 1 E Q X d N R E F 3 T U R B d 0 1 E Q X d N R E F 3 T U R B d 0 1 E Q X d N R E F 3 T U R B d 0 1 E Q X d N R E F 3 T U R B d 0 1 B Q X d N R E F 3 T U R B d 0 1 E Q X d N R E F 3 T U R B d 0 1 E Q X d N R E F 3 T U R B d 0 1 E Q X d B R E F 3 Q U R B d 0 1 E Q X d N R E F 3 T U c i I C 8 + P E V u d H J 5 I F R 5 c G U 9 I k Z p b G x D b 2 x 1 b W 5 O Y W 1 l c y I g V m F s d W U 9 I n N b J n F 1 b 3 Q 7 a W Q m c X V v d D s s J n F 1 b 3 Q 7 Y X N P Z k R h d G U m c X V v d D s s J n F 1 b 3 Q 7 W W V h c i Z x d W 9 0 O y w m c X V v d D t w Z X J p b 2 R U e X B l J n F 1 b 3 Q 7 L C Z x d W 9 0 O 2 N 1 c n J l b m N 5 Q 2 9 k Z S Z x d W 9 0 O y w m c X V v d D t B c 3 N l d E l t c G F p c m 1 l b n R D a G F y Z 2 U m c X V v d D s s J n F 1 b 3 Q 7 Q m V n a W 5 u a W 5 n Q 2 F z a F B v c 2 l 0 a W 9 u J n F 1 b 3 Q 7 L C Z x d W 9 0 O 0 N h c G l 0 Y W x F e H B l b m R p d H V y Z S Z x d W 9 0 O y w m c X V v d D t D Y X N o R m x v d 0 Z y b 2 1 D b 2 5 0 a W 5 1 a W 5 n R m l u Y W 5 j a W 5 n Q W N 0 a X Z p d G l l c y Z x d W 9 0 O y w m c X V v d D t D Y X N o R m x v d 0 Z y b 2 1 D b 2 5 0 a W 5 1 a W 5 n S W 5 2 Z X N 0 a W 5 n Q W N 0 a X Z p d G l l c y Z x d W 9 0 O y w m c X V v d D t D Y X N o R m x v d 0 Z y b 2 1 D b 2 5 0 a W 5 1 a W 5 n T 3 B l c m F 0 a W 5 n Q W N 0 a X Z p d G l l c y Z x d W 9 0 O y w m c X V v d D t D a G F u Z 2 V J b k F j Y 2 9 1 b n R Q Y X l h Y m x l J n F 1 b 3 Q 7 L C Z x d W 9 0 O 0 N o Y W 5 n Z U l u Q W N j c n V l Z E V 4 c G V u c 2 U m c X V v d D s s J n F 1 b 3 Q 7 Q 2 h h b m d l S W 5 D Y X N o U 3 V w c G x l b W V u d G F s Q X N S Z X B v c n R l Z C Z x d W 9 0 O y w m c X V v d D t D a G F u Z 2 V J b k 9 0 a G V y Q 3 V y c m V u d E F z c 2 V 0 c y Z x d W 9 0 O y w m c X V v d D t D a G F u Z 2 V J b k 9 0 a G V y Q 3 V y c m V u d E x p Y W J p b G l 0 a W V z J n F 1 b 3 Q 7 L C Z x d W 9 0 O 0 N o Y W 5 n Z U l u T 3 R o Z X J X b 3 J r a W 5 n Q 2 F w a X R h b C Z x d W 9 0 O y w m c X V v d D t D a G F u Z 2 V J b l B h e W F i b G U m c X V v d D s s J n F 1 b 3 Q 7 Q 2 h h b m d l S W 5 Q Y X l h Y m x l c 0 F u Z E F j Y 3 J 1 Z W R F e H B l b n N l J n F 1 b 3 Q 7 L C Z x d W 9 0 O 0 N o Y W 5 n Z U l u U H J l c G F p Z E F z c 2 V 0 c y Z x d W 9 0 O y w m c X V v d D t D a G F u Z 2 V J b l J l Y 2 V p d m F i b G V z J n F 1 b 3 Q 7 L C Z x d W 9 0 O 0 N o Y W 5 n Z U l u V 2 9 y a 2 l u Z 0 N h c G l 0 Y W w m c X V v d D s s J n F 1 b 3 Q 7 Q 2 h h b m d l c 0 l u Q W N j b 3 V u d F J l Y 2 V p d m F i b G V z J n F 1 b 3 Q 7 L C Z x d W 9 0 O 0 N o Y W 5 n Z X N J b k N h c 2 g m c X V v d D s s J n F 1 b 3 Q 7 Q 2 9 t b W 9 u U 3 R v Y 2 t J c 3 N 1 Y W 5 j Z S Z x d W 9 0 O y w m c X V v d D t D b 2 1 t b 2 5 T d G 9 j a 1 B h e W 1 l b n R z J n F 1 b 3 Q 7 L C Z x d W 9 0 O 0 R l Z m V y c m V k S W 5 j b 2 1 l V G F 4 J n F 1 b 3 Q 7 L C Z x d W 9 0 O 0 R l Z m V y c m V k V G F 4 J n F 1 b 3 Q 7 L C Z x d W 9 0 O 0 R l c H J l Y 2 l h d G l v b k F t b 3 J 0 a X p h d G l v b k R l c G x l d G l v b i Z x d W 9 0 O y w m c X V v d D t E Z X B y Z W N p Y X R p b 2 5 B b m R B b W 9 y d G l 6 Y X R p b 2 4 m c X V v d D s s J n F 1 b 3 Q 7 R W F y b m l u Z 3 N M b 3 N z Z X N G c m 9 t R X F 1 a X R 5 S W 5 2 Z X N 0 b W V u d H M m c X V v d D s s J n F 1 b 3 Q 7 R W Z m Z W N 0 T 2 Z F e G N o Y W 5 n Z V J h d G V D a G F u Z 2 V z J n F 1 b 3 Q 7 L C Z x d W 9 0 O 0 V u Z E N h c 2 h Q b 3 N p d G l v b i Z x d W 9 0 O y w m c X V v d D t G a W 5 h b m N p b m d D Y X N o R m x v d y Z x d W 9 0 O y w m c X V v d D t G c m V l Q 2 F z a E Z s b 3 c m c X V v d D s s J n F 1 b 3 Q 7 R 2 F p b k x v c 3 N P b k l u d m V z d G 1 l b n R T Z W N 1 c m l 0 a W V z J n F 1 b 3 Q 7 L C Z x d W 9 0 O 0 d h a W 5 M b 3 N z T 2 5 T Y W x l T 2 Z C d X N p b m V z c y Z x d W 9 0 O y w m c X V v d D t J b m N v b W V U Y X h Q Y W l k U 3 V w c G x l b W V u d G F s R G F 0 Y S Z x d W 9 0 O y w m c X V v d D t J b n R l c m V z d F B h a W R T d X B w b G V t Z W 5 0 Y W x E Y X R h J n F 1 b 3 Q 7 L C Z x d W 9 0 O 0 l u d m V z d G l u Z 0 N h c 2 h G b G 9 3 J n F 1 b 3 Q 7 L C Z x d W 9 0 O 0 l z c 3 V h b m N l T 2 Z D Y X B p d G F s U 3 R v Y 2 s m c X V v d D s s J n F 1 b 3 Q 7 S X N z d W F u Y 2 V P Z k R l Y n Q m c X V v d D s s J n F 1 b 3 Q 7 T G 9 u Z 1 R l c m 1 E Z W J 0 S X N z d W F u Y 2 U m c X V v d D s s J n F 1 b 3 Q 7 T G 9 u Z 1 R l c m 1 E Z W J 0 U G F 5 b W V u d H M m c X V v d D s s J n F 1 b 3 Q 7 T m V 0 Q n V z a W 5 l c 3 N Q d X J j a G F z Z U F u Z F N h b G U m c X V v d D s s J n F 1 b 3 Q 7 T m V 0 Q 2 9 t b W 9 u U 3 R v Y 2 t J c 3 N 1 Y W 5 j Z S Z x d W 9 0 O y w m c X V v d D t O Z X R G b 3 J l a W d u Q 3 V y c m V u Y 3 l F e G N o Y W 5 n Z U d h a W 5 M b 3 N z J n F 1 b 3 Q 7 L C Z x d W 9 0 O 0 5 l d E l u Y 2 9 t Z S Z x d W 9 0 O y w m c X V v d D t O Z X R J b m N v b W V G c m 9 t Q 2 9 u d G l u d W l u Z 0 9 w Z X J h d G l v b n M m c X V v d D s s J n F 1 b 3 Q 7 T m V 0 S W 5 2 Z X N 0 b W V u d F B 1 c m N o Y X N l Q W 5 k U 2 F s Z S Z x d W 9 0 O y w m c X V v d D t O Z X R J c 3 N 1 Y W 5 j Z V B h e W 1 l b n R z T 2 Z E Z W J 0 J n F 1 b 3 Q 7 L C Z x d W 9 0 O 0 5 l d E x v b m d U Z X J t R G V i d E l z c 3 V h b m N l J n F 1 b 3 Q 7 L C Z x d W 9 0 O 0 5 l d E 9 0 a G V y R m l u Y W 5 j a W 5 n Q 2 h h c m d l c y Z x d W 9 0 O y w m c X V v d D t O Z X R P d G h l c k l u d m V z d G l u Z 0 N o Y W 5 n Z X M m c X V v d D s s J n F 1 b 3 Q 7 T m V 0 U F B F U H V y Y 2 h h c 2 V B b m R T Y W x l J n F 1 b 3 Q 7 L C Z x d W 9 0 O 0 5 l d F B y Z W Z l c n J l Z F N 0 b 2 N r S X N z d W F u Y 2 U m c X V v d D s s J n F 1 b 3 Q 7 Q W 1 v c n R p e m F 0 a W 9 u T 2 Z T Z W N 1 c m l 0 a W V z J n F 1 b 3 Q 7 L C Z x d W 9 0 O 0 9 w Z X J h d G l u Z 0 N h c 2 h G b G 9 3 J n F 1 b 3 Q 7 L C Z x d W 9 0 O 0 9 w Z X J h d G l u Z 0 d h a W 5 z T G 9 z c 2 V z J n F 1 b 3 Q 7 L C Z x d W 9 0 O 0 9 0 a G V y Q 2 F z a E F k a n V z d G 1 l b n R P d X R z a W R l Q 2 h h b m d l a W 5 D Y X N o J n F 1 b 3 Q 7 L C Z x d W 9 0 O 0 9 0 a G V y T m 9 u Q 2 F z a E l 0 Z W 1 z J n F 1 b 3 Q 7 L C Z x d W 9 0 O 1 B y Z W Z l c n J l Z F N 0 b 2 N r S X N z d W F u Y 2 U m c X V v d D s s J n F 1 b 3 Q 7 U H J v Y 2 V l Z H N G c m 9 t U 3 R v Y 2 t P c H R p b 2 5 F e G V y Y 2 l z Z W Q m c X V v d D s s J n F 1 b 3 Q 7 U H V y Y 2 h h c 2 V P Z k J 1 c 2 l u Z X N z J n F 1 b 3 Q 7 L C Z x d W 9 0 O 1 B 1 c m N o Y X N l T 2 Z J b n Z l c 3 R t Z W 5 0 J n F 1 b 3 Q 7 L C Z x d W 9 0 O 1 B 1 c m N o Y X N l T 2 Z Q U E U m c X V v d D s s J n F 1 b 3 Q 7 U m V w Y X l t Z W 5 0 T 2 Z E Z W J 0 J n F 1 b 3 Q 7 L C Z x d W 9 0 O 1 J l c H V y Y 2 h h c 2 V P Z k N h c G l 0 Y W x T d G 9 j a y Z x d W 9 0 O y w m c X V v d D t T Y W x l T 2 Z C d X N p b m V z c y Z x d W 9 0 O y w m c X V v d D t T Y W x l T 2 Z J b n Z l c 3 R t Z W 5 0 J n F 1 b 3 Q 7 L C Z x d W 9 0 O 1 N h b G V P Z l B Q R S Z x d W 9 0 O y w m c X V v d D t T d G 9 j a 0 J h c 2 V k Q 2 9 t c G V u c 2 F 0 a W 9 u J n F 1 b 3 Q 7 L C Z x d W 9 0 O 1 V u c m V h b G l 6 Z W R H Y W l u T G 9 z c 0 9 u S W 5 2 Z X N 0 b W V u d F N l Y 3 V y a X R p Z X M m c X V v d D s s J n F 1 b 3 Q 7 Q W 1 v c n R p e m F 0 a W 9 u Q 2 F z a E Z s b 3 c m c X V v d D s s J n F 1 b 3 Q 7 Q W 1 v c n R p e m F 0 a W 9 u T 2 Z J b n R h b m d p Y m x l c y Z x d W 9 0 O y w m c X V v d D t D Y X B p d G F s R X h w Z W 5 k a X R 1 c m V S Z X B v c n R l Z C Z x d W 9 0 O y w m c X V v d D t D Y X N o R G l 2 a W R l b m R z U G F p Z C Z x d W 9 0 O y w m c X V v d D t D a G F u Z 2 V J b k l u Y 2 9 t Z V R h e F B h e W F i b G U m c X V v d D s s J n F 1 b 3 Q 7 Q 2 h h b m d l S W 5 J b n Z l b n R v c n k m c X V v d D s s J n F 1 b 3 Q 7 Q 2 h h b m d l S W 5 U Y X h Q Y X l h Y m x l J n F 1 b 3 Q 7 L C Z x d W 9 0 O 0 N v b W 1 v b l N 0 b 2 N r R G l 2 a W R l b m R Q Y W l k J n F 1 b 3 Q 7 L C Z x d W 9 0 O 0 R l c H J l Y 2 l h d G l v b i Z x d W 9 0 O y w m c X V v d D t H Y W l u T G 9 z c 0 9 u U 2 F s Z U 9 m U F B F J n F 1 b 3 Q 7 L C Z x d W 9 0 O 0 5 l d F N o b 3 J 0 V G V y b U R l Y n R J c 3 N 1 Y W 5 j Z S Z x d W 9 0 O y w m c X V v d D t Q Z W 5 z a W 9 u Q W 5 k R W 1 w b G 9 5 Z W V C Z W 5 l Z m l 0 R X h w Z W 5 z Z S Z x d W 9 0 O y w m c X V v d D t D a G F u Z 2 V J b k l u d G V y Z X N 0 U G F 5 Y W J s Z S Z x d W 9 0 O y w m c X V v d D t T a G 9 y d F R l c m 1 E Z W J 0 S X N z d W F u Y 2 U m c X V v d D s s J n F 1 b 3 Q 7 U 2 h v c n R U Z X J t R G V i d F B h e W 1 l b n R z J n F 1 b 3 Q 7 L C Z x d W 9 0 O 2 F z T 2 Z Z Z W F y J n F 1 b 3 Q 7 L C Z x d W 9 0 O 0 N h c 2 h G c m 9 t R G l z Y 2 9 u d G l u d W V k R m l u Y W 5 j a W 5 n Q W N 0 a X Z p d G l l c y Z x d W 9 0 O y w m c X V v d D t D Y X N o R n J v b U R p c 2 N v b n R p b n V l Z E l u d m V z d G l u Z 0 F j d G l 2 a X R p Z X M m c X V v d D s s J n F 1 b 3 Q 7 Q 2 F z a E Z y b 2 1 E a X N j b 2 5 0 a W 5 1 Z W R P c G V y Y X R p b m d B Y 3 R p d m l 0 a W V z J n F 1 b 3 Q 7 L C Z x d W 9 0 O 0 R p d m l k Z W 5 k c 1 J l Y 2 V p d m V k Q 0 Z J J n F 1 b 3 Q 7 L C Z x d W 9 0 O 1 B y Z W Z l c n J l Z F N 0 b 2 N r R G l 2 a W R l b m R Q Y W l k J n F 1 b 3 Q 7 L C Z x d W 9 0 O 1 B y Z W Z l c n J l Z F N 0 b 2 N r U G F 5 b W V u d H M m c X V v d D s s J n F 1 b 3 Q 7 U H J v d m l z a W 9 u Y W 5 k V 3 J p d G V P Z m Z v Z k F z c 2 V 0 c y Z x d W 9 0 O y w m c X V v d D t O Z X R J b n R h b m d p Y m x l c 1 B 1 c m N o Y X N l Q W 5 k U 2 F s Z S Z x d W 9 0 O y w m c X V v d D t Q d X J j a G F z Z U 9 m S W 5 0 Y W 5 n a W J s Z X M m c X V v d D s s J n F 1 b 3 Q 7 V G l j a 2 V y J n F 1 b 3 Q 7 X S I g L z 4 8 R W 5 0 c n k g V H l w Z T 0 i R m l s b F N 0 Y X R 1 c y I g V m F s d W U 9 I n N D b 2 1 w b G V 0 Z S I g L z 4 8 R W 5 0 c n k g V H l w Z T 0 i U m V s Y X R p b 2 5 z a G l w S W 5 m b 0 N v b n R h a W 5 l c i I g V m F s d W U 9 I n N 7 J n F 1 b 3 Q 7 Y 2 9 s d W 1 u Q 2 9 1 b n Q m c X V v d D s 6 O T k s J n F 1 b 3 Q 7 a 2 V 5 Q 2 9 s d W 1 u T m F t Z X M m c X V v d D s 6 W 1 0 s J n F 1 b 3 Q 7 c X V l c n l S Z W x h d G l v b n N o a X B z J n F 1 b 3 Q 7 O l t d L C Z x d W 9 0 O 2 N v b H V t b k l k Z W 5 0 a X R p Z X M m c X V v d D s 6 W y Z x d W 9 0 O 1 N l Y 3 R p b 2 4 x L 0 N h c 2 h G b G 9 3 L 0 N o Y W 5 n Z W Q g V H l w Z S 5 7 a W Q s M H 0 m c X V v d D s s J n F 1 b 3 Q 7 U 2 V j d G l v b j E v Q 2 F z a E Z s b 3 c v Q 2 h h b m d l Z C B U e X B l L n t h c 0 9 m R G F 0 Z S w x f S Z x d W 9 0 O y w m c X V v d D t T Z W N 0 a W 9 u M S 9 D Y X N o R m x v d y 9 J b n N l c n R l Z C B Z Z W F y L n t Z Z W F y L D k 4 f S Z x d W 9 0 O y w m c X V v d D t T Z W N 0 a W 9 u M S 9 D Y X N o R m x v d y 9 D a G F u Z 2 V k I F R 5 c G U u e 3 B l c m l v Z F R 5 c G U s M n 0 m c X V v d D s s J n F 1 b 3 Q 7 U 2 V j d G l v b j E v Q 2 F z a E Z s b 3 c v Q 2 h h b m d l Z C B U e X B l L n t j d X J y Z W 5 j e U N v Z G U s M 3 0 m c X V v d D s s J n F 1 b 3 Q 7 U 2 V j d G l v b j E v Q 2 F z a E Z s b 3 c v Q 2 h h b m d l Z C B U e X B l L n t B c 3 N l d E l t c G F p c m 1 l b n R D a G F y Z 2 U s N H 0 m c X V v d D s s J n F 1 b 3 Q 7 U 2 V j d G l v b j E v Q 2 F z a E Z s b 3 c v Q 2 h h b m d l Z C B U e X B l L n t C Z W d p b m 5 p b m d D Y X N o U G 9 z a X R p b 2 4 s N X 0 m c X V v d D s s J n F 1 b 3 Q 7 U 2 V j d G l v b j E v Q 2 F z a E Z s b 3 c v Q 2 h h b m d l Z C B U e X B l L n t D Y X B p d G F s R X h w Z W 5 k a X R 1 c m U s N n 0 m c X V v d D s s J n F 1 b 3 Q 7 U 2 V j d G l v b j E v Q 2 F z a E Z s b 3 c v Q 2 h h b m d l Z C B U e X B l L n t D Y X N o R m x v d 0 Z y b 2 1 D b 2 5 0 a W 5 1 a W 5 n R m l u Y W 5 j a W 5 n Q W N 0 a X Z p d G l l c y w 3 f S Z x d W 9 0 O y w m c X V v d D t T Z W N 0 a W 9 u M S 9 D Y X N o R m x v d y 9 D a G F u Z 2 V k I F R 5 c G U u e 0 N h c 2 h G b G 9 3 R n J v b U N v b n R p b n V p b m d J b n Z l c 3 R p b m d B Y 3 R p d m l 0 a W V z L D h 9 J n F 1 b 3 Q 7 L C Z x d W 9 0 O 1 N l Y 3 R p b 2 4 x L 0 N h c 2 h G b G 9 3 L 0 N o Y W 5 n Z W Q g V H l w Z S 5 7 Q 2 F z a E Z s b 3 d G c m 9 t Q 2 9 u d G l u d W l u Z 0 9 w Z X J h d G l u Z 0 F j d G l 2 a X R p Z X M s O X 0 m c X V v d D s s J n F 1 b 3 Q 7 U 2 V j d G l v b j E v Q 2 F z a E Z s b 3 c v Q 2 h h b m d l Z C B U e X B l L n t D a G F u Z 2 V J b k F j Y 2 9 1 b n R Q Y X l h Y m x l L D E w f S Z x d W 9 0 O y w m c X V v d D t T Z W N 0 a W 9 u M S 9 D Y X N o R m x v d y 9 D a G F u Z 2 V k I F R 5 c G U u e 0 N o Y W 5 n Z U l u Q W N j c n V l Z E V 4 c G V u c 2 U s M T F 9 J n F 1 b 3 Q 7 L C Z x d W 9 0 O 1 N l Y 3 R p b 2 4 x L 0 N h c 2 h G b G 9 3 L 0 N o Y W 5 n Z W Q g V H l w Z S 5 7 Q 2 h h b m d l S W 5 D Y X N o U 3 V w c G x l b W V u d G F s Q X N S Z X B v c n R l Z C w x M n 0 m c X V v d D s s J n F 1 b 3 Q 7 U 2 V j d G l v b j E v Q 2 F z a E Z s b 3 c v Q 2 h h b m d l Z C B U e X B l L n t D a G F u Z 2 V J b k 9 0 a G V y Q 3 V y c m V u d E F z c 2 V 0 c y w x N X 0 m c X V v d D s s J n F 1 b 3 Q 7 U 2 V j d G l v b j E v Q 2 F z a E Z s b 3 c v Q 2 h h b m d l Z C B U e X B l L n t D a G F u Z 2 V J b k 9 0 a G V y Q 3 V y c m V u d E x p Y W J p b G l 0 a W V z L D E 2 f S Z x d W 9 0 O y w m c X V v d D t T Z W N 0 a W 9 u M S 9 D Y X N o R m x v d y 9 D a G F u Z 2 V k I F R 5 c G U u e 0 N o Y W 5 n Z U l u T 3 R o Z X J X b 3 J r a W 5 n Q 2 F w a X R h b C w x N 3 0 m c X V v d D s s J n F 1 b 3 Q 7 U 2 V j d G l v b j E v Q 2 F z a E Z s b 3 c v Q 2 h h b m d l Z C B U e X B l L n t D a G F u Z 2 V J b l B h e W F i b G U s M T h 9 J n F 1 b 3 Q 7 L C Z x d W 9 0 O 1 N l Y 3 R p b 2 4 x L 0 N h c 2 h G b G 9 3 L 0 N o Y W 5 n Z W Q g V H l w Z S 5 7 Q 2 h h b m d l S W 5 Q Y X l h Y m x l c 0 F u Z E F j Y 3 J 1 Z W R F e H B l b n N l L D E 5 f S Z x d W 9 0 O y w m c X V v d D t T Z W N 0 a W 9 u M S 9 D Y X N o R m x v d y 9 D a G F u Z 2 V k I F R 5 c G U u e 0 N o Y W 5 n Z U l u U H J l c G F p Z E F z c 2 V 0 c y w y M H 0 m c X V v d D s s J n F 1 b 3 Q 7 U 2 V j d G l v b j E v Q 2 F z a E Z s b 3 c v Q 2 h h b m d l Z C B U e X B l L n t D a G F u Z 2 V J b l J l Y 2 V p d m F i b G V z L D I x f S Z x d W 9 0 O y w m c X V v d D t T Z W N 0 a W 9 u M S 9 D Y X N o R m x v d y 9 D a G F u Z 2 V k I F R 5 c G U u e 0 N o Y W 5 n Z U l u V 2 9 y a 2 l u Z 0 N h c G l 0 Y W w s M j N 9 J n F 1 b 3 Q 7 L C Z x d W 9 0 O 1 N l Y 3 R p b 2 4 x L 0 N h c 2 h G b G 9 3 L 0 N o Y W 5 n Z W Q g V H l w Z S 5 7 Q 2 h h b m d l c 0 l u Q W N j b 3 V u d F J l Y 2 V p d m F i b G V z L D I 0 f S Z x d W 9 0 O y w m c X V v d D t T Z W N 0 a W 9 u M S 9 D Y X N o R m x v d y 9 D a G F u Z 2 V k I F R 5 c G U u e 0 N o Y W 5 n Z X N J b k N h c 2 g s M j V 9 J n F 1 b 3 Q 7 L C Z x d W 9 0 O 1 N l Y 3 R p b 2 4 x L 0 N h c 2 h G b G 9 3 L 0 N o Y W 5 n Z W Q g V H l w Z S 5 7 Q 2 9 t b W 9 u U 3 R v Y 2 t J c 3 N 1 Y W 5 j Z S w 1 N 3 0 m c X V v d D s s J n F 1 b 3 Q 7 U 2 V j d G l v b j E v Q 2 F z a E Z s b 3 c v Q 2 h h b m d l Z C B U e X B l L n t D b 2 1 t b 2 5 T d G 9 j a 1 B h e W 1 l b n R z L D c y f S Z x d W 9 0 O y w m c X V v d D t T Z W N 0 a W 9 u M S 9 D Y X N o R m x v d y 9 D a G F u Z 2 V k I F R 5 c G U u e 0 R l Z m V y c m V k S W 5 j b 2 1 l V G F 4 L D I 2 f S Z x d W 9 0 O y w m c X V v d D t T Z W N 0 a W 9 u M S 9 D Y X N o R m x v d y 9 D a G F u Z 2 V k I F R 5 c G U u e 0 R l Z m V y c m V k V G F 4 L D I 3 f S Z x d W 9 0 O y w m c X V v d D t T Z W N 0 a W 9 u M S 9 D Y X N o R m x v d y 9 D a G F u Z 2 V k I F R 5 c G U u e 0 R l c H J l Y 2 l h d G l v b k F t b 3 J 0 a X p h d G l v b k R l c G x l d G l v b i w y O H 0 m c X V v d D s s J n F 1 b 3 Q 7 U 2 V j d G l v b j E v Q 2 F z a E Z s b 3 c v Q 2 h h b m d l Z C B U e X B l L n t E Z X B y Z W N p Y X R p b 2 5 B b m R B b W 9 y d G l 6 Y X R p b 2 4 s M j l 9 J n F 1 b 3 Q 7 L C Z x d W 9 0 O 1 N l Y 3 R p b 2 4 x L 0 N h c 2 h G b G 9 3 L 0 N o Y W 5 n Z W Q g V H l w Z S 5 7 R W F y b m l u Z 3 N M b 3 N z Z X N G c m 9 t R X F 1 a X R 5 S W 5 2 Z X N 0 b W V u d H M s O D F 9 J n F 1 b 3 Q 7 L C Z x d W 9 0 O 1 N l Y 3 R p b 2 4 x L 0 N h c 2 h G b G 9 3 L 0 N o Y W 5 n Z W Q g V H l w Z S 5 7 R W Z m Z W N 0 T 2 Z F e G N o Y W 5 n Z V J h d G V D a G F u Z 2 V z L D M w f S Z x d W 9 0 O y w m c X V v d D t T Z W N 0 a W 9 u M S 9 D Y X N o R m x v d y 9 D a G F u Z 2 V k I F R 5 c G U u e 0 V u Z E N h c 2 h Q b 3 N p d G l v b i w z M X 0 m c X V v d D s s J n F 1 b 3 Q 7 U 2 V j d G l v b j E v Q 2 F z a E Z s b 3 c v Q 2 h h b m d l Z C B U e X B l L n t G a W 5 h b m N p b m d D Y X N o R m x v d y w z M n 0 m c X V v d D s s J n F 1 b 3 Q 7 U 2 V j d G l v b j E v Q 2 F z a E Z s b 3 c v Q 2 h h b m d l Z C B U e X B l L n t G c m V l Q 2 F z a E Z s b 3 c s M z N 9 J n F 1 b 3 Q 7 L C Z x d W 9 0 O 1 N l Y 3 R p b 2 4 x L 0 N h c 2 h G b G 9 3 L 0 N o Y W 5 n Z W Q g V H l w Z S 5 7 R 2 F p b k x v c 3 N P b k l u d m V z d G 1 l b n R T Z W N 1 c m l 0 a W V z L D c 3 f S Z x d W 9 0 O y w m c X V v d D t T Z W N 0 a W 9 u M S 9 D Y X N o R m x v d y 9 D a G F u Z 2 V k I F R 5 c G U u e 0 d h a W 5 M b 3 N z T 2 5 T Y W x l T 2 Z C d X N p b m V z c y w 4 O X 0 m c X V v d D s s J n F 1 b 3 Q 7 U 2 V j d G l v b j E v Q 2 F z a E Z s b 3 c v Q 2 h h b m d l Z C B U e X B l L n t J b m N v b W V U Y X h Q Y W l k U 3 V w c G x l b W V u d G F s R G F 0 Y S w z N X 0 m c X V v d D s s J n F 1 b 3 Q 7 U 2 V j d G l v b j E v Q 2 F z a E Z s b 3 c v Q 2 h h b m d l Z C B U e X B l L n t J b n R l c m V z d F B h a W R T d X B w b G V t Z W 5 0 Y W x E Y X R h L D U 5 f S Z x d W 9 0 O y w m c X V v d D t T Z W N 0 a W 9 u M S 9 D Y X N o R m x v d y 9 D a G F u Z 2 V k I F R 5 c G U u e 0 l u d m V z d G l u Z 0 N h c 2 h G b G 9 3 L D M 2 f S Z x d W 9 0 O y w m c X V v d D t T Z W N 0 a W 9 u M S 9 D Y X N o R m x v d y 9 D a G F u Z 2 V k I F R 5 c G U u e 0 l z c 3 V h b m N l T 2 Z D Y X B p d G F s U 3 R v Y 2 s s N j B 9 J n F 1 b 3 Q 7 L C Z x d W 9 0 O 1 N l Y 3 R p b 2 4 x L 0 N h c 2 h G b G 9 3 L 0 N o Y W 5 n Z W Q g V H l w Z S 5 7 S X N z d W F u Y 2 V P Z k R l Y n Q s N j F 9 J n F 1 b 3 Q 7 L C Z x d W 9 0 O 1 N l Y 3 R p b 2 4 x L 0 N h c 2 h G b G 9 3 L 0 N o Y W 5 n Z W Q g V H l w Z S 5 7 T G 9 u Z 1 R l c m 1 E Z W J 0 S X N z d W F u Y 2 U s N j J 9 J n F 1 b 3 Q 7 L C Z x d W 9 0 O 1 N l Y 3 R p b 2 4 x L 0 N h c 2 h G b G 9 3 L 0 N o Y W 5 n Z W Q g V H l w Z S 5 7 T G 9 u Z 1 R l c m 1 E Z W J 0 U G F 5 b W V u d H M s N z h 9 J n F 1 b 3 Q 7 L C Z x d W 9 0 O 1 N l Y 3 R p b 2 4 x L 0 N h c 2 h G b G 9 3 L 0 N o Y W 5 n Z W Q g V H l w Z S 5 7 T m V 0 Q n V z a W 5 l c 3 N Q d X J j a G F z Z U F u Z F N h b G U s M z d 9 J n F 1 b 3 Q 7 L C Z x d W 9 0 O 1 N l Y 3 R p b 2 4 x L 0 N h c 2 h G b G 9 3 L 0 N o Y W 5 n Z W Q g V H l w Z S 5 7 T m V 0 Q 2 9 t b W 9 u U 3 R v Y 2 t J c 3 N 1 Y W 5 j Z S w 2 M 3 0 m c X V v d D s s J n F 1 b 3 Q 7 U 2 V j d G l v b j E v Q 2 F z a E Z s b 3 c v Q 2 h h b m d l Z C B U e X B l L n t O Z X R G b 3 J l a W d u Q 3 V y c m V u Y 3 l F e G N o Y W 5 n Z U d h a W 5 M b 3 N z L D g 0 f S Z x d W 9 0 O y w m c X V v d D t T Z W N 0 a W 9 u M S 9 D Y X N o R m x v d y 9 D a G F u Z 2 V k I F R 5 c G U u e 0 5 l d E l u Y 2 9 t Z S w z O H 0 m c X V v d D s s J n F 1 b 3 Q 7 U 2 V j d G l v b j E v Q 2 F z a E Z s b 3 c v Q 2 h h b m d l Z C B U e X B l L n t O Z X R J b m N v b W V G c m 9 t Q 2 9 u d G l u d W l u Z 0 9 w Z X J h d G l v b n M s M z l 9 J n F 1 b 3 Q 7 L C Z x d W 9 0 O 1 N l Y 3 R p b 2 4 x L 0 N h c 2 h G b G 9 3 L 0 N o Y W 5 n Z W Q g V H l w Z S 5 7 T m V 0 S W 5 2 Z X N 0 b W V u d F B 1 c m N o Y X N l Q W 5 k U 2 F s Z S w 0 M X 0 m c X V v d D s s J n F 1 b 3 Q 7 U 2 V j d G l v b j E v Q 2 F z a E Z s b 3 c v Q 2 h h b m d l Z C B U e X B l L n t O Z X R J c 3 N 1 Y W 5 j Z V B h e W 1 l b n R z T 2 Z E Z W J 0 L D Y 0 f S Z x d W 9 0 O y w m c X V v d D t T Z W N 0 a W 9 u M S 9 D Y X N o R m x v d y 9 D a G F u Z 2 V k I F R 5 c G U u e 0 5 l d E x v b m d U Z X J t R G V i d E l z c 3 V h b m N l L D Y 1 f S Z x d W 9 0 O y w m c X V v d D t T Z W N 0 a W 9 u M S 9 D Y X N o R m x v d y 9 D a G F u Z 2 V k I F R 5 c G U u e 0 5 l d E 9 0 a G V y R m l u Y W 5 j a W 5 n Q 2 h h c m d l c y w 0 M n 0 m c X V v d D s s J n F 1 b 3 Q 7 U 2 V j d G l v b j E v Q 2 F z a E Z s b 3 c v Q 2 h h b m d l Z C B U e X B l L n t O Z X R P d G h l c k l u d m V z d G l u Z 0 N o Y W 5 n Z X M s N D N 9 J n F 1 b 3 Q 7 L C Z x d W 9 0 O 1 N l Y 3 R p b 2 4 x L 0 N h c 2 h G b G 9 3 L 0 N o Y W 5 n Z W Q g V H l w Z S 5 7 T m V 0 U F B F U H V y Y 2 h h c 2 V B b m R T Y W x l L D Q 0 f S Z x d W 9 0 O y w m c X V v d D t T Z W N 0 a W 9 u M S 9 D Y X N o R m x v d y 9 D a G F u Z 2 V k I F R 5 c G U u e 0 5 l d F B y Z W Z l c n J l Z F N 0 b 2 N r S X N z d W F u Y 2 U s N j Z 9 J n F 1 b 3 Q 7 L C Z x d W 9 0 O 1 N l Y 3 R p b 2 4 x L 0 N h c 2 h G b G 9 3 L 1 B y b 2 1 v d G V k I E h l Y W R l c n M u e 0 F t b 3 J 0 a X p h d G l v b k 9 m U 2 V j d X J p d G l l c y w 1 N n 0 m c X V v d D s s J n F 1 b 3 Q 7 U 2 V j d G l v b j E v Q 2 F z a E Z s b 3 c v Q 2 h h b m d l Z C B U e X B l L n t P c G V y Y X R p b m d D Y X N o R m x v d y w 0 N X 0 m c X V v d D s s J n F 1 b 3 Q 7 U 2 V j d G l v b j E v Q 2 F z a E Z s b 3 c v Q 2 h h b m d l Z C B U e X B l L n t P c G V y Y X R p b m d H Y W l u c 0 x v c 3 N l c y w 0 N n 0 m c X V v d D s s J n F 1 b 3 Q 7 U 2 V j d G l v b j E v Q 2 F z a E Z s b 3 c v Q 2 h h b m d l Z C B U e X B l L n t P d G h l c k N h c 2 h B Z G p 1 c 3 R t Z W 5 0 T 3 V 0 c 2 l k Z U N o Y W 5 n Z W l u Q 2 F z a C w 5 M H 0 m c X V v d D s s J n F 1 b 3 Q 7 U 2 V j d G l v b j E v Q 2 F z a E Z s b 3 c v Q 2 h h b m d l Z C B U e X B l L n t P d G h l c k 5 v b k N h c 2 h J d G V t c y w 0 N 3 0 m c X V v d D s s J n F 1 b 3 Q 7 U 2 V j d G l v b j E v Q 2 F z a E Z s b 3 c v Q 2 h h b m d l Z C B U e X B l L n t Q c m V m Z X J y Z W R T d G 9 j a 0 l z c 3 V h b m N l L D Y 4 f S Z x d W 9 0 O y w m c X V v d D t T Z W N 0 a W 9 u M S 9 D Y X N o R m x v d y 9 D a G F u Z 2 V k I F R 5 c G U u e 1 B y b 2 N l Z W R z R n J v b V N 0 b 2 N r T 3 B 0 a W 9 u R X h l c m N p c 2 V k L D Q 4 f S Z x d W 9 0 O y w m c X V v d D t T Z W N 0 a W 9 u M S 9 D Y X N o R m x v d y 9 D a G F u Z 2 V k I F R 5 c G U u e 1 B 1 c m N o Y X N l T 2 Z C d X N p b m V z c y w 1 M H 0 m c X V v d D s s J n F 1 b 3 Q 7 U 2 V j d G l v b j E v Q 2 F z a E Z s b 3 c v Q 2 h h b m d l Z C B U e X B l L n t Q d X J j a G F z Z U 9 m S W 5 2 Z X N 0 b W V u d C w 1 M n 0 m c X V v d D s s J n F 1 b 3 Q 7 U 2 V j d G l v b j E v Q 2 F z a E Z s b 3 c v Q 2 h h b m d l Z C B U e X B l L n t Q d X J j a G F z Z U 9 m U F B F L D U z f S Z x d W 9 0 O y w m c X V v d D t T Z W N 0 a W 9 u M S 9 D Y X N o R m x v d y 9 D a G F u Z 2 V k I F R 5 c G U u e 1 J l c G F 5 b W V u d E 9 m R G V i d C w 3 O X 0 m c X V v d D s s J n F 1 b 3 Q 7 U 2 V j d G l v b j E v Q 2 F z a E Z s b 3 c v Q 2 h h b m d l Z C B U e X B l L n t S Z X B 1 c m N o Y X N l T 2 Z D Y X B p d G F s U 3 R v Y 2 s s N z B 9 J n F 1 b 3 Q 7 L C Z x d W 9 0 O 1 N l Y 3 R p b 2 4 x L 0 N h c 2 h G b G 9 3 L 0 N o Y W 5 n Z W Q g V H l w Z S 5 7 U 2 F s Z U 9 m Q n V z a W 5 l c 3 M s O D J 9 J n F 1 b 3 Q 7 L C Z x d W 9 0 O 1 N l Y 3 R p b 2 4 x L 0 N h c 2 h G b G 9 3 L 0 N o Y W 5 n Z W Q g V H l w Z S 5 7 U 2 F s Z U 9 m S W 5 2 Z X N 0 b W V u d C w 1 N H 0 m c X V v d D s s J n F 1 b 3 Q 7 U 2 V j d G l v b j E v Q 2 F z a E Z s b 3 c v Q 2 h h b m d l Z C B U e X B l L n t T Y W x l T 2 Z Q U E U s O D B 9 J n F 1 b 3 Q 7 L C Z x d W 9 0 O 1 N l Y 3 R p b 2 4 x L 0 N h c 2 h G b G 9 3 L 0 N o Y W 5 n Z W Q g V H l w Z S 5 7 U 3 R v Y 2 t C Y X N l Z E N v b X B l b n N h d G l v b i w 1 N X 0 m c X V v d D s s J n F 1 b 3 Q 7 U 2 V j d G l v b j E v Q 2 F z a E Z s b 3 c v Q 2 h h b m d l Z C B U e X B l L n t V b n J l Y W x p e m V k R 2 F p b k x v c 3 N P b k l u d m V z d G 1 l b n R T Z W N 1 c m l 0 a W V z L D k x f S Z x d W 9 0 O y w m c X V v d D t T Z W N 0 a W 9 u M S 9 D Y X N o R m x v d y 9 D a G F u Z 2 V k I F R 5 c G U u e 0 F t b 3 J 0 a X p h d G l v b k N h c 2 h G b G 9 3 L D c z f S Z x d W 9 0 O y w m c X V v d D t T Z W N 0 a W 9 u M S 9 D Y X N o R m x v d y 9 D a G F u Z 2 V k I F R 5 c G U u e 0 F t b 3 J 0 a X p h d G l v b k 9 m S W 5 0 Y W 5 n a W J s Z X M s N z R 9 J n F 1 b 3 Q 7 L C Z x d W 9 0 O 1 N l Y 3 R p b 2 4 x L 0 N h c 2 h G b G 9 3 L 0 N o Y W 5 n Z W Q g V H l w Z S 5 7 Q 2 F w a X R h b E V 4 c G V u Z G l 0 d X J l U m V w b 3 J 0 Z W Q s O D N 9 J n F 1 b 3 Q 7 L C Z x d W 9 0 O 1 N l Y 3 R p b 2 4 x L 0 N h c 2 h G b G 9 3 L 0 N o Y W 5 n Z W Q g V H l w Z S 5 7 Q 2 F z a E R p d m l k Z W 5 k c 1 B h a W Q s N z V 9 J n F 1 b 3 Q 7 L C Z x d W 9 0 O 1 N l Y 3 R p b 2 4 x L 0 N h c 2 h G b G 9 3 L 0 N o Y W 5 n Z W Q g V H l w Z S 5 7 Q 2 h h b m d l S W 5 J b m N v b W V U Y X h Q Y X l h Y m x l L D E z f S Z x d W 9 0 O y w m c X V v d D t T Z W N 0 a W 9 u M S 9 D Y X N o R m x v d y 9 D a G F u Z 2 V k I F R 5 c G U u e 0 N o Y W 5 n Z U l u S W 5 2 Z W 5 0 b 3 J 5 L D E 0 f S Z x d W 9 0 O y w m c X V v d D t T Z W N 0 a W 9 u M S 9 D Y X N o R m x v d y 9 D a G F u Z 2 V k I F R 5 c G U u e 0 N o Y W 5 n Z U l u V G F 4 U G F 5 Y W J s Z S w y M n 0 m c X V v d D s s J n F 1 b 3 Q 7 U 2 V j d G l v b j E v Q 2 F z a E Z s b 3 c v Q 2 h h b m d l Z C B U e X B l L n t D b 2 1 t b 2 5 T d G 9 j a 0 R p d m l k Z W 5 k U G F p Z C w 3 N n 0 m c X V v d D s s J n F 1 b 3 Q 7 U 2 V j d G l v b j E v Q 2 F z a E Z s b 3 c v Q 2 h h b m d l Z C B U e X B l L n t E Z X B y Z W N p Y X R p b 2 4 s N T h 9 J n F 1 b 3 Q 7 L C Z x d W 9 0 O 1 N l Y 3 R p b 2 4 x L 0 N h c 2 h G b G 9 3 L 0 N o Y W 5 n Z W Q g V H l w Z S 5 7 R 2 F p b k x v c 3 N P b l N h b G V P Z l B Q R S w z N H 0 m c X V v d D s s J n F 1 b 3 Q 7 U 2 V j d G l v b j E v Q 2 F z a E Z s b 3 c v Q 2 h h b m d l Z C B U e X B l L n t O Z X R T a G 9 y d F R l c m 1 E Z W J 0 S X N z d W F u Y 2 U s N j d 9 J n F 1 b 3 Q 7 L C Z x d W 9 0 O 1 N l Y 3 R p b 2 4 x L 0 N h c 2 h G b G 9 3 L 0 N o Y W 5 n Z W Q g V H l w Z S 5 7 U G V u c 2 l v b k F u Z E V t c G x v e W V l Q m V u Z W Z p d E V 4 c G V u c 2 U s O T J 9 J n F 1 b 3 Q 7 L C Z x d W 9 0 O 1 N l Y 3 R p b 2 4 x L 0 N h c 2 h G b G 9 3 L 1 B y b 2 1 v d G V k I E h l Y W R l c n M u e 0 N o Y W 5 n Z U l u S W 5 0 Z X J l c 3 R Q Y X l h Y m x l L D g 1 f S Z x d W 9 0 O y w m c X V v d D t T Z W N 0 a W 9 u M S 9 D Y X N o R m x v d y 9 D a G F u Z 2 V k I F R 5 c G U u e 1 N o b 3 J 0 V G V y b U R l Y n R J c 3 N 1 Y W 5 j Z S w 3 M X 0 m c X V v d D s s J n F 1 b 3 Q 7 U 2 V j d G l v b j E v Q 2 F z a E Z s b 3 c v Q 2 h h b m d l Z C B U e X B l L n t T a G 9 y d F R l c m 1 E Z W J 0 U G F 5 b W V u d H M s O D Z 9 J n F 1 b 3 Q 7 L C Z x d W 9 0 O 1 N l Y 3 R p b 2 4 x L 0 N h c 2 h G b G 9 3 L 1 B y b 2 1 v d G V k I E h l Y W R l c n M u e 2 F z T 2 Z Z Z W F y L D g 4 f S Z x d W 9 0 O y w m c X V v d D t T Z W N 0 a W 9 u M S 9 D Y X N o R m x v d y 9 D a G F u Z 2 V k I F R 5 c G U u e 0 N h c 2 h G c m 9 t R G l z Y 2 9 u d G l u d W V k R m l u Y W 5 j a W 5 n Q W N 0 a X Z p d G l l c y w 5 M 3 0 m c X V v d D s s J n F 1 b 3 Q 7 U 2 V j d G l v b j E v Q 2 F z a E Z s b 3 c v Q 2 h h b m d l Z C B U e X B l L n t D Y X N o R n J v b U R p c 2 N v b n R p b n V l Z E l u d m V z d G l u Z 0 F j d G l 2 a X R p Z X M s O T R 9 J n F 1 b 3 Q 7 L C Z x d W 9 0 O 1 N l Y 3 R p b 2 4 x L 0 N h c 2 h G b G 9 3 L 0 N o Y W 5 n Z W Q g V H l w Z S 5 7 Q 2 F z a E Z y b 2 1 E a X N j b 2 5 0 a W 5 1 Z W R P c G V y Y X R p b m d B Y 3 R p d m l 0 a W V z L D k 1 f S Z x d W 9 0 O y w m c X V v d D t T Z W N 0 a W 9 u M S 9 D Y X N o R m x v d y 9 D a G F u Z 2 V k I F R 5 c G U u e 0 R p d m l k Z W 5 k c 1 J l Y 2 V p d m V k Q 0 Z J L D k 2 f S Z x d W 9 0 O y w m c X V v d D t T Z W N 0 a W 9 u M S 9 D Y X N o R m x v d y 9 D a G F u Z 2 V k I F R 5 c G U u e 1 B y Z W Z l c n J l Z F N 0 b 2 N r R G l 2 a W R l b m R Q Y W l k L D k 3 f S Z x d W 9 0 O y w m c X V v d D t T Z W N 0 a W 9 u M S 9 D Y X N o R m x v d y 9 D a G F u Z 2 V k I F R 5 c G U u e 1 B y Z W Z l c n J l Z F N 0 b 2 N r U G F 5 b W V u d H M s N j l 9 J n F 1 b 3 Q 7 L C Z x d W 9 0 O 1 N l Y 3 R p b 2 4 x L 0 N h c 2 h G b G 9 3 L 0 N o Y W 5 n Z W Q g V H l w Z S 5 7 U H J v d m l z a W 9 u Y W 5 k V 3 J p d G V P Z m Z v Z k F z c 2 V 0 c y w 0 O X 0 m c X V v d D s s J n F 1 b 3 Q 7 U 2 V j d G l v b j E v Q 2 F z a E Z s b 3 c v Q 2 h h b m d l Z C B U e X B l L n t O Z X R J b n R h b m d p Y m x l c 1 B 1 c m N o Y X N l Q W 5 k U 2 F s Z S w 0 M H 0 m c X V v d D s s J n F 1 b 3 Q 7 U 2 V j d G l v b j E v Q 2 F z a E Z s b 3 c v Q 2 h h b m d l Z C B U e X B l L n t Q d X J j a G F z Z U 9 m S W 5 0 Y W 5 n a W J s Z X M s N T F 9 J n F 1 b 3 Q 7 L C Z x d W 9 0 O 1 N l Y 3 R p b 2 4 x L 0 N h c 2 h G b G 9 3 L 0 N o Y W 5 n Z W Q g V H l w Z S 5 7 V G l j a 2 V y L D g 3 f S Z x d W 9 0 O 1 0 s J n F 1 b 3 Q 7 Q 2 9 s d W 1 u Q 2 9 1 b n Q m c X V v d D s 6 O T k s J n F 1 b 3 Q 7 S 2 V 5 Q 2 9 s d W 1 u T m F t Z X M m c X V v d D s 6 W 1 0 s J n F 1 b 3 Q 7 Q 2 9 s d W 1 u S W R l b n R p d G l l c y Z x d W 9 0 O z p b J n F 1 b 3 Q 7 U 2 V j d G l v b j E v Q 2 F z a E Z s b 3 c v Q 2 h h b m d l Z C B U e X B l L n t p Z C w w f S Z x d W 9 0 O y w m c X V v d D t T Z W N 0 a W 9 u M S 9 D Y X N o R m x v d y 9 D a G F u Z 2 V k I F R 5 c G U u e 2 F z T 2 Z E Y X R l L D F 9 J n F 1 b 3 Q 7 L C Z x d W 9 0 O 1 N l Y 3 R p b 2 4 x L 0 N h c 2 h G b G 9 3 L 0 l u c 2 V y d G V k I F l l Y X I u e 1 l l Y X I s O T h 9 J n F 1 b 3 Q 7 L C Z x d W 9 0 O 1 N l Y 3 R p b 2 4 x L 0 N h c 2 h G b G 9 3 L 0 N o Y W 5 n Z W Q g V H l w Z S 5 7 c G V y a W 9 k V H l w Z S w y f S Z x d W 9 0 O y w m c X V v d D t T Z W N 0 a W 9 u M S 9 D Y X N o R m x v d y 9 D a G F u Z 2 V k I F R 5 c G U u e 2 N 1 c n J l b m N 5 Q 2 9 k Z S w z f S Z x d W 9 0 O y w m c X V v d D t T Z W N 0 a W 9 u M S 9 D Y X N o R m x v d y 9 D a G F u Z 2 V k I F R 5 c G U u e 0 F z c 2 V 0 S W 1 w Y W l y b W V u d E N o Y X J n Z S w 0 f S Z x d W 9 0 O y w m c X V v d D t T Z W N 0 a W 9 u M S 9 D Y X N o R m x v d y 9 D a G F u Z 2 V k I F R 5 c G U u e 0 J l Z 2 l u b m l u Z 0 N h c 2 h Q b 3 N p d G l v b i w 1 f S Z x d W 9 0 O y w m c X V v d D t T Z W N 0 a W 9 u M S 9 D Y X N o R m x v d y 9 D a G F u Z 2 V k I F R 5 c G U u e 0 N h c G l 0 Y W x F e H B l b m R p d H V y Z S w 2 f S Z x d W 9 0 O y w m c X V v d D t T Z W N 0 a W 9 u M S 9 D Y X N o R m x v d y 9 D a G F u Z 2 V k I F R 5 c G U u e 0 N h c 2 h G b G 9 3 R n J v b U N v b n R p b n V p b m d G a W 5 h b m N p b m d B Y 3 R p d m l 0 a W V z L D d 9 J n F 1 b 3 Q 7 L C Z x d W 9 0 O 1 N l Y 3 R p b 2 4 x L 0 N h c 2 h G b G 9 3 L 0 N o Y W 5 n Z W Q g V H l w Z S 5 7 Q 2 F z a E Z s b 3 d G c m 9 t Q 2 9 u d G l u d W l u Z 0 l u d m V z d G l u Z 0 F j d G l 2 a X R p Z X M s O H 0 m c X V v d D s s J n F 1 b 3 Q 7 U 2 V j d G l v b j E v Q 2 F z a E Z s b 3 c v Q 2 h h b m d l Z C B U e X B l L n t D Y X N o R m x v d 0 Z y b 2 1 D b 2 5 0 a W 5 1 a W 5 n T 3 B l c m F 0 a W 5 n Q W N 0 a X Z p d G l l c y w 5 f S Z x d W 9 0 O y w m c X V v d D t T Z W N 0 a W 9 u M S 9 D Y X N o R m x v d y 9 D a G F u Z 2 V k I F R 5 c G U u e 0 N o Y W 5 n Z U l u Q W N j b 3 V u d F B h e W F i b G U s M T B 9 J n F 1 b 3 Q 7 L C Z x d W 9 0 O 1 N l Y 3 R p b 2 4 x L 0 N h c 2 h G b G 9 3 L 0 N o Y W 5 n Z W Q g V H l w Z S 5 7 Q 2 h h b m d l S W 5 B Y 2 N y d W V k R X h w Z W 5 z Z S w x M X 0 m c X V v d D s s J n F 1 b 3 Q 7 U 2 V j d G l v b j E v Q 2 F z a E Z s b 3 c v Q 2 h h b m d l Z C B U e X B l L n t D a G F u Z 2 V J b k N h c 2 h T d X B w b G V t Z W 5 0 Y W x B c 1 J l c G 9 y d G V k L D E y f S Z x d W 9 0 O y w m c X V v d D t T Z W N 0 a W 9 u M S 9 D Y X N o R m x v d y 9 D a G F u Z 2 V k I F R 5 c G U u e 0 N o Y W 5 n Z U l u T 3 R o Z X J D d X J y Z W 5 0 Q X N z Z X R z L D E 1 f S Z x d W 9 0 O y w m c X V v d D t T Z W N 0 a W 9 u M S 9 D Y X N o R m x v d y 9 D a G F u Z 2 V k I F R 5 c G U u e 0 N o Y W 5 n Z U l u T 3 R o Z X J D d X J y Z W 5 0 T G l h Y m l s a X R p Z X M s M T Z 9 J n F 1 b 3 Q 7 L C Z x d W 9 0 O 1 N l Y 3 R p b 2 4 x L 0 N h c 2 h G b G 9 3 L 0 N o Y W 5 n Z W Q g V H l w Z S 5 7 Q 2 h h b m d l S W 5 P d G h l c l d v c m t p b m d D Y X B p d G F s L D E 3 f S Z x d W 9 0 O y w m c X V v d D t T Z W N 0 a W 9 u M S 9 D Y X N o R m x v d y 9 D a G F u Z 2 V k I F R 5 c G U u e 0 N o Y W 5 n Z U l u U G F 5 Y W J s Z S w x O H 0 m c X V v d D s s J n F 1 b 3 Q 7 U 2 V j d G l v b j E v Q 2 F z a E Z s b 3 c v Q 2 h h b m d l Z C B U e X B l L n t D a G F u Z 2 V J b l B h e W F i b G V z Q W 5 k Q W N j c n V l Z E V 4 c G V u c 2 U s M T l 9 J n F 1 b 3 Q 7 L C Z x d W 9 0 O 1 N l Y 3 R p b 2 4 x L 0 N h c 2 h G b G 9 3 L 0 N o Y W 5 n Z W Q g V H l w Z S 5 7 Q 2 h h b m d l S W 5 Q c m V w Y W l k Q X N z Z X R z L D I w f S Z x d W 9 0 O y w m c X V v d D t T Z W N 0 a W 9 u M S 9 D Y X N o R m x v d y 9 D a G F u Z 2 V k I F R 5 c G U u e 0 N o Y W 5 n Z U l u U m V j Z W l 2 Y W J s Z X M s M j F 9 J n F 1 b 3 Q 7 L C Z x d W 9 0 O 1 N l Y 3 R p b 2 4 x L 0 N h c 2 h G b G 9 3 L 0 N o Y W 5 n Z W Q g V H l w Z S 5 7 Q 2 h h b m d l S W 5 X b 3 J r a W 5 n Q 2 F w a X R h b C w y M 3 0 m c X V v d D s s J n F 1 b 3 Q 7 U 2 V j d G l v b j E v Q 2 F z a E Z s b 3 c v Q 2 h h b m d l Z C B U e X B l L n t D a G F u Z 2 V z S W 5 B Y 2 N v d W 5 0 U m V j Z W l 2 Y W J s Z X M s M j R 9 J n F 1 b 3 Q 7 L C Z x d W 9 0 O 1 N l Y 3 R p b 2 4 x L 0 N h c 2 h G b G 9 3 L 0 N o Y W 5 n Z W Q g V H l w Z S 5 7 Q 2 h h b m d l c 0 l u Q 2 F z a C w y N X 0 m c X V v d D s s J n F 1 b 3 Q 7 U 2 V j d G l v b j E v Q 2 F z a E Z s b 3 c v Q 2 h h b m d l Z C B U e X B l L n t D b 2 1 t b 2 5 T d G 9 j a 0 l z c 3 V h b m N l L D U 3 f S Z x d W 9 0 O y w m c X V v d D t T Z W N 0 a W 9 u M S 9 D Y X N o R m x v d y 9 D a G F u Z 2 V k I F R 5 c G U u e 0 N v b W 1 v b l N 0 b 2 N r U G F 5 b W V u d H M s N z J 9 J n F 1 b 3 Q 7 L C Z x d W 9 0 O 1 N l Y 3 R p b 2 4 x L 0 N h c 2 h G b G 9 3 L 0 N o Y W 5 n Z W Q g V H l w Z S 5 7 R G V m Z X J y Z W R J b m N v b W V U Y X g s M j Z 9 J n F 1 b 3 Q 7 L C Z x d W 9 0 O 1 N l Y 3 R p b 2 4 x L 0 N h c 2 h G b G 9 3 L 0 N o Y W 5 n Z W Q g V H l w Z S 5 7 R G V m Z X J y Z W R U Y X g s M j d 9 J n F 1 b 3 Q 7 L C Z x d W 9 0 O 1 N l Y 3 R p b 2 4 x L 0 N h c 2 h G b G 9 3 L 0 N o Y W 5 n Z W Q g V H l w Z S 5 7 R G V w c m V j a W F 0 a W 9 u Q W 1 v c n R p e m F 0 a W 9 u R G V w b G V 0 a W 9 u L D I 4 f S Z x d W 9 0 O y w m c X V v d D t T Z W N 0 a W 9 u M S 9 D Y X N o R m x v d y 9 D a G F u Z 2 V k I F R 5 c G U u e 0 R l c H J l Y 2 l h d G l v b k F u Z E F t b 3 J 0 a X p h d G l v b i w y O X 0 m c X V v d D s s J n F 1 b 3 Q 7 U 2 V j d G l v b j E v Q 2 F z a E Z s b 3 c v Q 2 h h b m d l Z C B U e X B l L n t F Y X J u a W 5 n c 0 x v c 3 N l c 0 Z y b 2 1 F c X V p d H l J b n Z l c 3 R t Z W 5 0 c y w 4 M X 0 m c X V v d D s s J n F 1 b 3 Q 7 U 2 V j d G l v b j E v Q 2 F z a E Z s b 3 c v Q 2 h h b m d l Z C B U e X B l L n t F Z m Z l Y 3 R P Z k V 4 Y 2 h h b m d l U m F 0 Z U N o Y W 5 n Z X M s M z B 9 J n F 1 b 3 Q 7 L C Z x d W 9 0 O 1 N l Y 3 R p b 2 4 x L 0 N h c 2 h G b G 9 3 L 0 N o Y W 5 n Z W Q g V H l w Z S 5 7 R W 5 k Q 2 F z a F B v c 2 l 0 a W 9 u L D M x f S Z x d W 9 0 O y w m c X V v d D t T Z W N 0 a W 9 u M S 9 D Y X N o R m x v d y 9 D a G F u Z 2 V k I F R 5 c G U u e 0 Z p b m F u Y 2 l u Z 0 N h c 2 h G b G 9 3 L D M y f S Z x d W 9 0 O y w m c X V v d D t T Z W N 0 a W 9 u M S 9 D Y X N o R m x v d y 9 D a G F u Z 2 V k I F R 5 c G U u e 0 Z y Z W V D Y X N o R m x v d y w z M 3 0 m c X V v d D s s J n F 1 b 3 Q 7 U 2 V j d G l v b j E v Q 2 F z a E Z s b 3 c v Q 2 h h b m d l Z C B U e X B l L n t H Y W l u T G 9 z c 0 9 u S W 5 2 Z X N 0 b W V u d F N l Y 3 V y a X R p Z X M s N z d 9 J n F 1 b 3 Q 7 L C Z x d W 9 0 O 1 N l Y 3 R p b 2 4 x L 0 N h c 2 h G b G 9 3 L 0 N o Y W 5 n Z W Q g V H l w Z S 5 7 R 2 F p b k x v c 3 N P b l N h b G V P Z k J 1 c 2 l u Z X N z L D g 5 f S Z x d W 9 0 O y w m c X V v d D t T Z W N 0 a W 9 u M S 9 D Y X N o R m x v d y 9 D a G F u Z 2 V k I F R 5 c G U u e 0 l u Y 2 9 t Z V R h e F B h a W R T d X B w b G V t Z W 5 0 Y W x E Y X R h L D M 1 f S Z x d W 9 0 O y w m c X V v d D t T Z W N 0 a W 9 u M S 9 D Y X N o R m x v d y 9 D a G F u Z 2 V k I F R 5 c G U u e 0 l u d G V y Z X N 0 U G F p Z F N 1 c H B s Z W 1 l b n R h b E R h d G E s N T l 9 J n F 1 b 3 Q 7 L C Z x d W 9 0 O 1 N l Y 3 R p b 2 4 x L 0 N h c 2 h G b G 9 3 L 0 N o Y W 5 n Z W Q g V H l w Z S 5 7 S W 5 2 Z X N 0 a W 5 n Q 2 F z a E Z s b 3 c s M z Z 9 J n F 1 b 3 Q 7 L C Z x d W 9 0 O 1 N l Y 3 R p b 2 4 x L 0 N h c 2 h G b G 9 3 L 0 N o Y W 5 n Z W Q g V H l w Z S 5 7 S X N z d W F u Y 2 V P Z k N h c G l 0 Y W x T d G 9 j a y w 2 M H 0 m c X V v d D s s J n F 1 b 3 Q 7 U 2 V j d G l v b j E v Q 2 F z a E Z s b 3 c v Q 2 h h b m d l Z C B U e X B l L n t J c 3 N 1 Y W 5 j Z U 9 m R G V i d C w 2 M X 0 m c X V v d D s s J n F 1 b 3 Q 7 U 2 V j d G l v b j E v Q 2 F z a E Z s b 3 c v Q 2 h h b m d l Z C B U e X B l L n t M b 2 5 n V G V y b U R l Y n R J c 3 N 1 Y W 5 j Z S w 2 M n 0 m c X V v d D s s J n F 1 b 3 Q 7 U 2 V j d G l v b j E v Q 2 F z a E Z s b 3 c v Q 2 h h b m d l Z C B U e X B l L n t M b 2 5 n V G V y b U R l Y n R Q Y X l t Z W 5 0 c y w 3 O H 0 m c X V v d D s s J n F 1 b 3 Q 7 U 2 V j d G l v b j E v Q 2 F z a E Z s b 3 c v Q 2 h h b m d l Z C B U e X B l L n t O Z X R C d X N p b m V z c 1 B 1 c m N o Y X N l Q W 5 k U 2 F s Z S w z N 3 0 m c X V v d D s s J n F 1 b 3 Q 7 U 2 V j d G l v b j E v Q 2 F z a E Z s b 3 c v Q 2 h h b m d l Z C B U e X B l L n t O Z X R D b 2 1 t b 2 5 T d G 9 j a 0 l z c 3 V h b m N l L D Y z f S Z x d W 9 0 O y w m c X V v d D t T Z W N 0 a W 9 u M S 9 D Y X N o R m x v d y 9 D a G F u Z 2 V k I F R 5 c G U u e 0 5 l d E Z v c m V p Z 2 5 D d X J y Z W 5 j e U V 4 Y 2 h h b m d l R 2 F p b k x v c 3 M s O D R 9 J n F 1 b 3 Q 7 L C Z x d W 9 0 O 1 N l Y 3 R p b 2 4 x L 0 N h c 2 h G b G 9 3 L 0 N o Y W 5 n Z W Q g V H l w Z S 5 7 T m V 0 S W 5 j b 2 1 l L D M 4 f S Z x d W 9 0 O y w m c X V v d D t T Z W N 0 a W 9 u M S 9 D Y X N o R m x v d y 9 D a G F u Z 2 V k I F R 5 c G U u e 0 5 l d E l u Y 2 9 t Z U Z y b 2 1 D b 2 5 0 a W 5 1 a W 5 n T 3 B l c m F 0 a W 9 u c y w z O X 0 m c X V v d D s s J n F 1 b 3 Q 7 U 2 V j d G l v b j E v Q 2 F z a E Z s b 3 c v Q 2 h h b m d l Z C B U e X B l L n t O Z X R J b n Z l c 3 R t Z W 5 0 U H V y Y 2 h h c 2 V B b m R T Y W x l L D Q x f S Z x d W 9 0 O y w m c X V v d D t T Z W N 0 a W 9 u M S 9 D Y X N o R m x v d y 9 D a G F u Z 2 V k I F R 5 c G U u e 0 5 l d E l z c 3 V h b m N l U G F 5 b W V u d H N P Z k R l Y n Q s N j R 9 J n F 1 b 3 Q 7 L C Z x d W 9 0 O 1 N l Y 3 R p b 2 4 x L 0 N h c 2 h G b G 9 3 L 0 N o Y W 5 n Z W Q g V H l w Z S 5 7 T m V 0 T G 9 u Z 1 R l c m 1 E Z W J 0 S X N z d W F u Y 2 U s N j V 9 J n F 1 b 3 Q 7 L C Z x d W 9 0 O 1 N l Y 3 R p b 2 4 x L 0 N h c 2 h G b G 9 3 L 0 N o Y W 5 n Z W Q g V H l w Z S 5 7 T m V 0 T 3 R o Z X J G a W 5 h b m N p b m d D a G F y Z 2 V z L D Q y f S Z x d W 9 0 O y w m c X V v d D t T Z W N 0 a W 9 u M S 9 D Y X N o R m x v d y 9 D a G F u Z 2 V k I F R 5 c G U u e 0 5 l d E 9 0 a G V y S W 5 2 Z X N 0 a W 5 n Q 2 h h b m d l c y w 0 M 3 0 m c X V v d D s s J n F 1 b 3 Q 7 U 2 V j d G l v b j E v Q 2 F z a E Z s b 3 c v Q 2 h h b m d l Z C B U e X B l L n t O Z X R Q U E V Q d X J j a G F z Z U F u Z F N h b G U s N D R 9 J n F 1 b 3 Q 7 L C Z x d W 9 0 O 1 N l Y 3 R p b 2 4 x L 0 N h c 2 h G b G 9 3 L 0 N o Y W 5 n Z W Q g V H l w Z S 5 7 T m V 0 U H J l Z m V y c m V k U 3 R v Y 2 t J c 3 N 1 Y W 5 j Z S w 2 N n 0 m c X V v d D s s J n F 1 b 3 Q 7 U 2 V j d G l v b j E v Q 2 F z a E Z s b 3 c v U H J v b W 9 0 Z W Q g S G V h Z G V y c y 5 7 Q W 1 v c n R p e m F 0 a W 9 u T 2 Z T Z W N 1 c m l 0 a W V z L D U 2 f S Z x d W 9 0 O y w m c X V v d D t T Z W N 0 a W 9 u M S 9 D Y X N o R m x v d y 9 D a G F u Z 2 V k I F R 5 c G U u e 0 9 w Z X J h d G l u Z 0 N h c 2 h G b G 9 3 L D Q 1 f S Z x d W 9 0 O y w m c X V v d D t T Z W N 0 a W 9 u M S 9 D Y X N o R m x v d y 9 D a G F u Z 2 V k I F R 5 c G U u e 0 9 w Z X J h d G l u Z 0 d h a W 5 z T G 9 z c 2 V z L D Q 2 f S Z x d W 9 0 O y w m c X V v d D t T Z W N 0 a W 9 u M S 9 D Y X N o R m x v d y 9 D a G F u Z 2 V k I F R 5 c G U u e 0 9 0 a G V y Q 2 F z a E F k a n V z d G 1 l b n R P d X R z a W R l Q 2 h h b m d l a W 5 D Y X N o L D k w f S Z x d W 9 0 O y w m c X V v d D t T Z W N 0 a W 9 u M S 9 D Y X N o R m x v d y 9 D a G F u Z 2 V k I F R 5 c G U u e 0 9 0 a G V y T m 9 u Q 2 F z a E l 0 Z W 1 z L D Q 3 f S Z x d W 9 0 O y w m c X V v d D t T Z W N 0 a W 9 u M S 9 D Y X N o R m x v d y 9 D a G F u Z 2 V k I F R 5 c G U u e 1 B y Z W Z l c n J l Z F N 0 b 2 N r S X N z d W F u Y 2 U s N j h 9 J n F 1 b 3 Q 7 L C Z x d W 9 0 O 1 N l Y 3 R p b 2 4 x L 0 N h c 2 h G b G 9 3 L 0 N o Y W 5 n Z W Q g V H l w Z S 5 7 U H J v Y 2 V l Z H N G c m 9 t U 3 R v Y 2 t P c H R p b 2 5 F e G V y Y 2 l z Z W Q s N D h 9 J n F 1 b 3 Q 7 L C Z x d W 9 0 O 1 N l Y 3 R p b 2 4 x L 0 N h c 2 h G b G 9 3 L 0 N o Y W 5 n Z W Q g V H l w Z S 5 7 U H V y Y 2 h h c 2 V P Z k J 1 c 2 l u Z X N z L D U w f S Z x d W 9 0 O y w m c X V v d D t T Z W N 0 a W 9 u M S 9 D Y X N o R m x v d y 9 D a G F u Z 2 V k I F R 5 c G U u e 1 B 1 c m N o Y X N l T 2 Z J b n Z l c 3 R t Z W 5 0 L D U y f S Z x d W 9 0 O y w m c X V v d D t T Z W N 0 a W 9 u M S 9 D Y X N o R m x v d y 9 D a G F u Z 2 V k I F R 5 c G U u e 1 B 1 c m N o Y X N l T 2 Z Q U E U s N T N 9 J n F 1 b 3 Q 7 L C Z x d W 9 0 O 1 N l Y 3 R p b 2 4 x L 0 N h c 2 h G b G 9 3 L 0 N o Y W 5 n Z W Q g V H l w Z S 5 7 U m V w Y X l t Z W 5 0 T 2 Z E Z W J 0 L D c 5 f S Z x d W 9 0 O y w m c X V v d D t T Z W N 0 a W 9 u M S 9 D Y X N o R m x v d y 9 D a G F u Z 2 V k I F R 5 c G U u e 1 J l c H V y Y 2 h h c 2 V P Z k N h c G l 0 Y W x T d G 9 j a y w 3 M H 0 m c X V v d D s s J n F 1 b 3 Q 7 U 2 V j d G l v b j E v Q 2 F z a E Z s b 3 c v Q 2 h h b m d l Z C B U e X B l L n t T Y W x l T 2 Z C d X N p b m V z c y w 4 M n 0 m c X V v d D s s J n F 1 b 3 Q 7 U 2 V j d G l v b j E v Q 2 F z a E Z s b 3 c v Q 2 h h b m d l Z C B U e X B l L n t T Y W x l T 2 Z J b n Z l c 3 R t Z W 5 0 L D U 0 f S Z x d W 9 0 O y w m c X V v d D t T Z W N 0 a W 9 u M S 9 D Y X N o R m x v d y 9 D a G F u Z 2 V k I F R 5 c G U u e 1 N h b G V P Z l B Q R S w 4 M H 0 m c X V v d D s s J n F 1 b 3 Q 7 U 2 V j d G l v b j E v Q 2 F z a E Z s b 3 c v Q 2 h h b m d l Z C B U e X B l L n t T d G 9 j a 0 J h c 2 V k Q 2 9 t c G V u c 2 F 0 a W 9 u L D U 1 f S Z x d W 9 0 O y w m c X V v d D t T Z W N 0 a W 9 u M S 9 D Y X N o R m x v d y 9 D a G F u Z 2 V k I F R 5 c G U u e 1 V u c m V h b G l 6 Z W R H Y W l u T G 9 z c 0 9 u S W 5 2 Z X N 0 b W V u d F N l Y 3 V y a X R p Z X M s O T F 9 J n F 1 b 3 Q 7 L C Z x d W 9 0 O 1 N l Y 3 R p b 2 4 x L 0 N h c 2 h G b G 9 3 L 0 N o Y W 5 n Z W Q g V H l w Z S 5 7 Q W 1 v c n R p e m F 0 a W 9 u Q 2 F z a E Z s b 3 c s N z N 9 J n F 1 b 3 Q 7 L C Z x d W 9 0 O 1 N l Y 3 R p b 2 4 x L 0 N h c 2 h G b G 9 3 L 0 N o Y W 5 n Z W Q g V H l w Z S 5 7 Q W 1 v c n R p e m F 0 a W 9 u T 2 Z J b n R h b m d p Y m x l c y w 3 N H 0 m c X V v d D s s J n F 1 b 3 Q 7 U 2 V j d G l v b j E v Q 2 F z a E Z s b 3 c v Q 2 h h b m d l Z C B U e X B l L n t D Y X B p d G F s R X h w Z W 5 k a X R 1 c m V S Z X B v c n R l Z C w 4 M 3 0 m c X V v d D s s J n F 1 b 3 Q 7 U 2 V j d G l v b j E v Q 2 F z a E Z s b 3 c v Q 2 h h b m d l Z C B U e X B l L n t D Y X N o R G l 2 a W R l b m R z U G F p Z C w 3 N X 0 m c X V v d D s s J n F 1 b 3 Q 7 U 2 V j d G l v b j E v Q 2 F z a E Z s b 3 c v Q 2 h h b m d l Z C B U e X B l L n t D a G F u Z 2 V J b k l u Y 2 9 t Z V R h e F B h e W F i b G U s M T N 9 J n F 1 b 3 Q 7 L C Z x d W 9 0 O 1 N l Y 3 R p b 2 4 x L 0 N h c 2 h G b G 9 3 L 0 N o Y W 5 n Z W Q g V H l w Z S 5 7 Q 2 h h b m d l S W 5 J b n Z l b n R v c n k s M T R 9 J n F 1 b 3 Q 7 L C Z x d W 9 0 O 1 N l Y 3 R p b 2 4 x L 0 N h c 2 h G b G 9 3 L 0 N o Y W 5 n Z W Q g V H l w Z S 5 7 Q 2 h h b m d l S W 5 U Y X h Q Y X l h Y m x l L D I y f S Z x d W 9 0 O y w m c X V v d D t T Z W N 0 a W 9 u M S 9 D Y X N o R m x v d y 9 D a G F u Z 2 V k I F R 5 c G U u e 0 N v b W 1 v b l N 0 b 2 N r R G l 2 a W R l b m R Q Y W l k L D c 2 f S Z x d W 9 0 O y w m c X V v d D t T Z W N 0 a W 9 u M S 9 D Y X N o R m x v d y 9 D a G F u Z 2 V k I F R 5 c G U u e 0 R l c H J l Y 2 l h d G l v b i w 1 O H 0 m c X V v d D s s J n F 1 b 3 Q 7 U 2 V j d G l v b j E v Q 2 F z a E Z s b 3 c v Q 2 h h b m d l Z C B U e X B l L n t H Y W l u T G 9 z c 0 9 u U 2 F s Z U 9 m U F B F L D M 0 f S Z x d W 9 0 O y w m c X V v d D t T Z W N 0 a W 9 u M S 9 D Y X N o R m x v d y 9 D a G F u Z 2 V k I F R 5 c G U u e 0 5 l d F N o b 3 J 0 V G V y b U R l Y n R J c 3 N 1 Y W 5 j Z S w 2 N 3 0 m c X V v d D s s J n F 1 b 3 Q 7 U 2 V j d G l v b j E v Q 2 F z a E Z s b 3 c v Q 2 h h b m d l Z C B U e X B l L n t Q Z W 5 z a W 9 u Q W 5 k R W 1 w b G 9 5 Z W V C Z W 5 l Z m l 0 R X h w Z W 5 z Z S w 5 M n 0 m c X V v d D s s J n F 1 b 3 Q 7 U 2 V j d G l v b j E v Q 2 F z a E Z s b 3 c v U H J v b W 9 0 Z W Q g S G V h Z G V y c y 5 7 Q 2 h h b m d l S W 5 J b n R l c m V z d F B h e W F i b G U s O D V 9 J n F 1 b 3 Q 7 L C Z x d W 9 0 O 1 N l Y 3 R p b 2 4 x L 0 N h c 2 h G b G 9 3 L 0 N o Y W 5 n Z W Q g V H l w Z S 5 7 U 2 h v c n R U Z X J t R G V i d E l z c 3 V h b m N l L D c x f S Z x d W 9 0 O y w m c X V v d D t T Z W N 0 a W 9 u M S 9 D Y X N o R m x v d y 9 D a G F u Z 2 V k I F R 5 c G U u e 1 N o b 3 J 0 V G V y b U R l Y n R Q Y X l t Z W 5 0 c y w 4 N n 0 m c X V v d D s s J n F 1 b 3 Q 7 U 2 V j d G l v b j E v Q 2 F z a E Z s b 3 c v U H J v b W 9 0 Z W Q g S G V h Z G V y c y 5 7 Y X N P Z l l l Y X I s O D h 9 J n F 1 b 3 Q 7 L C Z x d W 9 0 O 1 N l Y 3 R p b 2 4 x L 0 N h c 2 h G b G 9 3 L 0 N o Y W 5 n Z W Q g V H l w Z S 5 7 Q 2 F z a E Z y b 2 1 E a X N j b 2 5 0 a W 5 1 Z W R G a W 5 h b m N p b m d B Y 3 R p d m l 0 a W V z L D k z f S Z x d W 9 0 O y w m c X V v d D t T Z W N 0 a W 9 u M S 9 D Y X N o R m x v d y 9 D a G F u Z 2 V k I F R 5 c G U u e 0 N h c 2 h G c m 9 t R G l z Y 2 9 u d G l u d W V k S W 5 2 Z X N 0 a W 5 n Q W N 0 a X Z p d G l l c y w 5 N H 0 m c X V v d D s s J n F 1 b 3 Q 7 U 2 V j d G l v b j E v Q 2 F z a E Z s b 3 c v Q 2 h h b m d l Z C B U e X B l L n t D Y X N o R n J v b U R p c 2 N v b n R p b n V l Z E 9 w Z X J h d G l u Z 0 F j d G l 2 a X R p Z X M s O T V 9 J n F 1 b 3 Q 7 L C Z x d W 9 0 O 1 N l Y 3 R p b 2 4 x L 0 N h c 2 h G b G 9 3 L 0 N o Y W 5 n Z W Q g V H l w Z S 5 7 R G l 2 a W R l b m R z U m V j Z W l 2 Z W R D R k k s O T Z 9 J n F 1 b 3 Q 7 L C Z x d W 9 0 O 1 N l Y 3 R p b 2 4 x L 0 N h c 2 h G b G 9 3 L 0 N o Y W 5 n Z W Q g V H l w Z S 5 7 U H J l Z m V y c m V k U 3 R v Y 2 t E a X Z p Z G V u Z F B h a W Q s O T d 9 J n F 1 b 3 Q 7 L C Z x d W 9 0 O 1 N l Y 3 R p b 2 4 x L 0 N h c 2 h G b G 9 3 L 0 N o Y W 5 n Z W Q g V H l w Z S 5 7 U H J l Z m V y c m V k U 3 R v Y 2 t Q Y X l t Z W 5 0 c y w 2 O X 0 m c X V v d D s s J n F 1 b 3 Q 7 U 2 V j d G l v b j E v Q 2 F z a E Z s b 3 c v Q 2 h h b m d l Z C B U e X B l L n t Q c m 9 2 a X N p b 2 5 h b m R X c m l 0 Z U 9 m Z m 9 m Q X N z Z X R z L D Q 5 f S Z x d W 9 0 O y w m c X V v d D t T Z W N 0 a W 9 u M S 9 D Y X N o R m x v d y 9 D a G F u Z 2 V k I F R 5 c G U u e 0 5 l d E l u d G F u Z 2 l i b G V z U H V y Y 2 h h c 2 V B b m R T Y W x l L D Q w f S Z x d W 9 0 O y w m c X V v d D t T Z W N 0 a W 9 u M S 9 D Y X N o R m x v d y 9 D a G F u Z 2 V k I F R 5 c G U u e 1 B 1 c m N o Y X N l T 2 Z J b n R h b m d p Y m x l c y w 1 M X 0 m c X V v d D s s J n F 1 b 3 Q 7 U 2 V j d G l v b j E v Q 2 F z a E Z s b 3 c v Q 2 h h b m d l Z C B U e X B l L n t U a W N r Z X I s O D d 9 J n F 1 b 3 Q 7 X S w m c X V v d D t S Z W x h d G l v b n N o a X B J b m Z v J n F 1 b 3 Q 7 O l t d f S I g L z 4 8 L 1 N 0 Y W J s Z U V u d H J p Z X M + P C 9 J d G V t P j x J d G V t P j x J d G V t T G 9 j Y X R p b 2 4 + P E l 0 Z W 1 U e X B l P k Z v c m 1 1 b G E 8 L 0 l 0 Z W 1 U e X B l P j x J d G V t U G F 0 a D 5 T Z W N 0 a W 9 u M S 9 D Y X N o R m x v d y 9 T b 3 V y Y 2 U 8 L 0 l 0 Z W 1 Q Y X R o P j w v S X R l b U x v Y 2 F 0 a W 9 u P j x T d G F i b G V F b n R y a W V z I C 8 + P C 9 J d G V t P j x J d G V t P j x J d G V t T G 9 j Y X R p b 2 4 + P E l 0 Z W 1 U e X B l P k Z v c m 1 1 b G E 8 L 0 l 0 Z W 1 U e X B l P j x J d G V t U G F 0 a D 5 T Z W N 0 a W 9 u M S 9 D Y X N o R m x v d y 9 D Y X N o R m x v d 1 9 T a G V l d D w v S X R l b V B h d G g + P C 9 J d G V t T G 9 j Y X R p b 2 4 + P F N 0 Y W J s Z U V u d H J p Z X M g L z 4 8 L 0 l 0 Z W 0 + P E l 0 Z W 0 + P E l 0 Z W 1 M b 2 N h d G l v b j 4 8 S X R l b V R 5 c G U + R m 9 y b X V s Y T w v S X R l b V R 5 c G U + P E l 0 Z W 1 Q Y X R o P l N l Y 3 R p b 2 4 x L 0 N h c 2 h G b G 9 3 L 1 B y b 2 1 v d G V k J T I w S G V h Z G V y c z w v S X R l b V B h d G g + P C 9 J d G V t T G 9 j Y X R p b 2 4 + P F N 0 Y W J s Z U V u d H J p Z X M g L z 4 8 L 0 l 0 Z W 0 + P E l 0 Z W 0 + P E l 0 Z W 1 M b 2 N h d G l v b j 4 8 S X R l b V R 5 c G U + R m 9 y b X V s Y T w v S X R l b V R 5 c G U + P E l 0 Z W 1 Q Y X R o P l N l Y 3 R p b 2 4 x L 0 N h c 2 h G b G 9 3 L 0 N o Y W 5 n Z W Q l M j B U e X B l P C 9 J d G V t U G F 0 a D 4 8 L 0 l 0 Z W 1 M b 2 N h d G l v b j 4 8 U 3 R h Y m x l R W 5 0 c m l l c y A v P j w v S X R l b T 4 8 S X R l b T 4 8 S X R l b U x v Y 2 F 0 a W 9 u P j x J d G V t V H l w Z T 5 G b 3 J t d W x h P C 9 J d G V t V H l w Z T 4 8 S X R l b V B h d G g + U 2 V j d G l v b j E v T W V 0 Y U R h d G E 8 L 0 l 0 Z W 1 Q Y X R o P j w v S X R l b U x v Y 2 F 0 a W 9 u P j x T d G F i b G V F b n R y a W V z P j x F b n R y e S B U e X B l P S J J c 1 B y a X Z h d G U i I F Z h b H V l P S J s M C I g L z 4 8 R W 5 0 c n k g V H l w Z T 0 i U X V l c n l J R C I g V m F s d W U 9 I n N m N D F h Y T I 0 M C 0 4 M z Y y L T Q 4 N T E t O T R h N i 0 w N 2 M w M 2 Z k M W M 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d G F E Y X R h I i A v P j x F b n R y e S B U e X B l P S J G a W x s Z W R D b 2 1 w b G V 0 Z V J l c 3 V s d F R v V 2 9 y a 3 N o Z W V 0 I i B W Y W x 1 Z T 0 i b D E i I C 8 + P E V u d H J 5 I F R 5 c G U 9 I k Z p b G x F c n J v c k N v d W 5 0 I i B W Y W x 1 Z T 0 i b D A i I C 8 + P E V u d H J 5 I F R 5 c G U 9 I k Z p b G x F c n J v c k N v Z G U i I F Z h b H V l P S J z V W 5 r b m 9 3 b i I g L z 4 8 R W 5 0 c n k g V H l w Z T 0 i R m l s b E N v d W 5 0 I i B W Y W x 1 Z T 0 i b D E w I i A v P j x F b n R y e S B U e X B l P S J B Z G R l Z F R v R G F 0 Y U 1 v Z G V s I i B W Y W x 1 Z T 0 i b D A i I C 8 + P E V u d H J 5 I F R 5 c G U 9 I k Z p b G x M Y X N 0 V X B k Y X R l Z C I g V m F s d W U 9 I m Q y M D I 0 L T A 5 L T E 2 V D A w O j I y O j I z L j U 4 O D g w O T N a I i A v P j x F b n R y e S B U e X B l P S J G a W x s Q 2 9 s d W 1 u V H l w Z X M i I F Z h b H V l P S J z Q m d N R 0 J n W U d D U V V E Q X d V R k J R V U R C U V V B Q l F N R k J R V U R B Q V V G Q l F j R k J R V U Z B d 1 V G Q l F V R k F 3 T U Z C U W N I Q n d V R y I g L z 4 8 R W 5 0 c n k g V H l w Z T 0 i R m l s b E N v b H V t b k 5 h b W V z I i B W Y W x 1 Z T 0 i c 1 s m c X V v d D t p Z C Z x d W 9 0 O y w m c X V v d D t m d W x s V G l t Z U V t c G x v e W V l c y Z x d W 9 0 O y w m c X V v d D t 3 Z W J z a X R l J n F 1 b 3 Q 7 L C Z x d W 9 0 O 2 l u Z H V z d H J 5 J n F 1 b 3 Q 7 L C Z x d W 9 0 O 3 N l Y 3 R v c i Z x d W 9 0 O y w m c X V v d D t s b 2 5 n Q n V z a W 5 l c 3 N T d W 1 t Y X J 5 J n F 1 b 3 Q 7 L C Z x d W 9 0 O 0 R h d G U m c X V v d D s s J n F 1 b 3 Q 7 Z G V i d F R v R X F 1 a X R 5 J n F 1 b 3 Q 7 L C Z x d W 9 0 O 3 R v d G F s R G V i d C Z x d W 9 0 O y w m c X V v d D t l Y m l 0 Z G E m c X V v d D s s J n F 1 b 3 Q 7 b 3 B l c m F 0 a W 5 n T W F y Z 2 l u c y Z x d W 9 0 O y w m c X V v d D t y Z X Z l b n V l R 3 J v d 3 R o J n F 1 b 3 Q 7 L C Z x d W 9 0 O 3 R v d G F s Q 2 F z a F B l c l N o Y X J l J n F 1 b 3 Q 7 L C Z x d W 9 0 O 3 J l d m V u d W V Q Z X J T a G F y Z S Z x d W 9 0 O y w m c X V v d D t 0 b 3 R h b E N h c 2 g m c X V v d D s s J n F 1 b 3 Q 7 c m V 0 d X J u T 2 5 B c 3 N l d H M m c X V v d D s s J n F 1 b 3 Q 7 c H J v Z m l 0 T W F y Z 2 l u c y Z x d W 9 0 O y w m c X V v d D t n c m 9 z c 1 B y b 2 Z p d H M m c X V v d D s s J n F 1 b 3 Q 7 Z W F y b m l u Z 3 N H c m 9 3 d G g m c X V v d D s s J n F 1 b 3 Q 7 Z n J l Z U N h c 2 h m b G 9 3 J n F 1 b 3 Q 7 L C Z x d W 9 0 O 3 J l d H V y b k 9 u R X F 1 a X R 5 J n F 1 b 3 Q 7 L C Z x d W 9 0 O 3 F 1 a W N r U m F 0 a W 8 m c X V v d D s s J n F 1 b 3 Q 7 Y 3 V y c m V u d F J h d G l v J n F 1 b 3 Q 7 L C Z x d W 9 0 O 2 9 w Z X J h d G l u Z 0 N h c 2 h m b G 9 3 J n F 1 b 3 Q 7 L C Z x d W 9 0 O 3 R h c m d l d E 1 l Y W 5 Q c m l j Z S Z x d W 9 0 O y w m c X V v d D t w c m V 2 a W 9 1 c 0 N s b 3 N l J n F 1 b 3 Q 7 L C Z x d W 9 0 O 2 R p d m l k Z W 5 k U m F 0 Z S Z x d W 9 0 O y w m c X V v d D t k a X Z p Z G V u Z F l p Z W x k J n F 1 b 3 Q 7 L C Z x d W 9 0 O 2 V 4 R G l 2 a W R l b m R E Y X R l J n F 1 b 3 Q 7 L C Z x d W 9 0 O 2 Z p d m V Z Z W F y Q X Z n R G l 2 a W R l b m R Z a W V s Z C Z x d W 9 0 O y w m c X V v d D t i Z X R h J n F 1 b 3 Q 7 L C Z x d W 9 0 O 3 R y Y W l s a W 5 n U E U m c X V v d D s s J n F 1 b 3 Q 7 Z m 9 y d 2 F y Z F B F J n F 1 b 3 Q 7 L C Z x d W 9 0 O 2 F 2 Z X J h Z 2 V W b 2 x 1 b W U x M G R h e X M m c X V v d D s s J n F 1 b 3 Q 7 Z m l m d H l U d 2 9 X Z W V r T G 9 3 J n F 1 b 3 Q 7 L C Z x d W 9 0 O 2 Z p Z n R 5 V H d v V 2 V l a 0 h p Z 2 g m c X V v d D s s J n F 1 b 3 Q 7 c H J p Y 2 V U b 1 N h b G V z V H J h a W x p b m c x M k 1 v b n R o c y Z x d W 9 0 O y w m c X V v d D t 0 c m F p b G l u Z 0 F u b n V h b E R p d m l k Z W 5 k U m F 0 Z S Z x d W 9 0 O y w m c X V v d D t 0 c m F p b G l u Z 0 F u b n V h b E R p d m l k Z W 5 k W W l l b G Q m c X V v d D s s J n F 1 b 3 Q 7 b W F y a 2 V 0 Q 2 F w J n F 1 b 3 Q 7 L C Z x d W 9 0 O 3 N o Y X J l c 0 9 1 d H N 0 Y W 5 k a W 5 n J n F 1 b 3 Q 7 L C Z x d W 9 0 O 2 J v b 2 t W Y W x 1 Z S Z x d W 9 0 O y w m c X V v d D t w c m l j Z V R v Q m 9 v a y Z x d W 9 0 O y w m c X V v d D t s Y X N 0 R m l z Y 2 F s W W V h c k V u Z C Z x d W 9 0 O y w m c X V v d D t u Z X h 0 R m l z Y 2 F s W W V h c k V u Z C Z x d W 9 0 O y w m c X V v d D t t b 3 N 0 U m V j Z W 5 0 U X V h c n R l c i Z x d W 9 0 O y w m c X V v d D t w Z W d S Y X R p b y Z x d W 9 0 O y w m c X V v d D t U a W N r Z X I m c X V v d D t d I i A v P j x F b n R y e S B U e X B l P S J G a W x s U 3 R h d H V z I i B W Y W x 1 Z T 0 i c 0 N v b X B s Z X R l I i A v P j x F b n R y e S B U e X B l P S J S Z W x h d G l v b n N o a X B J b m Z v Q 2 9 u d G F p b m V y I i B W Y W x 1 Z T 0 i c 3 s m c X V v d D t j b 2 x 1 b W 5 D b 3 V u d C Z x d W 9 0 O z o 0 O C w m c X V v d D t r Z X l D b 2 x 1 b W 5 O Y W 1 l c y Z x d W 9 0 O z p b X S w m c X V v d D t x d W V y e V J l b G F 0 a W 9 u c 2 h p c H M m c X V v d D s 6 W 1 0 s J n F 1 b 3 Q 7 Y 2 9 s d W 1 u S W R l b n R p d G l l c y Z x d W 9 0 O z p b J n F 1 b 3 Q 7 U 2 V j d G l v b j E v T W V 0 Y U R h d G E v Q 2 h h b m d l Z C B U e X B l L n t p Z C w w f S Z x d W 9 0 O y w m c X V v d D t T Z W N 0 a W 9 u M S 9 N Z X R h R G F 0 Y S 9 D a G F u Z 2 V k I F R 5 c G U u e 2 Z 1 b G x U a W 1 l R W 1 w b G 9 5 Z W V z L D F 9 J n F 1 b 3 Q 7 L C Z x d W 9 0 O 1 N l Y 3 R p b 2 4 x L 0 1 l d G F E Y X R h L 0 N o Y W 5 n Z W Q g V H l w Z S 5 7 d 2 V i c 2 l 0 Z S w y f S Z x d W 9 0 O y w m c X V v d D t T Z W N 0 a W 9 u M S 9 N Z X R h R G F 0 Y S 9 D a G F u Z 2 V k I F R 5 c G U u e 2 l u Z H V z d H J 5 L D N 9 J n F 1 b 3 Q 7 L C Z x d W 9 0 O 1 N l Y 3 R p b 2 4 x L 0 1 l d G F E Y X R h L 0 N o Y W 5 n Z W Q g V H l w Z S 5 7 c 2 V j d G 9 y L D R 9 J n F 1 b 3 Q 7 L C Z x d W 9 0 O 1 N l Y 3 R p b 2 4 x L 0 1 l d G F E Y X R h L 0 N o Y W 5 n Z W Q g V H l w Z S 5 7 b G 9 u Z 0 J 1 c 2 l u Z X N z U 3 V t b W F y e S w 1 f S Z x d W 9 0 O y w m c X V v d D t T Z W N 0 a W 9 u M S 9 N Z X R h R G F 0 Y S 9 D a G F u Z 2 V k I F R 5 c G U u e 0 R h d G U s N n 0 m c X V v d D s s J n F 1 b 3 Q 7 U 2 V j d G l v b j E v T W V 0 Y U R h d G E v Q 2 h h b m d l Z C B U e X B l L n t k Z W J 0 V G 9 F c X V p d H k s N 3 0 m c X V v d D s s J n F 1 b 3 Q 7 U 2 V j d G l v b j E v T W V 0 Y U R h d G E v Q 2 h h b m d l Z C B U e X B l L n t 0 b 3 R h b E R l Y n Q s O H 0 m c X V v d D s s J n F 1 b 3 Q 7 U 2 V j d G l v b j E v T W V 0 Y U R h d G E v Q 2 h h b m d l Z C B U e X B l L n t l Y m l 0 Z G E s O X 0 m c X V v d D s s J n F 1 b 3 Q 7 U 2 V j d G l v b j E v T W V 0 Y U R h d G E v Q 2 h h b m d l Z C B U e X B l L n t v c G V y Y X R p b m d N Y X J n a W 5 z L D E w f S Z x d W 9 0 O y w m c X V v d D t T Z W N 0 a W 9 u M S 9 N Z X R h R G F 0 Y S 9 D a G F u Z 2 V k I F R 5 c G U u e 3 J l d m V u d W V H c m 9 3 d G g s M T F 9 J n F 1 b 3 Q 7 L C Z x d W 9 0 O 1 N l Y 3 R p b 2 4 x L 0 1 l d G F E Y X R h L 0 N o Y W 5 n Z W Q g V H l w Z S 5 7 d G 9 0 Y W x D Y X N o U G V y U 2 h h c m U s M T J 9 J n F 1 b 3 Q 7 L C Z x d W 9 0 O 1 N l Y 3 R p b 2 4 x L 0 1 l d G F E Y X R h L 0 N o Y W 5 n Z W Q g V H l w Z S 5 7 c m V 2 Z W 5 1 Z V B l c l N o Y X J l L D E z f S Z x d W 9 0 O y w m c X V v d D t T Z W N 0 a W 9 u M S 9 N Z X R h R G F 0 Y S 9 D a G F u Z 2 V k I F R 5 c G U u e 3 R v d G F s Q 2 F z a C w x N H 0 m c X V v d D s s J n F 1 b 3 Q 7 U 2 V j d G l v b j E v T W V 0 Y U R h d G E v Q 2 h h b m d l Z C B U e X B l L n t y Z X R 1 c m 5 P b k F z c 2 V 0 c y w x N X 0 m c X V v d D s s J n F 1 b 3 Q 7 U 2 V j d G l v b j E v T W V 0 Y U R h d G E v Q 2 h h b m d l Z C B U e X B l L n t w c m 9 m a X R N Y X J n a W 5 z L D E 2 f S Z x d W 9 0 O y w m c X V v d D t T Z W N 0 a W 9 u M S 9 N Z X R h R G F 0 Y S 9 D a G F u Z 2 V k I F R 5 c G U u e 2 d y b 3 N z U H J v Z m l 0 c y w x N 3 0 m c X V v d D s s J n F 1 b 3 Q 7 U 2 V j d G l v b j E v T W V 0 Y U R h d G E v Q 2 h h b m d l Z C B U e X B l L n t l Y X J u a W 5 n c 0 d y b 3 d 0 a C w x O H 0 m c X V v d D s s J n F 1 b 3 Q 7 U 2 V j d G l v b j E v T W V 0 Y U R h d G E v Q 2 h h b m d l Z C B U e X B l L n t m c m V l Q 2 F z a G Z s b 3 c s M T l 9 J n F 1 b 3 Q 7 L C Z x d W 9 0 O 1 N l Y 3 R p b 2 4 x L 0 1 l d G F E Y X R h L 0 N o Y W 5 n Z W Q g V H l w Z S 5 7 c m V 0 d X J u T 2 5 F c X V p d H k s M j B 9 J n F 1 b 3 Q 7 L C Z x d W 9 0 O 1 N l Y 3 R p b 2 4 x L 0 1 l d G F E Y X R h L 0 N o Y W 5 n Z W Q g V H l w Z S 5 7 c X V p Y 2 t S Y X R p b y w y M X 0 m c X V v d D s s J n F 1 b 3 Q 7 U 2 V j d G l v b j E v T W V 0 Y U R h d G E v Q 2 h h b m d l Z C B U e X B l L n t j d X J y Z W 5 0 U m F 0 a W 8 s M j J 9 J n F 1 b 3 Q 7 L C Z x d W 9 0 O 1 N l Y 3 R p b 2 4 x L 0 1 l d G F E Y X R h L 0 N o Y W 5 n Z W Q g V H l w Z S 5 7 b 3 B l c m F 0 a W 5 n Q 2 F z a G Z s b 3 c s M j N 9 J n F 1 b 3 Q 7 L C Z x d W 9 0 O 1 N l Y 3 R p b 2 4 x L 0 1 l d G F E Y X R h L 1 B y b 2 1 v d G V k I E h l Y W R l c n M u e 3 R h c m d l d E 1 l Y W 5 Q c m l j Z S w y N H 0 m c X V v d D s s J n F 1 b 3 Q 7 U 2 V j d G l v b j E v T W V 0 Y U R h d G E v Q 2 h h b m d l Z C B U e X B l L n t w c m V 2 a W 9 1 c 0 N s b 3 N l L D I 1 f S Z x d W 9 0 O y w m c X V v d D t T Z W N 0 a W 9 u M S 9 N Z X R h R G F 0 Y S 9 D a G F u Z 2 V k I F R 5 c G U u e 2 R p d m l k Z W 5 k U m F 0 Z S w y N n 0 m c X V v d D s s J n F 1 b 3 Q 7 U 2 V j d G l v b j E v T W V 0 Y U R h d G E v Q 2 h h b m d l Z C B U e X B l L n t k a X Z p Z G V u Z F l p Z W x k L D I 3 f S Z x d W 9 0 O y w m c X V v d D t T Z W N 0 a W 9 u M S 9 N Z X R h R G F 0 Y S 9 D a G F u Z 2 V k I F R 5 c G U u e 2 V 4 R G l 2 a W R l b m R E Y X R l L D I 4 f S Z x d W 9 0 O y w m c X V v d D t T Z W N 0 a W 9 u M S 9 N Z X R h R G F 0 Y S 9 D a G F u Z 2 V k I F R 5 c G U u e 2 Z p d m V Z Z W F y Q X Z n R G l 2 a W R l b m R Z a W V s Z C w y O X 0 m c X V v d D s s J n F 1 b 3 Q 7 U 2 V j d G l v b j E v T W V 0 Y U R h d G E v Q 2 h h b m d l Z C B U e X B l L n t i Z X R h L D M w f S Z x d W 9 0 O y w m c X V v d D t T Z W N 0 a W 9 u M S 9 N Z X R h R G F 0 Y S 9 D a G F u Z 2 V k I F R 5 c G U u e 3 R y Y W l s a W 5 n U E U s M z F 9 J n F 1 b 3 Q 7 L C Z x d W 9 0 O 1 N l Y 3 R p b 2 4 x L 0 1 l d G F E Y X R h L 0 N o Y W 5 n Z W Q g V H l w Z S 5 7 Z m 9 y d 2 F y Z F B F L D M y f S Z x d W 9 0 O y w m c X V v d D t T Z W N 0 a W 9 u M S 9 N Z X R h R G F 0 Y S 9 D a G F u Z 2 V k I F R 5 c G U u e 2 F 2 Z X J h Z 2 V W b 2 x 1 b W U x M G R h e X M s M z N 9 J n F 1 b 3 Q 7 L C Z x d W 9 0 O 1 N l Y 3 R p b 2 4 x L 0 1 l d G F E Y X R h L 0 N o Y W 5 n Z W Q g V H l w Z S 5 7 Z m l m d H l U d 2 9 X Z W V r T G 9 3 L D M 0 f S Z x d W 9 0 O y w m c X V v d D t T Z W N 0 a W 9 u M S 9 N Z X R h R G F 0 Y S 9 D a G F u Z 2 V k I F R 5 c G U u e 2 Z p Z n R 5 V H d v V 2 V l a 0 h p Z 2 g s M z V 9 J n F 1 b 3 Q 7 L C Z x d W 9 0 O 1 N l Y 3 R p b 2 4 x L 0 1 l d G F E Y X R h L 0 N o Y W 5 n Z W Q g V H l w Z S 5 7 c H J p Y 2 V U b 1 N h b G V z V H J h a W x p b m c x M k 1 v b n R o c y w z N n 0 m c X V v d D s s J n F 1 b 3 Q 7 U 2 V j d G l v b j E v T W V 0 Y U R h d G E v Q 2 h h b m d l Z C B U e X B l L n t 0 c m F p b G l u Z 0 F u b n V h b E R p d m l k Z W 5 k U m F 0 Z S w z N 3 0 m c X V v d D s s J n F 1 b 3 Q 7 U 2 V j d G l v b j E v T W V 0 Y U R h d G E v Q 2 h h b m d l Z C B U e X B l L n t 0 c m F p b G l u Z 0 F u b n V h b E R p d m l k Z W 5 k W W l l b G Q s M z h 9 J n F 1 b 3 Q 7 L C Z x d W 9 0 O 1 N l Y 3 R p b 2 4 x L 0 1 l d G F E Y X R h L 0 N o Y W 5 n Z W Q g V H l w Z S 5 7 b W F y a 2 V 0 Q 2 F w L D M 5 f S Z x d W 9 0 O y w m c X V v d D t T Z W N 0 a W 9 u M S 9 N Z X R h R G F 0 Y S 9 D a G F u Z 2 V k I F R 5 c G U u e 3 N o Y X J l c 0 9 1 d H N 0 Y W 5 k a W 5 n L D Q w f S Z x d W 9 0 O y w m c X V v d D t T Z W N 0 a W 9 u M S 9 N Z X R h R G F 0 Y S 9 D a G F u Z 2 V k I F R 5 c G U u e 2 J v b 2 t W Y W x 1 Z S w 0 M X 0 m c X V v d D s s J n F 1 b 3 Q 7 U 2 V j d G l v b j E v T W V 0 Y U R h d G E v Q 2 h h b m d l Z C B U e X B l L n t w c m l j Z V R v Q m 9 v a y w 0 M n 0 m c X V v d D s s J n F 1 b 3 Q 7 U 2 V j d G l v b j E v T W V 0 Y U R h d G E v Q 2 h h b m d l Z C B U e X B l L n t s Y X N 0 R m l z Y 2 F s W W V h c k V u Z C w 0 M 3 0 m c X V v d D s s J n F 1 b 3 Q 7 U 2 V j d G l v b j E v T W V 0 Y U R h d G E v Q 2 h h b m d l Z C B U e X B l L n t u Z X h 0 R m l z Y 2 F s W W V h c k V u Z C w 0 N H 0 m c X V v d D s s J n F 1 b 3 Q 7 U 2 V j d G l v b j E v T W V 0 Y U R h d G E v Q 2 h h b m d l Z C B U e X B l L n t t b 3 N 0 U m V j Z W 5 0 U X V h c n R l c i w 0 N X 0 m c X V v d D s s J n F 1 b 3 Q 7 U 2 V j d G l v b j E v T W V 0 Y U R h d G E v Q 2 h h b m d l Z C B U e X B l L n t w Z W d S Y X R p b y w 0 N n 0 m c X V v d D s s J n F 1 b 3 Q 7 U 2 V j d G l v b j E v T W V 0 Y U R h d G E v Q 2 h h b m d l Z C B U e X B l L n t U a W N r Z X I s N D d 9 J n F 1 b 3 Q 7 X S w m c X V v d D t D b 2 x 1 b W 5 D b 3 V u d C Z x d W 9 0 O z o 0 O C w m c X V v d D t L Z X l D b 2 x 1 b W 5 O Y W 1 l c y Z x d W 9 0 O z p b X S w m c X V v d D t D b 2 x 1 b W 5 J Z G V u d G l 0 a W V z J n F 1 b 3 Q 7 O l s m c X V v d D t T Z W N 0 a W 9 u M S 9 N Z X R h R G F 0 Y S 9 D a G F u Z 2 V k I F R 5 c G U u e 2 l k L D B 9 J n F 1 b 3 Q 7 L C Z x d W 9 0 O 1 N l Y 3 R p b 2 4 x L 0 1 l d G F E Y X R h L 0 N o Y W 5 n Z W Q g V H l w Z S 5 7 Z n V s b F R p b W V F b X B s b 3 l l Z X M s M X 0 m c X V v d D s s J n F 1 b 3 Q 7 U 2 V j d G l v b j E v T W V 0 Y U R h d G E v Q 2 h h b m d l Z C B U e X B l L n t 3 Z W J z a X R l L D J 9 J n F 1 b 3 Q 7 L C Z x d W 9 0 O 1 N l Y 3 R p b 2 4 x L 0 1 l d G F E Y X R h L 0 N o Y W 5 n Z W Q g V H l w Z S 5 7 a W 5 k d X N 0 c n k s M 3 0 m c X V v d D s s J n F 1 b 3 Q 7 U 2 V j d G l v b j E v T W V 0 Y U R h d G E v Q 2 h h b m d l Z C B U e X B l L n t z Z W N 0 b 3 I s N H 0 m c X V v d D s s J n F 1 b 3 Q 7 U 2 V j d G l v b j E v T W V 0 Y U R h d G E v Q 2 h h b m d l Z C B U e X B l L n t s b 2 5 n Q n V z a W 5 l c 3 N T d W 1 t Y X J 5 L D V 9 J n F 1 b 3 Q 7 L C Z x d W 9 0 O 1 N l Y 3 R p b 2 4 x L 0 1 l d G F E Y X R h L 0 N o Y W 5 n Z W Q g V H l w Z S 5 7 R G F 0 Z S w 2 f S Z x d W 9 0 O y w m c X V v d D t T Z W N 0 a W 9 u M S 9 N Z X R h R G F 0 Y S 9 D a G F u Z 2 V k I F R 5 c G U u e 2 R l Y n R U b 0 V x d W l 0 e S w 3 f S Z x d W 9 0 O y w m c X V v d D t T Z W N 0 a W 9 u M S 9 N Z X R h R G F 0 Y S 9 D a G F u Z 2 V k I F R 5 c G U u e 3 R v d G F s R G V i d C w 4 f S Z x d W 9 0 O y w m c X V v d D t T Z W N 0 a W 9 u M S 9 N Z X R h R G F 0 Y S 9 D a G F u Z 2 V k I F R 5 c G U u e 2 V i a X R k Y S w 5 f S Z x d W 9 0 O y w m c X V v d D t T Z W N 0 a W 9 u M S 9 N Z X R h R G F 0 Y S 9 D a G F u Z 2 V k I F R 5 c G U u e 2 9 w Z X J h d G l u Z 0 1 h c m d p b n M s M T B 9 J n F 1 b 3 Q 7 L C Z x d W 9 0 O 1 N l Y 3 R p b 2 4 x L 0 1 l d G F E Y X R h L 0 N o Y W 5 n Z W Q g V H l w Z S 5 7 c m V 2 Z W 5 1 Z U d y b 3 d 0 a C w x M X 0 m c X V v d D s s J n F 1 b 3 Q 7 U 2 V j d G l v b j E v T W V 0 Y U R h d G E v Q 2 h h b m d l Z C B U e X B l L n t 0 b 3 R h b E N h c 2 h Q Z X J T a G F y Z S w x M n 0 m c X V v d D s s J n F 1 b 3 Q 7 U 2 V j d G l v b j E v T W V 0 Y U R h d G E v Q 2 h h b m d l Z C B U e X B l L n t y Z X Z l b n V l U G V y U 2 h h c m U s M T N 9 J n F 1 b 3 Q 7 L C Z x d W 9 0 O 1 N l Y 3 R p b 2 4 x L 0 1 l d G F E Y X R h L 0 N o Y W 5 n Z W Q g V H l w Z S 5 7 d G 9 0 Y W x D Y X N o L D E 0 f S Z x d W 9 0 O y w m c X V v d D t T Z W N 0 a W 9 u M S 9 N Z X R h R G F 0 Y S 9 D a G F u Z 2 V k I F R 5 c G U u e 3 J l d H V y b k 9 u Q X N z Z X R z L D E 1 f S Z x d W 9 0 O y w m c X V v d D t T Z W N 0 a W 9 u M S 9 N Z X R h R G F 0 Y S 9 D a G F u Z 2 V k I F R 5 c G U u e 3 B y b 2 Z p d E 1 h c m d p b n M s M T Z 9 J n F 1 b 3 Q 7 L C Z x d W 9 0 O 1 N l Y 3 R p b 2 4 x L 0 1 l d G F E Y X R h L 0 N o Y W 5 n Z W Q g V H l w Z S 5 7 Z 3 J v c 3 N Q c m 9 m a X R z L D E 3 f S Z x d W 9 0 O y w m c X V v d D t T Z W N 0 a W 9 u M S 9 N Z X R h R G F 0 Y S 9 D a G F u Z 2 V k I F R 5 c G U u e 2 V h c m 5 p b m d z R 3 J v d 3 R o L D E 4 f S Z x d W 9 0 O y w m c X V v d D t T Z W N 0 a W 9 u M S 9 N Z X R h R G F 0 Y S 9 D a G F u Z 2 V k I F R 5 c G U u e 2 Z y Z W V D Y X N o Z m x v d y w x O X 0 m c X V v d D s s J n F 1 b 3 Q 7 U 2 V j d G l v b j E v T W V 0 Y U R h d G E v Q 2 h h b m d l Z C B U e X B l L n t y Z X R 1 c m 5 P b k V x d W l 0 e S w y M H 0 m c X V v d D s s J n F 1 b 3 Q 7 U 2 V j d G l v b j E v T W V 0 Y U R h d G E v Q 2 h h b m d l Z C B U e X B l L n t x d W l j a 1 J h d G l v L D I x f S Z x d W 9 0 O y w m c X V v d D t T Z W N 0 a W 9 u M S 9 N Z X R h R G F 0 Y S 9 D a G F u Z 2 V k I F R 5 c G U u e 2 N 1 c n J l b n R S Y X R p b y w y M n 0 m c X V v d D s s J n F 1 b 3 Q 7 U 2 V j d G l v b j E v T W V 0 Y U R h d G E v Q 2 h h b m d l Z C B U e X B l L n t v c G V y Y X R p b m d D Y X N o Z m x v d y w y M 3 0 m c X V v d D s s J n F 1 b 3 Q 7 U 2 V j d G l v b j E v T W V 0 Y U R h d G E v U H J v b W 9 0 Z W Q g S G V h Z G V y c y 5 7 d G F y Z 2 V 0 T W V h b l B y a W N l L D I 0 f S Z x d W 9 0 O y w m c X V v d D t T Z W N 0 a W 9 u M S 9 N Z X R h R G F 0 Y S 9 D a G F u Z 2 V k I F R 5 c G U u e 3 B y Z X Z p b 3 V z Q 2 x v c 2 U s M j V 9 J n F 1 b 3 Q 7 L C Z x d W 9 0 O 1 N l Y 3 R p b 2 4 x L 0 1 l d G F E Y X R h L 0 N o Y W 5 n Z W Q g V H l w Z S 5 7 Z G l 2 a W R l b m R S Y X R l L D I 2 f S Z x d W 9 0 O y w m c X V v d D t T Z W N 0 a W 9 u M S 9 N Z X R h R G F 0 Y S 9 D a G F u Z 2 V k I F R 5 c G U u e 2 R p d m l k Z W 5 k W W l l b G Q s M j d 9 J n F 1 b 3 Q 7 L C Z x d W 9 0 O 1 N l Y 3 R p b 2 4 x L 0 1 l d G F E Y X R h L 0 N o Y W 5 n Z W Q g V H l w Z S 5 7 Z X h E a X Z p Z G V u Z E R h d G U s M j h 9 J n F 1 b 3 Q 7 L C Z x d W 9 0 O 1 N l Y 3 R p b 2 4 x L 0 1 l d G F E Y X R h L 0 N o Y W 5 n Z W Q g V H l w Z S 5 7 Z m l 2 Z V l l Y X J B d m d E a X Z p Z G V u Z F l p Z W x k L D I 5 f S Z x d W 9 0 O y w m c X V v d D t T Z W N 0 a W 9 u M S 9 N Z X R h R G F 0 Y S 9 D a G F u Z 2 V k I F R 5 c G U u e 2 J l d G E s M z B 9 J n F 1 b 3 Q 7 L C Z x d W 9 0 O 1 N l Y 3 R p b 2 4 x L 0 1 l d G F E Y X R h L 0 N o Y W 5 n Z W Q g V H l w Z S 5 7 d H J h a W x p b m d Q R S w z M X 0 m c X V v d D s s J n F 1 b 3 Q 7 U 2 V j d G l v b j E v T W V 0 Y U R h d G E v Q 2 h h b m d l Z C B U e X B l L n t m b 3 J 3 Y X J k U E U s M z J 9 J n F 1 b 3 Q 7 L C Z x d W 9 0 O 1 N l Y 3 R p b 2 4 x L 0 1 l d G F E Y X R h L 0 N o Y W 5 n Z W Q g V H l w Z S 5 7 Y X Z l c m F n Z V Z v b H V t Z T E w Z G F 5 c y w z M 3 0 m c X V v d D s s J n F 1 b 3 Q 7 U 2 V j d G l v b j E v T W V 0 Y U R h d G E v Q 2 h h b m d l Z C B U e X B l L n t m a W Z 0 e V R 3 b 1 d l Z W t M b 3 c s M z R 9 J n F 1 b 3 Q 7 L C Z x d W 9 0 O 1 N l Y 3 R p b 2 4 x L 0 1 l d G F E Y X R h L 0 N o Y W 5 n Z W Q g V H l w Z S 5 7 Z m l m d H l U d 2 9 X Z W V r S G l n a C w z N X 0 m c X V v d D s s J n F 1 b 3 Q 7 U 2 V j d G l v b j E v T W V 0 Y U R h d G E v Q 2 h h b m d l Z C B U e X B l L n t w c m l j Z V R v U 2 F s Z X N U c m F p b G l u Z z E y T W 9 u d G h z L D M 2 f S Z x d W 9 0 O y w m c X V v d D t T Z W N 0 a W 9 u M S 9 N Z X R h R G F 0 Y S 9 D a G F u Z 2 V k I F R 5 c G U u e 3 R y Y W l s a W 5 n Q W 5 u d W F s R G l 2 a W R l b m R S Y X R l L D M 3 f S Z x d W 9 0 O y w m c X V v d D t T Z W N 0 a W 9 u M S 9 N Z X R h R G F 0 Y S 9 D a G F u Z 2 V k I F R 5 c G U u e 3 R y Y W l s a W 5 n Q W 5 u d W F s R G l 2 a W R l b m R Z a W V s Z C w z O H 0 m c X V v d D s s J n F 1 b 3 Q 7 U 2 V j d G l v b j E v T W V 0 Y U R h d G E v Q 2 h h b m d l Z C B U e X B l L n t t Y X J r Z X R D Y X A s M z l 9 J n F 1 b 3 Q 7 L C Z x d W 9 0 O 1 N l Y 3 R p b 2 4 x L 0 1 l d G F E Y X R h L 0 N o Y W 5 n Z W Q g V H l w Z S 5 7 c 2 h h c m V z T 3 V 0 c 3 R h b m R p b m c s N D B 9 J n F 1 b 3 Q 7 L C Z x d W 9 0 O 1 N l Y 3 R p b 2 4 x L 0 1 l d G F E Y X R h L 0 N o Y W 5 n Z W Q g V H l w Z S 5 7 Y m 9 v a 1 Z h b H V l L D Q x f S Z x d W 9 0 O y w m c X V v d D t T Z W N 0 a W 9 u M S 9 N Z X R h R G F 0 Y S 9 D a G F u Z 2 V k I F R 5 c G U u e 3 B y a W N l V G 9 C b 2 9 r L D Q y f S Z x d W 9 0 O y w m c X V v d D t T Z W N 0 a W 9 u M S 9 N Z X R h R G F 0 Y S 9 D a G F u Z 2 V k I F R 5 c G U u e 2 x h c 3 R G a X N j Y W x Z Z W F y R W 5 k L D Q z f S Z x d W 9 0 O y w m c X V v d D t T Z W N 0 a W 9 u M S 9 N Z X R h R G F 0 Y S 9 D a G F u Z 2 V k I F R 5 c G U u e 2 5 l e H R G a X N j Y W x Z Z W F y R W 5 k L D Q 0 f S Z x d W 9 0 O y w m c X V v d D t T Z W N 0 a W 9 u M S 9 N Z X R h R G F 0 Y S 9 D a G F u Z 2 V k I F R 5 c G U u e 2 1 v c 3 R S Z W N l b n R R d W F y d G V y L D Q 1 f S Z x d W 9 0 O y w m c X V v d D t T Z W N 0 a W 9 u M S 9 N Z X R h R G F 0 Y S 9 D a G F u Z 2 V k I F R 5 c G U u e 3 B l Z 1 J h d G l v L D Q 2 f S Z x d W 9 0 O y w m c X V v d D t T Z W N 0 a W 9 u M S 9 N Z X R h R G F 0 Y S 9 D a G F u Z 2 V k I F R 5 c G U u e 1 R p Y 2 t l c i w 0 N 3 0 m c X V v d D t d L C Z x d W 9 0 O 1 J l b G F 0 a W 9 u c 2 h p c E l u Z m 8 m c X V v d D s 6 W 1 1 9 I i A v P j w v U 3 R h Y m x l R W 5 0 c m l l c z 4 8 L 0 l 0 Z W 0 + P E l 0 Z W 0 + P E l 0 Z W 1 M b 2 N h d G l v b j 4 8 S X R l b V R 5 c G U + R m 9 y b X V s Y T w v S X R l b V R 5 c G U + P E l 0 Z W 1 Q Y X R o P l N l Y 3 R p b 2 4 x L 0 1 l d G F E Y X R h L 1 N v d X J j Z T w v S X R l b V B h d G g + P C 9 J d G V t T G 9 j Y X R p b 2 4 + P F N 0 Y W J s Z U V u d H J p Z X M g L z 4 8 L 0 l 0 Z W 0 + P E l 0 Z W 0 + P E l 0 Z W 1 M b 2 N h d G l v b j 4 8 S X R l b V R 5 c G U + R m 9 y b X V s Y T w v S X R l b V R 5 c G U + P E l 0 Z W 1 Q Y X R o P l N l Y 3 R p b 2 4 x L 0 1 l d G F E Y X R h L 0 1 l d G F E Y X R h X 1 N o Z W V 0 P C 9 J d G V t U G F 0 a D 4 8 L 0 l 0 Z W 1 M b 2 N h d G l v b j 4 8 U 3 R h Y m x l R W 5 0 c m l l c y A v P j w v S X R l b T 4 8 S X R l b T 4 8 S X R l b U x v Y 2 F 0 a W 9 u P j x J d G V t V H l w Z T 5 G b 3 J t d W x h P C 9 J d G V t V H l w Z T 4 8 S X R l b V B h d G g + U 2 V j d G l v b j E v T W V 0 Y U R h d G E v U H J v b W 9 0 Z W Q l M j B I Z W F k Z X J z P C 9 J d G V t U G F 0 a D 4 8 L 0 l 0 Z W 1 M b 2 N h d G l v b j 4 8 U 3 R h Y m x l R W 5 0 c m l l c y A v P j w v S X R l b T 4 8 S X R l b T 4 8 S X R l b U x v Y 2 F 0 a W 9 u P j x J d G V t V H l w Z T 5 G b 3 J t d W x h P C 9 J d G V t V H l w Z T 4 8 S X R l b V B h d G g + U 2 V j d G l v b j E v T W V 0 Y U R h d G E v Q 2 h h b m d l Z C U y M F R 5 c G U 8 L 0 l 0 Z W 1 Q Y X R o P j w v S X R l b U x v Y 2 F 0 a W 9 u P j x T d G F i b G V F b n R y a W V z I C 8 + P C 9 J d G V t P j x J d G V t P j x J d G V t T G 9 j Y X R p b 2 4 + P E l 0 Z W 1 U e X B l P k Z v c m 1 1 b G E 8 L 0 l 0 Z W 1 U e X B l P j x J d G V t U G F 0 a D 5 T Z W N 0 a W 9 u M S 9 U a W N r Z X J Z Z W F y c z w v S X R l b V B h d G g + P C 9 J d G V t T G 9 j Y X R p b 2 4 + P F N 0 Y W J s Z U V u d H J p Z X M + P E V u d H J 5 I F R 5 c G U 9 I l F 1 Z X J 5 S U Q i I F Z h b H V l P S J z M D A 1 N W N h N j A t Y T k 4 Z C 0 0 N D Q z L T h m N D A t N j F k M W F h N G V k M D A 2 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W W V h c n M i I C 8 + P E V u d H J 5 I F R 5 c G U 9 I k Z p b G x l Z E N v b X B s Z X R l U m V z d W x 0 V G 9 X b 3 J r c 2 h l Z X Q i I F Z h b H V l P S J s M S I g L z 4 8 R W 5 0 c n k g V H l w Z T 0 i R m l s b E V y c m 9 y Q 2 9 k Z S I g V m F s d W U 9 I n N V b m t u b 3 d u I i A v P j x F b n R y e S B U e X B l P S J G a W x s R X J y b 3 J D b 3 V u d C I g V m F s d W U 9 I m w w I i A v P j x F b n R y e S B U e X B l P S J G a W x s Q 2 9 1 b n Q i I F Z h b H V l P S J s N D A i I C 8 + P E V u d H J 5 I F R 5 c G U 9 I k F k Z G V k V G 9 E Y X R h T W 9 k Z W w i I F Z h b H V l P S J s M C I g L z 4 8 R W 5 0 c n k g V H l w Z T 0 i R m l s b E x h c 3 R V c G R h d G V k I i B W Y W x 1 Z T 0 i Z D I w M j Q t M D k t M T Z U M D A 6 M j I 6 M j M u N j Y 0 N j A 3 O F o i I C 8 + P E V u d H J 5 I F R 5 c G U 9 I k Z p b G x D b 2 x 1 b W 5 U e X B l c y I g V m F s d W U 9 I n N C Z 2 t K Q 1 F N P S I g L z 4 8 R W 5 0 c n k g V H l w Z T 0 i R m l s b E N v b H V t b k 5 h b W V z I i B W Y W x 1 Z T 0 i c 1 s m c X V v d D t U a W N r Z X I m c X V v d D s s J n F 1 b 3 Q 7 Y X N P Z k R h d G U m c X V v d D s s J n F 1 b 3 Q 7 Y X N P Z k R h d G V f T W l u J n F 1 b 3 Q 7 L C Z x d W 9 0 O 2 F z T 2 Z E Y X R l X 0 1 h e C Z x d W 9 0 O y w m c X V v d D t Z Z W F y J n F 1 b 3 Q 7 X S I g L z 4 8 R W 5 0 c n k g V H l w Z T 0 i R m l s b F N 0 Y X R 1 c y I g V m F s d W U 9 I n N D b 2 1 w b G V 0 Z S I g L z 4 8 R W 5 0 c n k g V H l w Z T 0 i U m V s Y X R p b 2 5 z a G l w S W 5 m b 0 N v b n R h a W 5 l c i I g V m F s d W U 9 I n N 7 J n F 1 b 3 Q 7 Y 2 9 s d W 1 u Q 2 9 1 b n Q m c X V v d D s 6 N S w m c X V v d D t r Z X l D b 2 x 1 b W 5 O Y W 1 l c y Z x d W 9 0 O z p b J n F 1 b 3 Q 7 V G l j a 2 V y J n F 1 b 3 Q 7 L C Z x d W 9 0 O 2 F z T 2 Z E Y X R l J n F 1 b 3 Q 7 X S w m c X V v d D t x d W V y e V J l b G F 0 a W 9 u c 2 h p c H M m c X V v d D s 6 W 1 0 s J n F 1 b 3 Q 7 Y 2 9 s d W 1 u S W R l b n R p d G l l c y Z x d W 9 0 O z p b J n F 1 b 3 Q 7 U 2 V j d G l v b j E v V G l j a 2 V y W W V h c n M v R 3 J v d X B l Z C B S b 3 d z L n t U a W N r Z X I s M H 0 m c X V v d D s s J n F 1 b 3 Q 7 U 2 V j d G l v b j E v V G l j a 2 V y W W V h c n M v R 3 J v d X B l Z C B S b 3 d z L n t h c 0 9 m R G F 0 Z S w x f S Z x d W 9 0 O y w m c X V v d D t T Z W N 0 a W 9 u M S 9 U a W N r Z X J Z Z W F y c y 9 H c m 9 1 c G V k I F J v d 3 M u e 2 F z T 2 Z E Y X R l X 0 1 p b i w y f S Z x d W 9 0 O y w m c X V v d D t T Z W N 0 a W 9 u M S 9 U a W N r Z X J Z Z W F y c y 9 H c m 9 1 c G V k I F J v d 3 M u e 2 F z T 2 Z E Y X R l X 0 1 h e C w z f S Z x d W 9 0 O y w m c X V v d D t T Z W N 0 a W 9 u M S 9 U a W N r Z X J Z Z W F y c y 9 J b n N l c n R l Z C B Z Z W F y L n t Z Z W F y L D R 9 J n F 1 b 3 Q 7 X S w m c X V v d D t D b 2 x 1 b W 5 D b 3 V u d C Z x d W 9 0 O z o 1 L C Z x d W 9 0 O 0 t l e U N v b H V t b k 5 h b W V z J n F 1 b 3 Q 7 O l s m c X V v d D t U a W N r Z X I m c X V v d D s s J n F 1 b 3 Q 7 Y X N P Z k R h d G U m c X V v d D t d L C Z x d W 9 0 O 0 N v b H V t b k l k Z W 5 0 a X R p Z X M m c X V v d D s 6 W y Z x d W 9 0 O 1 N l Y 3 R p b 2 4 x L 1 R p Y 2 t l c l l l Y X J z L 0 d y b 3 V w Z W Q g U m 9 3 c y 5 7 V G l j a 2 V y L D B 9 J n F 1 b 3 Q 7 L C Z x d W 9 0 O 1 N l Y 3 R p b 2 4 x L 1 R p Y 2 t l c l l l Y X J z L 0 d y b 3 V w Z W Q g U m 9 3 c y 5 7 Y X N P Z k R h d G U s M X 0 m c X V v d D s s J n F 1 b 3 Q 7 U 2 V j d G l v b j E v V G l j a 2 V y W W V h c n M v R 3 J v d X B l Z C B S b 3 d z L n t h c 0 9 m R G F 0 Z V 9 N a W 4 s M n 0 m c X V v d D s s J n F 1 b 3 Q 7 U 2 V j d G l v b j E v V G l j a 2 V y W W V h c n M v R 3 J v d X B l Z C B S b 3 d z L n t h c 0 9 m R G F 0 Z V 9 N Y X g s M 3 0 m c X V v d D s s J n F 1 b 3 Q 7 U 2 V j d G l v b j E v V G l j a 2 V y W W V h c n M v S W 5 z Z X J 0 Z W Q g W W V h c i 5 7 W W V h c i w 0 f S Z x d W 9 0 O 1 0 s J n F 1 b 3 Q 7 U m V s Y X R p b 2 5 z a G l w S W 5 m b y Z x d W 9 0 O z p b X X 0 i I C 8 + P C 9 T d G F i b G V F b n R y a W V z P j w v S X R l b T 4 8 S X R l b T 4 8 S X R l b U x v Y 2 F 0 a W 9 u P j x J d G V t V H l w Z T 5 G b 3 J t d W x h P C 9 J d G V t V H l w Z T 4 8 S X R l b V B h d G g + U 2 V j d G l v b j E v V G l j a 2 V y W W V h c n M v U 2 9 1 c m N l P C 9 J d G V t U G F 0 a D 4 8 L 0 l 0 Z W 1 M b 2 N h d G l v b j 4 8 U 3 R h Y m x l R W 5 0 c m l l c y A v P j w v S X R l b T 4 8 S X R l b T 4 8 S X R l b U x v Y 2 F 0 a W 9 u P j x J d G V t V H l w Z T 5 G b 3 J t d W x h P C 9 J d G V t V H l w Z T 4 8 S X R l b V B h d G g + U 2 V j d G l v b j E v V G l j a 2 V y W W V h c n M v R m l s d G V y Z W Q l M j B S b 3 d z P C 9 J d G V t U G F 0 a D 4 8 L 0 l 0 Z W 1 M b 2 N h d G l v b j 4 8 U 3 R h Y m x l R W 5 0 c m l l c y A v P j w v S X R l b T 4 8 S X R l b T 4 8 S X R l b U x v Y 2 F 0 a W 9 u P j x J d G V t V H l w Z T 5 G b 3 J t d W x h P C 9 J d G V t V H l w Z T 4 8 S X R l b V B h d G g + U 2 V j d G l v b j E v V G l j a 2 V y W W V h c n M v R 3 J v d X B l Z C U y M F J v d 3 M 8 L 0 l 0 Z W 1 Q Y X R o P j w v S X R l b U x v Y 2 F 0 a W 9 u P j x T d G F i b G V F b n R y a W V z I C 8 + P C 9 J d G V t P j x J d G V t P j x J d G V t T G 9 j Y X R p b 2 4 + P E l 0 Z W 1 U e X B l P k Z v c m 1 1 b G E 8 L 0 l 0 Z W 1 U e X B l P j x J d G V t U G F 0 a D 5 T Z W N 0 a W 9 u M S 9 U a W N r Z X J Z Z W F y c y 9 J b n N l c n R l Z C U y M F l l Y X I 8 L 0 l 0 Z W 1 Q Y X R o P j w v S X R l b U x v Y 2 F 0 a W 9 u P j x T d G F i b G V F b n R y a W V z I C 8 + P C 9 J d G V t P j x J d G V t P j x J d G V t T G 9 j Y X R p b 2 4 + P E l 0 Z W 1 U e X B l P k Z v c m 1 1 b G E 8 L 0 l 0 Z W 1 U e X B l P j x J d G V t U G F 0 a D 5 T Z W N 0 a W 9 u M S 9 U a W N r Z X J Z Z W F y c y 9 T b 3 J 0 Z W Q l M j B S b 3 d z P C 9 J d G V t U G F 0 a D 4 8 L 0 l 0 Z W 1 M b 2 N h d G l v b j 4 8 U 3 R h Y m x l R W 5 0 c m l l c y A v P j w v S X R l b T 4 8 S X R l b T 4 8 S X R l b U x v Y 2 F 0 a W 9 u P j x J d G V t V H l w Z T 5 G b 3 J t d W x h P C 9 J d G V t V H l w Z T 4 8 S X R l b V B h d G g + U 2 V j d G l v b j E v V G l j a 2 V y c z w v S X R l b V B h d G g + P C 9 J d G V t T G 9 j Y X R p b 2 4 + P F N 0 Y W J s Z U V u d H J p Z X M + P E V u d H J 5 I F R 5 c G U 9 I l F 1 Z X J 5 S U Q i I F Z h b H V l P S J z M m F m N z N m M 2 I t N z g 2 Z C 0 0 N W V l L W J k Y j A t Y z d m Y T Y 5 M m Z h N z R i 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j a 2 V y c y I g L z 4 8 R W 5 0 c n k g V H l w Z T 0 i R m l s b G V k Q 2 9 t c G x l d G V S Z X N 1 b H R U b 1 d v c m t z a G V l d C I g V m F s d W U 9 I m w x I i A v P j x F b n R y e S B U e X B l P S J G a W x s R X J y b 3 J D b 3 V u d C I g V m F s d W U 9 I m w w I i A v P j x F b n R y e S B U e X B l P S J G a W x s R X J y b 3 J D b 2 R l I i B W Y W x 1 Z T 0 i c 1 V u a 2 5 v d 2 4 i I C 8 + P E V u d H J 5 I F R 5 c G U 9 I k Z p b G x D b 3 V u d C I g V m F s d W U 9 I m w x M C I g L z 4 8 R W 5 0 c n k g V H l w Z T 0 i Q W R k Z W R U b 0 R h d G F N b 2 R l b C I g V m F s d W U 9 I m w w I i A v P j x F b n R y e S B U e X B l P S J G a W x s T G F z d F V w Z G F 0 Z W Q i I F Z h b H V l P S J k M j A y N C 0 w O S 0 x N l Q w M D o y M j o y M y 4 2 M T U 3 N D M 0 W i I g L z 4 8 R W 5 0 c n k g V H l w Z T 0 i R m l s b E N v b H V t b l R 5 c G V z I i B W Y W x 1 Z T 0 i c 0 J n P T 0 i I C 8 + P E V u d H J 5 I F R 5 c G U 9 I k Z p b G x D b 2 x 1 b W 5 O Y W 1 l c y I g V m F s d W U 9 I n N b J n F 1 b 3 Q 7 V G l j a 2 V y J n F 1 b 3 Q 7 X S I g L z 4 8 R W 5 0 c n k g V H l w Z T 0 i R m l s b F N 0 Y X R 1 c y I g V m F s d W U 9 I n N D b 2 1 w b G V 0 Z S I g L z 4 8 R W 5 0 c n k g V H l w Z T 0 i U m V s Y X R p b 2 5 z a G l w S W 5 m b 0 N v b n R h a W 5 l c i I g V m F s d W U 9 I n N 7 J n F 1 b 3 Q 7 Y 2 9 s d W 1 u Q 2 9 1 b n Q m c X V v d D s 6 M S w m c X V v d D t r Z X l D b 2 x 1 b W 5 O Y W 1 l c y Z x d W 9 0 O z p b J n F 1 b 3 Q 7 V G l j a 2 V y J n F 1 b 3 Q 7 X S w m c X V v d D t x d W V y e V J l b G F 0 a W 9 u c 2 h p c H M m c X V v d D s 6 W 1 0 s J n F 1 b 3 Q 7 Y 2 9 s d W 1 u S W R l b n R p d G l l c y Z x d W 9 0 O z p b J n F 1 b 3 Q 7 U 2 V j d G l v b j E v S W 5 j b 2 1 l U 3 R h d G V t Z W 5 0 L 0 N o Y W 5 n Z W Q g V H l w Z S 5 7 V G l j a 2 V y L D Y 0 f S Z x d W 9 0 O 1 0 s J n F 1 b 3 Q 7 Q 2 9 s d W 1 u Q 2 9 1 b n Q m c X V v d D s 6 M S w m c X V v d D t L Z X l D b 2 x 1 b W 5 O Y W 1 l c y Z x d W 9 0 O z p b J n F 1 b 3 Q 7 V G l j a 2 V y J n F 1 b 3 Q 7 X S w m c X V v d D t D b 2 x 1 b W 5 J Z G V u d G l 0 a W V z J n F 1 b 3 Q 7 O l s m c X V v d D t T Z W N 0 a W 9 u M S 9 J b m N v b W V T d G F 0 Z W 1 l b n Q v Q 2 h h b m d l Z C B U e X B l L n t U a W N r Z X I s N j R 9 J n F 1 b 3 Q 7 X S w m c X V v d D t S Z W x h d G l v b n N o a X B J b m Z v J n F 1 b 3 Q 7 O l t d f S I g L z 4 8 L 1 N 0 Y W J s Z U V u d H J p Z X M + P C 9 J d G V t P j x J d G V t P j x J d G V t T G 9 j Y X R p b 2 4 + P E l 0 Z W 1 U e X B l P k Z v c m 1 1 b G E 8 L 0 l 0 Z W 1 U e X B l P j x J d G V t U G F 0 a D 5 T Z W N 0 a W 9 u M S 9 U a W N r Z X J z L 1 N v d X J j Z T w v S X R l b V B h d G g + P C 9 J d G V t T G 9 j Y X R p b 2 4 + P F N 0 Y W J s Z U V u d H J p Z X M g L z 4 8 L 0 l 0 Z W 0 + P E l 0 Z W 0 + P E l 0 Z W 1 M b 2 N h d G l v b j 4 8 S X R l b V R 5 c G U + R m 9 y b X V s Y T w v S X R l b V R 5 c G U + P E l 0 Z W 1 Q Y X R o P l N l Y 3 R p b 2 4 x L 1 R p Y 2 t l c n M v U m V t b 3 Z l Z C U y M E 9 0 a G V y J T I w Q 2 9 s d W 1 u c z w v S X R l b V B h d G g + P C 9 J d G V t T G 9 j Y X R p b 2 4 + P F N 0 Y W J s Z U V u d H J p Z X M g L z 4 8 L 0 l 0 Z W 0 + P E l 0 Z W 0 + P E l 0 Z W 1 M b 2 N h d G l v b j 4 8 S X R l b V R 5 c G U + R m 9 y b X V s Y T w v S X R l b V R 5 c G U + P E l 0 Z W 1 Q Y X R o P l N l Y 3 R p b 2 4 x L 1 R p Y 2 t l c n M v U m V t b 3 Z l Z C U y M E R 1 c G x p Y 2 F 0 Z X M 8 L 0 l 0 Z W 1 Q Y X R o P j w v S X R l b U x v Y 2 F 0 a W 9 u P j x T d G F i b G V F b n R y a W V z I C 8 + P C 9 J d G V t P j x J d G V t P j x J d G V t T G 9 j Y X R p b 2 4 + P E l 0 Z W 1 U e X B l P k Z v c m 1 1 b G E 8 L 0 l 0 Z W 1 U e X B l P j x J d G V t U G F 0 a D 5 T Z W N 0 a W 9 u M S 9 U a W N r Z X J z L 1 N v c n R l Z C U y M F J v d 3 M 8 L 0 l 0 Z W 1 Q Y X R o P j w v S X R l b U x v Y 2 F 0 a W 9 u P j x T d G F i b G V F b n R y a W V z I C 8 + P C 9 J d G V t P j x J d G V t P j x J d G V t T G 9 j Y X R p b 2 4 + P E l 0 Z W 1 U e X B l P k Z v c m 1 1 b G E 8 L 0 l 0 Z W 1 U e X B l P j x J d G V t U G F 0 a D 5 T Z W N 0 a W 9 u M S 9 J b m N v b W V T d G F 0 Z W 1 l b n Q v S W 5 z Z X J 0 Z W Q l M j B Z Z W F y P C 9 J d G V t U G F 0 a D 4 8 L 0 l 0 Z W 1 M b 2 N h d G l v b j 4 8 U 3 R h Y m x l R W 5 0 c m l l c y A v P j w v S X R l b T 4 8 S X R l b T 4 8 S X R l b U x v Y 2 F 0 a W 9 u P j x J d G V t V H l w Z T 5 G b 3 J t d W x h P C 9 J d G V t V H l w Z T 4 8 S X R l b V B h d G g + U 2 V j d G l v b j E v S W 5 j b 2 1 l U 3 R h d G V t Z W 5 0 L 1 J l b 3 J k Z X J l Z C U y M E N v b H V t b n M 8 L 0 l 0 Z W 1 Q Y X R o P j w v S X R l b U x v Y 2 F 0 a W 9 u P j x T d G F i b G V F b n R y a W V z I C 8 + P C 9 J d G V t P j x J d G V t P j x J d G V t T G 9 j Y X R p b 2 4 + P E l 0 Z W 1 U e X B l P k Z v c m 1 1 b G E 8 L 0 l 0 Z W 1 U e X B l P j x J d G V t U G F 0 a D 5 T Z W N 0 a W 9 u M S 9 C Y W x h b m N l U 2 h l Z X Q v S W 5 z Z X J 0 Z W Q l M j B Z Z W F y P C 9 J d G V t U G F 0 a D 4 8 L 0 l 0 Z W 1 M b 2 N h d G l v b j 4 8 U 3 R h Y m x l R W 5 0 c m l l c y A v P j w v S X R l b T 4 8 S X R l b T 4 8 S X R l b U x v Y 2 F 0 a W 9 u P j x J d G V t V H l w Z T 5 G b 3 J t d W x h P C 9 J d G V t V H l w Z T 4 8 S X R l b V B h d G g + U 2 V j d G l v b j E v Q m F s Y W 5 j Z V N o Z W V 0 L 1 J l b 3 J k Z X J l Z C U y M E N v b H V t b n M 8 L 0 l 0 Z W 1 Q Y X R o P j w v S X R l b U x v Y 2 F 0 a W 9 u P j x T d G F i b G V F b n R y a W V z I C 8 + P C 9 J d G V t P j x J d G V t P j x J d G V t T G 9 j Y X R p b 2 4 + P E l 0 Z W 1 U e X B l P k Z v c m 1 1 b G E 8 L 0 l 0 Z W 1 U e X B l P j x J d G V t U G F 0 a D 5 T Z W N 0 a W 9 u M S 9 D Y X N o R m x v d y 9 J b n N l c n R l Z C U y M F l l Y X I 8 L 0 l 0 Z W 1 Q Y X R o P j w v S X R l b U x v Y 2 F 0 a W 9 u P j x T d G F i b G V F b n R y a W V z I C 8 + P C 9 J d G V t P j x J d G V t P j x J d G V t T G 9 j Y X R p b 2 4 + P E l 0 Z W 1 U e X B l P k Z v c m 1 1 b G E 8 L 0 l 0 Z W 1 U e X B l P j x J d G V t U G F 0 a D 5 T Z W N 0 a W 9 u M S 9 D Y X N o R m x v d y 9 S Z W 9 y Z G V y Z W Q l M j B D b 2 x 1 b W 5 z P C 9 J d G V t U G F 0 a D 4 8 L 0 l 0 Z W 1 M b 2 N h d G l v b j 4 8 U 3 R h Y m x l R W 5 0 c m l l c y A v P j w v S X R l b T 4 8 S X R l b T 4 8 S X R l b U x v Y 2 F 0 a W 9 u P j x J d G V t V H l w Z T 5 G b 3 J t d W x h P C 9 J d G V t V H l w Z T 4 8 S X R l b V B h d G g + U 2 V j d G l v b j E v U H J p Y 2 V E Y X R h X 0 d T U E M 8 L 0 l 0 Z W 1 Q Y X R o P j w v S X R l b U x v Y 2 F 0 a W 9 u P j x T d G F i b G V F b n R y a W V z P j x F b n R y e S B U e X B l P S J J c 1 B y a X Z h d G U i I F Z h b H V l P S J s M C I g L z 4 8 R W 5 0 c n k g V H l w Z T 0 i U X V l c n l J R C I g V m F s d W U 9 I n M y M 2 I 3 M T M 0 N y 1 h Z D h h L T Q x M T E t Y j h i Y S 1 i N D g 3 O W R k M j M y M 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a W N l R G F 0 Y V 9 H U 1 B D I i A v P j x F b n R y e S B U e X B l P S J G a W x s Z W R D b 2 1 w b G V 0 Z V J l c 3 V s d F R v V 2 9 y a 3 N o Z W V 0 I i B W Y W x 1 Z T 0 i b D E i I C 8 + P E V u d H J 5 I F R 5 c G U 9 I k Z p b G x F c n J v c k N v d W 5 0 I i B W Y W x 1 Z T 0 i b D A i I C 8 + P E V u d H J 5 I F R 5 c G U 9 I k Z p b G x F c n J v c k N v Z G U i I F Z h b H V l P S J z V W 5 r b m 9 3 b i I g L z 4 8 R W 5 0 c n k g V H l w Z T 0 i R m l s b E N v d W 5 0 I i B W Y W x 1 Z T 0 i b D Q 4 I i A v P j x F b n R y e S B U e X B l P S J B Z G R l Z F R v R G F 0 Y U 1 v Z G V s I i B W Y W x 1 Z T 0 i b D A i I C 8 + P E V u d H J 5 I F R 5 c G U 9 I k Z p b G x M Y X N 0 V X B k Y X R l Z C I g V m F s d W U 9 I m Q y M D I 0 L T A 5 L T E 2 V D A w O j I y O j I 1 L j E z N D Y 3 N j F a I i A v P j x F b n R y e S B U e X B l P S J G a W x s Q 2 9 s d W 1 u V H l w Z X M i I F Z h b H V l P S J z Q m d r R k J R V U Z B d 1 V H Q 1 F V R k J R W U Q i I C 8 + P E V u d H J 5 I F R 5 c G U 9 I k Z p b G x D b 2 x 1 b W 5 O Y W 1 l c y I g V m F s d W U 9 I n N b J n F 1 b 3 Q 7 V G l j a 2 V y J n F 1 b 3 Q 7 L C Z x d W 9 0 O 3 B y a W N l X 2 R h d G U m c X V v d D s s J n F 1 b 3 Q 7 b 3 B l b i Z x d W 9 0 O y w m c X V v d D t o a W d o J n F 1 b 3 Q 7 L C Z x d W 9 0 O 2 x v d y Z x d W 9 0 O y w m c X V v d D t j b G 9 z Z S Z x d W 9 0 O y w m c X V v d D t 2 b 2 x 1 b W U m c X V v d D s s J n F 1 b 3 Q 7 Y W R q Y 2 x v c 2 U m c X V v d D s s J n F 1 b 3 Q 7 a W Q m c X V v d D s s J n F 1 b 3 Q 7 U H V s b F 9 E Y X R l J n F 1 b 3 Q 7 L C Z x d W 9 0 O 3 B l c m N l b n R f c m V 0 d X J u J n F 1 b 3 Q 7 L C Z x d W 9 0 O 2 9 w Z W 5 f Y 2 x v c 2 V f Z G l m Z i Z x d W 9 0 O y w m c X V v d D t v c G V u X 2 h p Z 2 h f Z G l m Z i Z x d W 9 0 O y w m c X V v d D t k Y X l f b 2 Z f d 2 V l a y Z x d W 9 0 O y w m c X V v d D t w c m l j Z V 9 k Y X R l X 3 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H J p Y 2 V E Y X R h X 0 d T U E M v Q 2 h h b m d l Z C B U e X B l L n t U a W N r Z X I s M H 0 m c X V v d D s s J n F 1 b 3 Q 7 U 2 V j d G l v b j E v U H J p Y 2 V E Y X R h X 0 d T U E M v Q 2 h h b m d l Z C B U e X B l L n t w c m l j Z V 9 k Y X R l L D F 9 J n F 1 b 3 Q 7 L C Z x d W 9 0 O 1 N l Y 3 R p b 2 4 x L 1 B y a W N l R G F 0 Y V 9 H U 1 B D L 0 N o Y W 5 n Z W Q g V H l w Z S 5 7 b 3 B l b i w y f S Z x d W 9 0 O y w m c X V v d D t T Z W N 0 a W 9 u M S 9 Q c m l j Z U R h d G F f R 1 N Q Q y 9 D a G F u Z 2 V k I F R 5 c G U u e 2 h p Z 2 g s M 3 0 m c X V v d D s s J n F 1 b 3 Q 7 U 2 V j d G l v b j E v U H J p Y 2 V E Y X R h X 0 d T U E M v Q 2 h h b m d l Z C B U e X B l L n t s b 3 c s N H 0 m c X V v d D s s J n F 1 b 3 Q 7 U 2 V j d G l v b j E v U H J p Y 2 V E Y X R h X 0 d T U E M v Q 2 h h b m d l Z C B U e X B l L n t j b G 9 z Z S w 1 f S Z x d W 9 0 O y w m c X V v d D t T Z W N 0 a W 9 u M S 9 Q c m l j Z U R h d G F f R 1 N Q Q y 9 D a G F u Z 2 V k I F R 5 c G U u e 3 Z v b H V t Z S w 2 f S Z x d W 9 0 O y w m c X V v d D t T Z W N 0 a W 9 u M S 9 Q c m l j Z U R h d G F f R 1 N Q Q y 9 D a G F u Z 2 V k I F R 5 c G U u e 2 F k a m N s b 3 N l L D d 9 J n F 1 b 3 Q 7 L C Z x d W 9 0 O 1 N l Y 3 R p b 2 4 x L 1 B y a W N l R G F 0 Y V 9 H U 1 B D L 0 N o Y W 5 n Z W Q g V H l w Z S 5 7 a W Q s O H 0 m c X V v d D s s J n F 1 b 3 Q 7 U 2 V j d G l v b j E v U H J p Y 2 V E Y X R h X 0 d T U E M v Q 2 h h b m d l Z C B U e X B l L n t Q d W x s X 0 R h d G U s O X 0 m c X V v d D s s J n F 1 b 3 Q 7 U 2 V j d G l v b j E v U H J p Y 2 V E Y X R h X 0 d T U E M v Q 2 h h b m d l Z C B U e X B l L n t w Z X J j Z W 5 0 X 3 J l d H V y b i w x M H 0 m c X V v d D s s J n F 1 b 3 Q 7 U 2 V j d G l v b j E v U H J p Y 2 V E Y X R h X 0 d T U E M v Q 2 h h b m d l Z C B U e X B l L n t v c G V u X 2 N s b 3 N l X 2 R p Z m Y s M T F 9 J n F 1 b 3 Q 7 L C Z x d W 9 0 O 1 N l Y 3 R p b 2 4 x L 1 B y a W N l R G F 0 Y V 9 H U 1 B D L 0 N o Y W 5 n Z W Q g V H l w Z S 5 7 b 3 B l b l 9 o a W d o X 2 R p Z m Y s M T J 9 J n F 1 b 3 Q 7 L C Z x d W 9 0 O 1 N l Y 3 R p b 2 4 x L 1 B y a W N l R G F 0 Y V 9 H U 1 B D L 0 N o Y W 5 n Z W Q g V H l w Z S 5 7 Z G F 5 X 2 9 m X 3 d l Z W s s M T N 9 J n F 1 b 3 Q 7 L C Z x d W 9 0 O 1 N l Y 3 R p b 2 4 x L 1 B y a W N l R G F 0 Y V 9 H U 1 B D L 0 N o Y W 5 n Z W Q g V H l w Z S 5 7 c H J p Y 2 V f Z G F 0 Z V 9 5 Z W F y L D E 0 f S Z x d W 9 0 O 1 0 s J n F 1 b 3 Q 7 Q 2 9 s d W 1 u Q 2 9 1 b n Q m c X V v d D s 6 M T U s J n F 1 b 3 Q 7 S 2 V 5 Q 2 9 s d W 1 u T m F t Z X M m c X V v d D s 6 W 1 0 s J n F 1 b 3 Q 7 Q 2 9 s d W 1 u S W R l b n R p d G l l c y Z x d W 9 0 O z p b J n F 1 b 3 Q 7 U 2 V j d G l v b j E v U H J p Y 2 V E Y X R h X 0 d T U E M v Q 2 h h b m d l Z C B U e X B l L n t U a W N r Z X I s M H 0 m c X V v d D s s J n F 1 b 3 Q 7 U 2 V j d G l v b j E v U H J p Y 2 V E Y X R h X 0 d T U E M v Q 2 h h b m d l Z C B U e X B l L n t w c m l j Z V 9 k Y X R l L D F 9 J n F 1 b 3 Q 7 L C Z x d W 9 0 O 1 N l Y 3 R p b 2 4 x L 1 B y a W N l R G F 0 Y V 9 H U 1 B D L 0 N o Y W 5 n Z W Q g V H l w Z S 5 7 b 3 B l b i w y f S Z x d W 9 0 O y w m c X V v d D t T Z W N 0 a W 9 u M S 9 Q c m l j Z U R h d G F f R 1 N Q Q y 9 D a G F u Z 2 V k I F R 5 c G U u e 2 h p Z 2 g s M 3 0 m c X V v d D s s J n F 1 b 3 Q 7 U 2 V j d G l v b j E v U H J p Y 2 V E Y X R h X 0 d T U E M v Q 2 h h b m d l Z C B U e X B l L n t s b 3 c s N H 0 m c X V v d D s s J n F 1 b 3 Q 7 U 2 V j d G l v b j E v U H J p Y 2 V E Y X R h X 0 d T U E M v Q 2 h h b m d l Z C B U e X B l L n t j b G 9 z Z S w 1 f S Z x d W 9 0 O y w m c X V v d D t T Z W N 0 a W 9 u M S 9 Q c m l j Z U R h d G F f R 1 N Q Q y 9 D a G F u Z 2 V k I F R 5 c G U u e 3 Z v b H V t Z S w 2 f S Z x d W 9 0 O y w m c X V v d D t T Z W N 0 a W 9 u M S 9 Q c m l j Z U R h d G F f R 1 N Q Q y 9 D a G F u Z 2 V k I F R 5 c G U u e 2 F k a m N s b 3 N l L D d 9 J n F 1 b 3 Q 7 L C Z x d W 9 0 O 1 N l Y 3 R p b 2 4 x L 1 B y a W N l R G F 0 Y V 9 H U 1 B D L 0 N o Y W 5 n Z W Q g V H l w Z S 5 7 a W Q s O H 0 m c X V v d D s s J n F 1 b 3 Q 7 U 2 V j d G l v b j E v U H J p Y 2 V E Y X R h X 0 d T U E M v Q 2 h h b m d l Z C B U e X B l L n t Q d W x s X 0 R h d G U s O X 0 m c X V v d D s s J n F 1 b 3 Q 7 U 2 V j d G l v b j E v U H J p Y 2 V E Y X R h X 0 d T U E M v Q 2 h h b m d l Z C B U e X B l L n t w Z X J j Z W 5 0 X 3 J l d H V y b i w x M H 0 m c X V v d D s s J n F 1 b 3 Q 7 U 2 V j d G l v b j E v U H J p Y 2 V E Y X R h X 0 d T U E M v Q 2 h h b m d l Z C B U e X B l L n t v c G V u X 2 N s b 3 N l X 2 R p Z m Y s M T F 9 J n F 1 b 3 Q 7 L C Z x d W 9 0 O 1 N l Y 3 R p b 2 4 x L 1 B y a W N l R G F 0 Y V 9 H U 1 B D L 0 N o Y W 5 n Z W Q g V H l w Z S 5 7 b 3 B l b l 9 o a W d o X 2 R p Z m Y s M T J 9 J n F 1 b 3 Q 7 L C Z x d W 9 0 O 1 N l Y 3 R p b 2 4 x L 1 B y a W N l R G F 0 Y V 9 H U 1 B D L 0 N o Y W 5 n Z W Q g V H l w Z S 5 7 Z G F 5 X 2 9 m X 3 d l Z W s s M T N 9 J n F 1 b 3 Q 7 L C Z x d W 9 0 O 1 N l Y 3 R p b 2 4 x L 1 B y a W N l R G F 0 Y V 9 H U 1 B D L 0 N o Y W 5 n Z W Q g V H l w Z S 5 7 c H J p Y 2 V f Z G F 0 Z V 9 5 Z W F y L D E 0 f S Z x d W 9 0 O 1 0 s J n F 1 b 3 Q 7 U m V s Y X R p b 2 5 z a G l w S W 5 m b y Z x d W 9 0 O z p b X X 0 i I C 8 + P C 9 T d G F i b G V F b n R y a W V z P j w v S X R l b T 4 8 S X R l b T 4 8 S X R l b U x v Y 2 F 0 a W 9 u P j x J d G V t V H l w Z T 5 G b 3 J t d W x h P C 9 J d G V t V H l w Z T 4 8 S X R l b V B h d G g + U 2 V j d G l v b j E v U H J p Y 2 V E Y X R h X 0 d T U E M v U 2 9 1 c m N l P C 9 J d G V t U G F 0 a D 4 8 L 0 l 0 Z W 1 M b 2 N h d G l v b j 4 8 U 3 R h Y m x l R W 5 0 c m l l c y A v P j w v S X R l b T 4 8 S X R l b T 4 8 S X R l b U x v Y 2 F 0 a W 9 u P j x J d G V t V H l w Z T 5 G b 3 J t d W x h P C 9 J d G V t V H l w Z T 4 8 S X R l b V B h d G g + U 2 V j d G l v b j E v U H J p Y 2 V E Y X R h X 0 d T U E M v U 2 h l Z X Q x X 1 N o Z W V 0 P C 9 J d G V t U G F 0 a D 4 8 L 0 l 0 Z W 1 M b 2 N h d G l v b j 4 8 U 3 R h Y m x l R W 5 0 c m l l c y A v P j w v S X R l b T 4 8 S X R l b T 4 8 S X R l b U x v Y 2 F 0 a W 9 u P j x J d G V t V H l w Z T 5 G b 3 J t d W x h P C 9 J d G V t V H l w Z T 4 8 S X R l b V B h d G g + U 2 V j d G l v b j E v U H J p Y 2 V E Y X R h X 0 d T U E M v U H J v b W 9 0 Z W Q l M j B I Z W F k Z X J z P C 9 J d G V t U G F 0 a D 4 8 L 0 l 0 Z W 1 M b 2 N h d G l v b j 4 8 U 3 R h Y m x l R W 5 0 c m l l c y A v P j w v S X R l b T 4 8 S X R l b T 4 8 S X R l b U x v Y 2 F 0 a W 9 u P j x J d G V t V H l w Z T 5 G b 3 J t d W x h P C 9 J d G V t V H l w Z T 4 8 S X R l b V B h d G g + U 2 V j d G l v b j E v U H J p Y 2 V E Y X R h X 0 d T U E M v Q 2 h h b m d l Z C U y M F R 5 c G U 8 L 0 l 0 Z W 1 Q Y X R o P j w v S X R l b U x v Y 2 F 0 a W 9 u P j x T d G F i b G V F b n R y a W V z I C 8 + P C 9 J d G V t P j x J d G V t P j x J d G V t T G 9 j Y X R p b 2 4 + P E l 0 Z W 1 U e X B l P k Z v c m 1 1 b G E 8 L 0 l 0 Z W 1 U e X B l P j x J d G V t U G F 0 a D 5 T Z W N 0 a W 9 u M S 9 Q c m l j Z U R h d G F f R 1 N Q Q 1 9 B d m d S Y X R l P C 9 J d G V t U G F 0 a D 4 8 L 0 l 0 Z W 1 M b 2 N h d G l v b j 4 8 U 3 R h Y m x l R W 5 0 c m l l c z 4 8 R W 5 0 c n k g V H l w Z T 0 i U X V l c n l J R C I g V m F s d W U 9 I n M y M D Q 5 M G E 5 Z i 0 w N m F i L T Q 3 Y 2 I t O T M 3 M S 0 y Y m R k N m F j Z T g w N W Q 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R 1 N Q Q 1 9 B d m d S Y X R l I i A v P j x F b n R y e S B U e X B l P S J G a W x s Z W R D b 2 1 w b G V 0 Z V J l c 3 V s d F R v V 2 9 y a 3 N o Z W V 0 I i B W Y W x 1 Z T 0 i b D E i I C 8 + P E V u d H J 5 I F R 5 c G U 9 I k Z p b G x F c n J v c k N v Z G U i I F Z h b H V l P S J z V W 5 r b m 9 3 b i I g L z 4 8 R W 5 0 c n k g V H l w Z T 0 i R m l s b E V y c m 9 y Q 2 9 1 b n Q i I F Z h b H V l P S J s M C I g L z 4 8 R W 5 0 c n k g V H l w Z T 0 i R m l s b E N v d W 5 0 I i B W Y W x 1 Z T 0 i b D E i I C 8 + P E V u d H J 5 I F R 5 c G U 9 I k F k Z G V k V G 9 E Y X R h T W 9 k Z W w i I F Z h b H V l P S J s M C I g L z 4 8 R W 5 0 c n k g V H l w Z T 0 i R m l s b E x h c 3 R V c G R h d G V k I i B W Y W x 1 Z T 0 i Z D I w M j Q t M D k t M T Z U M D A 6 M j I 6 M j M u O D Y 5 M D Y y N F o i I C 8 + P E V u d H J 5 I F R 5 c G U 9 I k Z p b G x D b 2 x 1 b W 5 U e X B l c y I g V m F s d W U 9 I n N C Z 1 V B I i A v P j x F b n R y e S B U e X B l P S J G a W x s Q 2 9 s d W 1 u T m F t Z X M i I F Z h b H V l P S J z W y Z x d W 9 0 O 1 R p Y 2 t l c i Z x d W 9 0 O y w m c X V v d D t B d m d S Z X R 1 c m 4 m c X V v d D s s J n F 1 b 3 Q 7 W W V h c m x 5 I E F 2 Z X J h Z 2 U g U m V 0 d X J u J n F 1 b 3 Q 7 X S I g L z 4 8 R W 5 0 c n k g V H l w Z T 0 i R m l s b F N 0 Y X R 1 c y I g V m F s d W U 9 I n N D b 2 1 w b G V 0 Z S I g L z 4 8 R W 5 0 c n k g V H l w Z T 0 i U m V s Y X R p b 2 5 z a G l w S W 5 m b 0 N v b n R h a W 5 l c i I g V m F s d W U 9 I n N 7 J n F 1 b 3 Q 7 Y 2 9 s d W 1 u Q 2 9 1 b n Q m c X V v d D s 6 M y w m c X V v d D t r Z X l D b 2 x 1 b W 5 O Y W 1 l c y Z x d W 9 0 O z p b J n F 1 b 3 Q 7 V G l j a 2 V y J n F 1 b 3 Q 7 X S w m c X V v d D t x d W V y e V J l b G F 0 a W 9 u c 2 h p c H M m c X V v d D s 6 W 1 0 s J n F 1 b 3 Q 7 Y 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0 N v b H V t b k N v d W 5 0 J n F 1 b 3 Q 7 O j M s J n F 1 b 3 Q 7 S 2 V 5 Q 2 9 s d W 1 u T m F t Z X M m c X V v d D s 6 W y Z x d W 9 0 O 1 R p Y 2 t l c i Z x d W 9 0 O 1 0 s J n F 1 b 3 Q 7 Q 2 9 s d W 1 u S W R l b n R p d G l l c y Z x d W 9 0 O z p b J n F 1 b 3 Q 7 U 2 V j d G l v b j E v U H J p Y 2 V E Y X R h X 0 d T U E N f Q X Z n U m F 0 Z S 9 H c m 9 1 c G V k I F J v d 3 M u e 1 R p Y 2 t l c i w w f S Z x d W 9 0 O y w m c X V v d D t T Z W N 0 a W 9 u M S 9 Q c m l j Z U R h d G F f R 1 N Q Q 1 9 B d m d S Y X R l L 0 d y b 3 V w Z W Q g U m 9 3 c y 5 7 Q X Z n U m V 0 d X J u L D F 9 J n F 1 b 3 Q 7 L C Z x d W 9 0 O 1 N l Y 3 R p b 2 4 x L 1 B y a W N l R G F 0 Y V 9 H U 1 B D X 0 F 2 Z 1 J h d G U v Q W R k Z W Q g Q 3 V z d G 9 t L n t Z Z W F y b H k g Q X Z l c m F n Z S B S Z X R 1 c m 4 s M n 0 m c X V v d D t d L C Z x d W 9 0 O 1 J l b G F 0 a W 9 u c 2 h p c E l u Z m 8 m c X V v d D s 6 W 1 1 9 I i A v P j w v U 3 R h Y m x l R W 5 0 c m l l c z 4 8 L 0 l 0 Z W 0 + P E l 0 Z W 0 + P E l 0 Z W 1 M b 2 N h d G l v b j 4 8 S X R l b V R 5 c G U + R m 9 y b X V s Y T w v S X R l b V R 5 c G U + P E l 0 Z W 1 Q Y X R o P l N l Y 3 R p b 2 4 x L 1 B y a W N l R G F 0 Y V 9 H U 1 B D X 0 F 2 Z 1 J h d G U v U 2 9 1 c m N l P C 9 J d G V t U G F 0 a D 4 8 L 0 l 0 Z W 1 M b 2 N h d G l v b j 4 8 U 3 R h Y m x l R W 5 0 c m l l c y A v P j w v S X R l b T 4 8 S X R l b T 4 8 S X R l b U x v Y 2 F 0 a W 9 u P j x J d G V t V H l w Z T 5 G b 3 J t d W x h P C 9 J d G V t V H l w Z T 4 8 S X R l b V B h d G g + U 2 V j d G l v b j E v U H J p Y 2 V E Y X R h X 0 d T U E N f Q X Z n U m F 0 Z S 9 H c m 9 1 c G V k J T I w U m 9 3 c z w v S X R l b V B h d G g + P C 9 J d G V t T G 9 j Y X R p b 2 4 + P F N 0 Y W J s Z U V u d H J p Z X M g L z 4 8 L 0 l 0 Z W 0 + P E l 0 Z W 0 + P E l 0 Z W 1 M b 2 N h d G l v b j 4 8 S X R l b V R 5 c G U + R m 9 y b X V s Y T w v S X R l b V R 5 c G U + P E l 0 Z W 1 Q Y X R o P l N l Y 3 R p b 2 4 x L 1 B y a W N l R G F 0 Y V 9 H U 1 B D X 0 F 2 Z 1 J h d G U v Q W R k Z W Q l M j B D d X N 0 b 2 0 8 L 0 l 0 Z W 1 Q Y X R o P j w v S X R l b U x v Y 2 F 0 a W 9 u P j x T d G F i b G V F b n R y a W V z I C 8 + P C 9 J d G V t P j x J d G V t P j x J d G V t T G 9 j Y X R p b 2 4 + P E l 0 Z W 1 U e X B l P k Z v c m 1 1 b G E 8 L 0 l 0 Z W 1 U e X B l P j x J d G V t U G F 0 a D 5 T Z W N 0 a W 9 u M S 9 Q c m l j Z U R h d G F f V E 5 Y P C 9 J d G V t U G F 0 a D 4 8 L 0 l 0 Z W 1 M b 2 N h d G l v b j 4 8 U 3 R h Y m x l R W 5 0 c m l l c z 4 8 R W 5 0 c n k g V H l w Z T 0 i S X N Q c m l 2 Y X R l I i B W Y W x 1 Z T 0 i b D A i I C 8 + P E V u d H J 5 I F R 5 c G U 9 I l F 1 Z X J 5 S U Q i I F Z h b H V l P S J z Y j R i M z A w N 2 U t M z V j N i 0 0 Z m U 1 L W E 5 N W M t N D E 0 O W E 2 O G Z h O D 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V E 5 Y I i A v P j x F b n R y e S B U e X B l P S J G a W x s Z W R D b 2 1 w b G V 0 Z V J l c 3 V s d F R v V 2 9 y a 3 N o Z W V 0 I i B W Y W x 1 Z T 0 i b D E i I C 8 + P E V u d H J 5 I F R 5 c G U 9 I k Z p b G x F c n J v c k N v Z G U i I F Z h b H V l P S J z V W 5 r b m 9 3 b i I g L z 4 8 R W 5 0 c n k g V H l w Z T 0 i R m l s b E V y c m 9 y Q 2 9 1 b n Q i I F Z h b H V l P S J s M C I g L z 4 8 R W 5 0 c n k g V H l w Z T 0 i R m l s b E N v d W 5 0 I i B W Y W x 1 Z T 0 i b D Q 4 I i A v P j x F b n R y e S B U e X B l P S J B Z G R l Z F R v R G F 0 Y U 1 v Z G V s I i B W Y W x 1 Z T 0 i b D A i I C 8 + P E V u d H J 5 I F R 5 c G U 9 I k Z p b G x M Y X N 0 V X B k Y X R l Z C I g V m F s d W U 9 I m Q y M D I 0 L T A 5 L T E 2 V D A w O j I y O j I 1 L j A z N j k z O D B a I i A v P j x F b n R y e S B U e X B l P S J G a W x s Q 2 9 s d W 1 u V H l w Z X M i I F Z h b H V l P S J z Q m d r R k J R V U Z B d 1 V H Q 1 F V R k J R W U Q i I C 8 + P E V u d H J 5 I F R 5 c G U 9 I k Z p b G x D b 2 x 1 b W 5 O Y W 1 l c y I g V m F s d W U 9 I n N b J n F 1 b 3 Q 7 V G l j a 2 V y J n F 1 b 3 Q 7 L C Z x d W 9 0 O 3 B y a W N l X 2 R h d G U m c X V v d D s s J n F 1 b 3 Q 7 b 3 B l b i Z x d W 9 0 O y w m c X V v d D t o a W d o J n F 1 b 3 Q 7 L C Z x d W 9 0 O 2 x v d y Z x d W 9 0 O y w m c X V v d D t j b G 9 z Z S Z x d W 9 0 O y w m c X V v d D t 2 b 2 x 1 b W U m c X V v d D s s J n F 1 b 3 Q 7 Y W R q Y 2 x v c 2 U m c X V v d D s s J n F 1 b 3 Q 7 a W Q m c X V v d D s s J n F 1 b 3 Q 7 U H V s b F 9 E Y X R l J n F 1 b 3 Q 7 L C Z x d W 9 0 O 3 B l c m N l b n R f c m V 0 d X J u J n F 1 b 3 Q 7 L C Z x d W 9 0 O 2 9 w Z W 5 f Y 2 x v c 2 V f Z G l m Z i Z x d W 9 0 O y w m c X V v d D t v c G V u X 2 h p Z 2 h f Z G l m Z i Z x d W 9 0 O y w m c X V v d D t k Y X l f b 2 Z f d 2 V l a y Z x d W 9 0 O y w m c X V v d D t w c m l j Z V 9 k Y X R l X 3 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H J p Y 2 V E Y X R h X 1 R O W C 9 D a G F u Z 2 V k I F R 5 c G U u e 1 R p Y 2 t l c i w w f S Z x d W 9 0 O y w m c X V v d D t T Z W N 0 a W 9 u M S 9 Q c m l j Z U R h d G F f V E 5 Y L 0 N o Y W 5 n Z W Q g V H l w Z S 5 7 c H J p Y 2 V f Z G F 0 Z S w x f S Z x d W 9 0 O y w m c X V v d D t T Z W N 0 a W 9 u M S 9 Q c m l j Z U R h d G F f V E 5 Y L 0 N o Y W 5 n Z W Q g V H l w Z S 5 7 b 3 B l b i w y f S Z x d W 9 0 O y w m c X V v d D t T Z W N 0 a W 9 u M S 9 Q c m l j Z U R h d G F f V E 5 Y L 0 N o Y W 5 n Z W Q g V H l w Z S 5 7 a G l n a C w z f S Z x d W 9 0 O y w m c X V v d D t T Z W N 0 a W 9 u M S 9 Q c m l j Z U R h d G F f V E 5 Y L 0 N o Y W 5 n Z W Q g V H l w Z S 5 7 b G 9 3 L D R 9 J n F 1 b 3 Q 7 L C Z x d W 9 0 O 1 N l Y 3 R p b 2 4 x L 1 B y a W N l R G F 0 Y V 9 U T l g v Q 2 h h b m d l Z C B U e X B l L n t j b G 9 z Z S w 1 f S Z x d W 9 0 O y w m c X V v d D t T Z W N 0 a W 9 u M S 9 Q c m l j Z U R h d G F f V E 5 Y L 0 N o Y W 5 n Z W Q g V H l w Z S 5 7 d m 9 s d W 1 l L D Z 9 J n F 1 b 3 Q 7 L C Z x d W 9 0 O 1 N l Y 3 R p b 2 4 x L 1 B y a W N l R G F 0 Y V 9 U T l g v Q 2 h h b m d l Z C B U e X B l L n t h Z G p j b G 9 z Z S w 3 f S Z x d W 9 0 O y w m c X V v d D t T Z W N 0 a W 9 u M S 9 Q c m l j Z U R h d G F f V E 5 Y L 0 N o Y W 5 n Z W Q g V H l w Z S 5 7 a W Q s O H 0 m c X V v d D s s J n F 1 b 3 Q 7 U 2 V j d G l v b j E v U H J p Y 2 V E Y X R h X 1 R O W C 9 D a G F u Z 2 V k I F R 5 c G U u e 1 B 1 b G x f R G F 0 Z S w 5 f S Z x d W 9 0 O y w m c X V v d D t T Z W N 0 a W 9 u M S 9 Q c m l j Z U R h d G F f V E 5 Y L 0 N o Y W 5 n Z W Q g V H l w Z S 5 7 c G V y Y 2 V u d F 9 y Z X R 1 c m 4 s M T B 9 J n F 1 b 3 Q 7 L C Z x d W 9 0 O 1 N l Y 3 R p b 2 4 x L 1 B y a W N l R G F 0 Y V 9 U T l g v Q 2 h h b m d l Z C B U e X B l L n t v c G V u X 2 N s b 3 N l X 2 R p Z m Y s M T F 9 J n F 1 b 3 Q 7 L C Z x d W 9 0 O 1 N l Y 3 R p b 2 4 x L 1 B y a W N l R G F 0 Y V 9 U T l g v Q 2 h h b m d l Z C B U e X B l L n t v c G V u X 2 h p Z 2 h f Z G l m Z i w x M n 0 m c X V v d D s s J n F 1 b 3 Q 7 U 2 V j d G l v b j E v U H J p Y 2 V E Y X R h X 1 R O W C 9 D a G F u Z 2 V k I F R 5 c G U u e 2 R h e V 9 v Z l 9 3 Z W V r L D E z f S Z x d W 9 0 O y w m c X V v d D t T Z W N 0 a W 9 u M S 9 Q c m l j Z U R h d G F f V E 5 Y L 0 N o Y W 5 n Z W Q g V H l w Z S 5 7 c H J p Y 2 V f Z G F 0 Z V 9 5 Z W F y L D E 0 f S Z x d W 9 0 O 1 0 s J n F 1 b 3 Q 7 Q 2 9 s d W 1 u Q 2 9 1 b n Q m c X V v d D s 6 M T U s J n F 1 b 3 Q 7 S 2 V 5 Q 2 9 s d W 1 u T m F t Z X M m c X V v d D s 6 W 1 0 s J n F 1 b 3 Q 7 Q 2 9 s d W 1 u S W R l b n R p d G l l c y Z x d W 9 0 O z p b J n F 1 b 3 Q 7 U 2 V j d G l v b j E v U H J p Y 2 V E Y X R h X 1 R O W C 9 D a G F u Z 2 V k I F R 5 c G U u e 1 R p Y 2 t l c i w w f S Z x d W 9 0 O y w m c X V v d D t T Z W N 0 a W 9 u M S 9 Q c m l j Z U R h d G F f V E 5 Y L 0 N o Y W 5 n Z W Q g V H l w Z S 5 7 c H J p Y 2 V f Z G F 0 Z S w x f S Z x d W 9 0 O y w m c X V v d D t T Z W N 0 a W 9 u M S 9 Q c m l j Z U R h d G F f V E 5 Y L 0 N o Y W 5 n Z W Q g V H l w Z S 5 7 b 3 B l b i w y f S Z x d W 9 0 O y w m c X V v d D t T Z W N 0 a W 9 u M S 9 Q c m l j Z U R h d G F f V E 5 Y L 0 N o Y W 5 n Z W Q g V H l w Z S 5 7 a G l n a C w z f S Z x d W 9 0 O y w m c X V v d D t T Z W N 0 a W 9 u M S 9 Q c m l j Z U R h d G F f V E 5 Y L 0 N o Y W 5 n Z W Q g V H l w Z S 5 7 b G 9 3 L D R 9 J n F 1 b 3 Q 7 L C Z x d W 9 0 O 1 N l Y 3 R p b 2 4 x L 1 B y a W N l R G F 0 Y V 9 U T l g v Q 2 h h b m d l Z C B U e X B l L n t j b G 9 z Z S w 1 f S Z x d W 9 0 O y w m c X V v d D t T Z W N 0 a W 9 u M S 9 Q c m l j Z U R h d G F f V E 5 Y L 0 N o Y W 5 n Z W Q g V H l w Z S 5 7 d m 9 s d W 1 l L D Z 9 J n F 1 b 3 Q 7 L C Z x d W 9 0 O 1 N l Y 3 R p b 2 4 x L 1 B y a W N l R G F 0 Y V 9 U T l g v Q 2 h h b m d l Z C B U e X B l L n t h Z G p j b G 9 z Z S w 3 f S Z x d W 9 0 O y w m c X V v d D t T Z W N 0 a W 9 u M S 9 Q c m l j Z U R h d G F f V E 5 Y L 0 N o Y W 5 n Z W Q g V H l w Z S 5 7 a W Q s O H 0 m c X V v d D s s J n F 1 b 3 Q 7 U 2 V j d G l v b j E v U H J p Y 2 V E Y X R h X 1 R O W C 9 D a G F u Z 2 V k I F R 5 c G U u e 1 B 1 b G x f R G F 0 Z S w 5 f S Z x d W 9 0 O y w m c X V v d D t T Z W N 0 a W 9 u M S 9 Q c m l j Z U R h d G F f V E 5 Y L 0 N o Y W 5 n Z W Q g V H l w Z S 5 7 c G V y Y 2 V u d F 9 y Z X R 1 c m 4 s M T B 9 J n F 1 b 3 Q 7 L C Z x d W 9 0 O 1 N l Y 3 R p b 2 4 x L 1 B y a W N l R G F 0 Y V 9 U T l g v Q 2 h h b m d l Z C B U e X B l L n t v c G V u X 2 N s b 3 N l X 2 R p Z m Y s M T F 9 J n F 1 b 3 Q 7 L C Z x d W 9 0 O 1 N l Y 3 R p b 2 4 x L 1 B y a W N l R G F 0 Y V 9 U T l g v Q 2 h h b m d l Z C B U e X B l L n t v c G V u X 2 h p Z 2 h f Z G l m Z i w x M n 0 m c X V v d D s s J n F 1 b 3 Q 7 U 2 V j d G l v b j E v U H J p Y 2 V E Y X R h X 1 R O W C 9 D a G F u Z 2 V k I F R 5 c G U u e 2 R h e V 9 v Z l 9 3 Z W V r L D E z f S Z x d W 9 0 O y w m c X V v d D t T Z W N 0 a W 9 u M S 9 Q c m l j Z U R h d G F f V E 5 Y L 0 N o Y W 5 n Z W Q g V H l w Z S 5 7 c H J p Y 2 V f Z G F 0 Z V 9 5 Z W F y L D E 0 f S Z x d W 9 0 O 1 0 s J n F 1 b 3 Q 7 U m V s Y X R p b 2 5 z a G l w S W 5 m b y Z x d W 9 0 O z p b X X 0 i I C 8 + P C 9 T d G F i b G V F b n R y a W V z P j w v S X R l b T 4 8 S X R l b T 4 8 S X R l b U x v Y 2 F 0 a W 9 u P j x J d G V t V H l w Z T 5 G b 3 J t d W x h P C 9 J d G V t V H l w Z T 4 8 S X R l b V B h d G g + U 2 V j d G l v b j E v U H J p Y 2 V E Y X R h X 1 R O W C 9 T b 3 V y Y 2 U 8 L 0 l 0 Z W 1 Q Y X R o P j w v S X R l b U x v Y 2 F 0 a W 9 u P j x T d G F i b G V F b n R y a W V z I C 8 + P C 9 J d G V t P j x J d G V t P j x J d G V t T G 9 j Y X R p b 2 4 + P E l 0 Z W 1 U e X B l P k Z v c m 1 1 b G E 8 L 0 l 0 Z W 1 U e X B l P j x J d G V t U G F 0 a D 5 T Z W N 0 a W 9 u M S 9 Q c m l j Z U R h d G F f V E 5 Y L 1 N o Z W V 0 M V 9 T a G V l d D w v S X R l b V B h d G g + P C 9 J d G V t T G 9 j Y X R p b 2 4 + P F N 0 Y W J s Z U V u d H J p Z X M g L z 4 8 L 0 l 0 Z W 0 + P E l 0 Z W 0 + P E l 0 Z W 1 M b 2 N h d G l v b j 4 8 S X R l b V R 5 c G U + R m 9 y b X V s Y T w v S X R l b V R 5 c G U + P E l 0 Z W 1 Q Y X R o P l N l Y 3 R p b 2 4 x L 1 B y a W N l R G F 0 Y V 9 U T l g v U H J v b W 9 0 Z W Q l M j B I Z W F k Z X J z P C 9 J d G V t U G F 0 a D 4 8 L 0 l 0 Z W 1 M b 2 N h d G l v b j 4 8 U 3 R h Y m x l R W 5 0 c m l l c y A v P j w v S X R l b T 4 8 S X R l b T 4 8 S X R l b U x v Y 2 F 0 a W 9 u P j x J d G V t V H l w Z T 5 G b 3 J t d W x h P C 9 J d G V t V H l w Z T 4 8 S X R l b V B h d G g + U 2 V j d G l v b j E v U H J p Y 2 V E Y X R h X 1 R O W C 9 D a G F u Z 2 V k J T I w V H l w Z T w v S X R l b V B h d G g + P C 9 J d G V t T G 9 j Y X R p b 2 4 + P F N 0 Y W J s Z U V u d H J p Z X M g L z 4 8 L 0 l 0 Z W 0 + P E l 0 Z W 0 + P E l 0 Z W 1 M b 2 N h d G l v b j 4 8 S X R l b V R 5 c G U + R m 9 y b X V s Y T w v S X R l b V R 5 c G U + P E l 0 Z W 1 Q Y X R o P l N l Y 3 R p b 2 4 x L 1 B y a W N l R G F 0 Y V 9 U T l h f Q X Z n U m F 0 Z T w v S X R l b V B h d G g + P C 9 J d G V t T G 9 j Y X R p b 2 4 + P F N 0 Y W J s Z U V u d H J p Z X M + P E V u d H J 5 I F R 5 c G U 9 I l F 1 Z X J 5 S U Q i I F Z h b H V l P S J z M j Y 1 M m Q y M T g t M j l k Z S 0 0 O G M 4 L T h m N m U t M G Q 3 O D d i Z j Y w Y W I w 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p Y 2 V E Y X R h X 1 R O W F 9 B d m d S Y X R l I i A v P j x F b n R y e S B U e X B l P S J G a W x s Z W R D b 2 1 w b G V 0 Z V J l c 3 V s d F R v V 2 9 y a 3 N o Z W V 0 I i B W Y W x 1 Z T 0 i b D E i I C 8 + P E V u d H J 5 I F R 5 c G U 9 I k Z p b G x F c n J v c k N v Z G U i I F Z h b H V l P S J z V W 5 r b m 9 3 b i I g L z 4 8 R W 5 0 c n k g V H l w Z T 0 i R m l s b E V y c m 9 y Q 2 9 1 b n Q i I F Z h b H V l P S J s M C I g L z 4 8 R W 5 0 c n k g V H l w Z T 0 i R m l s b E N v d W 5 0 I i B W Y W x 1 Z T 0 i b D E i I C 8 + P E V u d H J 5 I F R 5 c G U 9 I k F k Z G V k V G 9 E Y X R h T W 9 k Z W w i I F Z h b H V l P S J s M C I g L z 4 8 R W 5 0 c n k g V H l w Z T 0 i R m l s b E x h c 3 R V c G R h d G V k I i B W Y W x 1 Z T 0 i Z D I w M j Q t M D k t M T Z U M D A 6 M j I 6 M j M u O D A 0 M j M 0 O V o i I C 8 + P E V u d H J 5 I F R 5 c G U 9 I k Z p b G x D b 2 x 1 b W 5 U e X B l c y I g V m F s d W U 9 I n N C Z 1 U 9 I i A v P j x F b n R y e S B U e X B l P S J G a W x s Q 2 9 s d W 1 u T m F t Z X M i I F Z h b H V l P S J z W y Z x d W 9 0 O 1 R p Y 2 t l c i Z x d W 9 0 O y w m c X V v d D t B d m d S Z X R 1 c m 4 m c X V v d D t d I i A v P j x F b n R y e S B U e X B l P S J G a W x s U 3 R h d H V z I i B W Y W x 1 Z T 0 i c 0 N v b X B s Z X R l I i A v P j x F b n R y e S B U e X B l P S J S Z W x h d G l v b n N o a X B J b m Z v Q 2 9 u d G F p b m V y I i B W Y W x 1 Z T 0 i c 3 s m c X V v d D t j b 2 x 1 b W 5 D b 3 V u d C Z x d W 9 0 O z o y L C Z x d W 9 0 O 2 t l e U N v b H V t b k 5 h b W V z J n F 1 b 3 Q 7 O l s m c X V v d D t U a W N r Z X I m c X V v d D t d L C Z x d W 9 0 O 3 F 1 Z X J 5 U m V s Y X R p b 2 5 z a G l w c y Z x d W 9 0 O z p b X S w m c X V v d D t j b 2 x 1 b W 5 J Z G V u d G l 0 a W V z J n F 1 b 3 Q 7 O l s m c X V v d D t T Z W N 0 a W 9 u M S 9 Q c m l j Z U R h d G F f V E 5 Y X 0 F 2 Z 1 J h d G U v R 3 J v d X B l Z C B S b 3 d z L n t U a W N r Z X I s M H 0 m c X V v d D s s J n F 1 b 3 Q 7 U 2 V j d G l v b j E v U H J p Y 2 V E Y X R h X 1 R O W F 9 B d m d S Y X R l L 0 d y b 3 V w Z W Q g U m 9 3 c y 5 7 Q X Z n U m V 0 d X J u L D F 9 J n F 1 b 3 Q 7 X S w m c X V v d D t D b 2 x 1 b W 5 D b 3 V u d C Z x d W 9 0 O z o y L C Z x d W 9 0 O 0 t l e U N v b H V t b k 5 h b W V z J n F 1 b 3 Q 7 O l s m c X V v d D t U a W N r Z X I m c X V v d D t d L C Z x d W 9 0 O 0 N v b H V t b k l k Z W 5 0 a X R p Z X M m c X V v d D s 6 W y Z x d W 9 0 O 1 N l Y 3 R p b 2 4 x L 1 B y a W N l R G F 0 Y V 9 U T l h f Q X Z n U m F 0 Z S 9 H c m 9 1 c G V k I F J v d 3 M u e 1 R p Y 2 t l c i w w f S Z x d W 9 0 O y w m c X V v d D t T Z W N 0 a W 9 u M S 9 Q c m l j Z U R h d G F f V E 5 Y X 0 F 2 Z 1 J h d G U v R 3 J v d X B l Z C B S b 3 d z L n t B d m d S Z X R 1 c m 4 s M X 0 m c X V v d D t d L C Z x d W 9 0 O 1 J l b G F 0 a W 9 u c 2 h p c E l u Z m 8 m c X V v d D s 6 W 1 1 9 I i A v P j w v U 3 R h Y m x l R W 5 0 c m l l c z 4 8 L 0 l 0 Z W 0 + P E l 0 Z W 0 + P E l 0 Z W 1 M b 2 N h d G l v b j 4 8 S X R l b V R 5 c G U + R m 9 y b X V s Y T w v S X R l b V R 5 c G U + P E l 0 Z W 1 Q Y X R o P l N l Y 3 R p b 2 4 x L 1 B y a W N l R G F 0 Y V 9 U T l h f Q X Z n U m F 0 Z S 9 T b 3 V y Y 2 U 8 L 0 l 0 Z W 1 Q Y X R o P j w v S X R l b U x v Y 2 F 0 a W 9 u P j x T d G F i b G V F b n R y a W V z I C 8 + P C 9 J d G V t P j x J d G V t P j x J d G V t T G 9 j Y X R p b 2 4 + P E l 0 Z W 1 U e X B l P k Z v c m 1 1 b G E 8 L 0 l 0 Z W 1 U e X B l P j x J d G V t U G F 0 a D 5 T Z W N 0 a W 9 u M S 9 Q c m l j Z U R h d G F f V E 5 Y X 0 F 2 Z 1 J h d G U v R 3 J v d X B l Z C U y M F J v d 3 M 8 L 0 l 0 Z W 1 Q Y X R o P j w v S X R l b U x v Y 2 F 0 a W 9 u P j x T d G F i b G V F b n R y a W V z I C 8 + P C 9 J d G V t P j x J d G V t P j x J d G V t T G 9 j Y X R p b 2 4 + P E l 0 Z W 1 U e X B l P k Z v c m 1 1 b G E 8 L 0 l 0 Z W 1 U e X B l P j x J d G V t U G F 0 a D 5 T Z W N 0 a W 9 u M S 9 Q c m l j Z U R h d G F f V G l j a 2 V y P C 9 J d G V t U G F 0 a D 4 8 L 0 l 0 Z W 1 M b 2 N h d G l v b j 4 8 U 3 R h Y m x l R W 5 0 c m l l c z 4 8 R W 5 0 c n k g V H l w Z T 0 i S X N Q c m l 2 Y X R l I i B W Y W x 1 Z T 0 i b D A i I C 8 + P E V u d H J 5 I F R 5 c G U 9 I l F 1 Z X J 5 S U Q i I F Z h b H V l P S J z Z W I 2 N W N h M W I t M D g 0 M y 0 0 O D N i L W E 3 O G Y t N 2 I 2 Y j Y 5 O T k 2 Z m 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U R h d G F f V G l j a 2 V y I i A v P j x F b n R y e S B U e X B l P S J G a W x s Z W R D b 2 1 w b G V 0 Z V J l c 3 V s d F R v V 2 9 y a 3 N o Z W V 0 I i B W Y W x 1 Z T 0 i b D E i I C 8 + P E V u d H J 5 I F R 5 c G U 9 I k Z p b G x D b 3 V u d C I g V m F s d W U 9 I m w 0 M z A i I C 8 + P E V u d H J 5 I F R 5 c G U 9 I k Z p b G x F c n J v c k N v Z G U i I F Z h b H V l P S J z V W 5 r b m 9 3 b i I g L z 4 8 R W 5 0 c n k g V H l w Z T 0 i R m l s b E V y c m 9 y Q 2 9 1 b n Q i I F Z h b H V l P S J s M C I g L z 4 8 R W 5 0 c n k g V H l w Z T 0 i Q W R k Z W R U b 0 R h d G F N b 2 R l b C I g V m F s d W U 9 I m w w I i A v P j x F b n R y e S B U e X B l P S J G a W x s T G F z d F V w Z G F 0 Z W Q i I F Z h b H V l P S J k M j A y N C 0 w O S 0 x N l Q w M D o y M j o y M y 4 5 M j M 5 M T U x W i I g L z 4 8 R W 5 0 c n k g V H l w Z T 0 i R m l s b E N v b H V t b l R 5 c G V z I i B W Y W x 1 Z T 0 i c 0 J n a 0 Z C U V V G Q X d V R 0 N R V U Z C U V V G Q l F Z R C I g L z 4 8 R W 5 0 c n k g V H l w Z T 0 i R m l s b E N v b H V t b k 5 h b W V z I i B W Y W x 1 Z T 0 i c 1 s m c X V v d D t U a W N r Z X I m c X V v d D s s J n F 1 b 3 Q 7 c H J p Y 2 V f Z G F 0 Z S Z x d W 9 0 O y w m c X V v d D t v c G V u J n F 1 b 3 Q 7 L C Z x d W 9 0 O 2 h p Z 2 g m c X V v d D s s J n F 1 b 3 Q 7 b G 9 3 J n F 1 b 3 Q 7 L C Z x d W 9 0 O 2 N s b 3 N l J n F 1 b 3 Q 7 L C Z x d W 9 0 O 3 Z v b H V t Z S Z x d W 9 0 O y w m c X V v d D t h Z G p j b G 9 z Z S Z x d W 9 0 O y w m c X V v d D t p Z C Z x d W 9 0 O y w m c X V v d D t Q d W x s X 0 R h d G U m c X V v d D s s J n F 1 b 3 Q 7 Z G l 2 a W R l b m R z J n F 1 b 3 Q 7 L C Z x d W 9 0 O 3 N w b G l 0 c y Z x d W 9 0 O y w m c X V v d D t j a G F u Z 2 V f a W 5 f c H J p Y 2 U m c X V v d D s s J n F 1 b 3 Q 7 c G V y Y 2 V u d F 9 y Z X R 1 c m 4 m c X V v d D s s J n F 1 b 3 Q 7 b 3 B l b l 9 j b G 9 z Z V 9 k a W Z m J n F 1 b 3 Q 7 L C Z x d W 9 0 O 2 9 w Z W 5 f a G l n a F 9 k a W Z m J n F 1 b 3 Q 7 L C Z x d W 9 0 O 2 R h e V 9 v Z l 9 3 Z W V r J n F 1 b 3 Q 7 L C Z x d W 9 0 O 3 B y a W N l X 2 R h d G V f e W V h c i 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Q c m l j Z U R h d G F f V G l j a 2 V y L 0 N o Y W 5 n Z W Q g V H l w Z S 5 7 V G l j a 2 V y L D B 9 J n F 1 b 3 Q 7 L C Z x d W 9 0 O 1 N l Y 3 R p b 2 4 x L 1 B y a W N l R G F 0 Y V 9 U a W N r Z X I v Q 2 h h b m d l Z C B U e X B l L n t w c m l j Z V 9 k Y X R l L D F 9 J n F 1 b 3 Q 7 L C Z x d W 9 0 O 1 N l Y 3 R p b 2 4 x L 1 B y a W N l R G F 0 Y V 9 U a W N r Z X I v Q 2 h h b m d l Z C B U e X B l L n t v c G V u L D J 9 J n F 1 b 3 Q 7 L C Z x d W 9 0 O 1 N l Y 3 R p b 2 4 x L 1 B y a W N l R G F 0 Y V 9 U a W N r Z X I v Q 2 h h b m d l Z C B U e X B l L n t o a W d o L D N 9 J n F 1 b 3 Q 7 L C Z x d W 9 0 O 1 N l Y 3 R p b 2 4 x L 1 B y a W N l R G F 0 Y V 9 U a W N r Z X I v Q 2 h h b m d l Z C B U e X B l L n t s b 3 c s N H 0 m c X V v d D s s J n F 1 b 3 Q 7 U 2 V j d G l v b j E v U H J p Y 2 V E Y X R h X 1 R p Y 2 t l c i 9 D a G F u Z 2 V k I F R 5 c G U u e 2 N s b 3 N l L D V 9 J n F 1 b 3 Q 7 L C Z x d W 9 0 O 1 N l Y 3 R p b 2 4 x L 1 B y a W N l R G F 0 Y V 9 U a W N r Z X I v Q 2 h h b m d l Z C B U e X B l L n t 2 b 2 x 1 b W U s N n 0 m c X V v d D s s J n F 1 b 3 Q 7 U 2 V j d G l v b j E v U H J p Y 2 V E Y X R h X 1 R p Y 2 t l c i 9 D a G F u Z 2 V k I F R 5 c G U u e 2 F k a m N s b 3 N l L D d 9 J n F 1 b 3 Q 7 L C Z x d W 9 0 O 1 N l Y 3 R p b 2 4 x L 1 B y a W N l R G F 0 Y V 9 U a W N r Z X I v Q 2 h h b m d l Z C B U e X B l L n t p Z C w 4 f S Z x d W 9 0 O y w m c X V v d D t T Z W N 0 a W 9 u M S 9 Q c m l j Z U R h d G F f V G l j a 2 V y L 0 N o Y W 5 n Z W Q g V H l w Z S 5 7 U H V s b F 9 E Y X R l L D l 9 J n F 1 b 3 Q 7 L C Z x d W 9 0 O 1 N l Y 3 R p b 2 4 x L 1 B y a W N l R G F 0 Y V 9 U a W N r Z X I v Q 2 h h b m d l Z C B U e X B l L n t k a X Z p Z G V u Z H M s M T B 9 J n F 1 b 3 Q 7 L C Z x d W 9 0 O 1 N l Y 3 R p b 2 4 x L 1 B y a W N l R G F 0 Y V 9 U a W N r Z X I v Q 2 h h b m d l Z C B U e X B l L n t z c G x p d H M s M T F 9 J n F 1 b 3 Q 7 L C Z x d W 9 0 O 1 N l Y 3 R p b 2 4 x L 1 B y a W N l R G F 0 Y V 9 U a W N r Z X I v Q 2 h h b m d l Z C B U e X B l L n t j a G F u Z 2 V f a W 5 f c H J p Y 2 U s M T J 9 J n F 1 b 3 Q 7 L C Z x d W 9 0 O 1 N l Y 3 R p b 2 4 x L 1 B y a W N l R G F 0 Y V 9 U a W N r Z X I v Q 2 h h b m d l Z C B U e X B l L n t w Z X J j Z W 5 0 X 3 J l d H V y b i w x M 3 0 m c X V v d D s s J n F 1 b 3 Q 7 U 2 V j d G l v b j E v U H J p Y 2 V E Y X R h X 1 R p Y 2 t l c i 9 D a G F u Z 2 V k I F R 5 c G U u e 2 9 w Z W 5 f Y 2 x v c 2 V f Z G l m Z i w x N H 0 m c X V v d D s s J n F 1 b 3 Q 7 U 2 V j d G l v b j E v U H J p Y 2 V E Y X R h X 1 R p Y 2 t l c i 9 D a G F u Z 2 V k I F R 5 c G U u e 2 9 w Z W 5 f a G l n a F 9 k a W Z m L D E 1 f S Z x d W 9 0 O y w m c X V v d D t T Z W N 0 a W 9 u M S 9 Q c m l j Z U R h d G F f V G l j a 2 V y L 0 N o Y W 5 n Z W Q g V H l w Z S 5 7 Z G F 5 X 2 9 m X 3 d l Z W s s M T Z 9 J n F 1 b 3 Q 7 L C Z x d W 9 0 O 1 N l Y 3 R p b 2 4 x L 1 B y a W N l R G F 0 Y V 9 U a W N r Z X I v Q 2 h h b m d l Z C B U e X B l L n t w c m l j Z V 9 k Y X R l X 3 l l Y X I s M T d 9 J n F 1 b 3 Q 7 X S w m c X V v d D t D b 2 x 1 b W 5 D b 3 V u d C Z x d W 9 0 O z o x O C w m c X V v d D t L Z X l D b 2 x 1 b W 5 O Y W 1 l c y Z x d W 9 0 O z p b X S w m c X V v d D t D b 2 x 1 b W 5 J Z G V u d G l 0 a W V z J n F 1 b 3 Q 7 O l s m c X V v d D t T Z W N 0 a W 9 u M S 9 Q c m l j Z U R h d G F f V G l j a 2 V y L 0 N o Y W 5 n Z W Q g V H l w Z S 5 7 V G l j a 2 V y L D B 9 J n F 1 b 3 Q 7 L C Z x d W 9 0 O 1 N l Y 3 R p b 2 4 x L 1 B y a W N l R G F 0 Y V 9 U a W N r Z X I v Q 2 h h b m d l Z C B U e X B l L n t w c m l j Z V 9 k Y X R l L D F 9 J n F 1 b 3 Q 7 L C Z x d W 9 0 O 1 N l Y 3 R p b 2 4 x L 1 B y a W N l R G F 0 Y V 9 U a W N r Z X I v Q 2 h h b m d l Z C B U e X B l L n t v c G V u L D J 9 J n F 1 b 3 Q 7 L C Z x d W 9 0 O 1 N l Y 3 R p b 2 4 x L 1 B y a W N l R G F 0 Y V 9 U a W N r Z X I v Q 2 h h b m d l Z C B U e X B l L n t o a W d o L D N 9 J n F 1 b 3 Q 7 L C Z x d W 9 0 O 1 N l Y 3 R p b 2 4 x L 1 B y a W N l R G F 0 Y V 9 U a W N r Z X I v Q 2 h h b m d l Z C B U e X B l L n t s b 3 c s N H 0 m c X V v d D s s J n F 1 b 3 Q 7 U 2 V j d G l v b j E v U H J p Y 2 V E Y X R h X 1 R p Y 2 t l c i 9 D a G F u Z 2 V k I F R 5 c G U u e 2 N s b 3 N l L D V 9 J n F 1 b 3 Q 7 L C Z x d W 9 0 O 1 N l Y 3 R p b 2 4 x L 1 B y a W N l R G F 0 Y V 9 U a W N r Z X I v Q 2 h h b m d l Z C B U e X B l L n t 2 b 2 x 1 b W U s N n 0 m c X V v d D s s J n F 1 b 3 Q 7 U 2 V j d G l v b j E v U H J p Y 2 V E Y X R h X 1 R p Y 2 t l c i 9 D a G F u Z 2 V k I F R 5 c G U u e 2 F k a m N s b 3 N l L D d 9 J n F 1 b 3 Q 7 L C Z x d W 9 0 O 1 N l Y 3 R p b 2 4 x L 1 B y a W N l R G F 0 Y V 9 U a W N r Z X I v Q 2 h h b m d l Z C B U e X B l L n t p Z C w 4 f S Z x d W 9 0 O y w m c X V v d D t T Z W N 0 a W 9 u M S 9 Q c m l j Z U R h d G F f V G l j a 2 V y L 0 N o Y W 5 n Z W Q g V H l w Z S 5 7 U H V s b F 9 E Y X R l L D l 9 J n F 1 b 3 Q 7 L C Z x d W 9 0 O 1 N l Y 3 R p b 2 4 x L 1 B y a W N l R G F 0 Y V 9 U a W N r Z X I v Q 2 h h b m d l Z C B U e X B l L n t k a X Z p Z G V u Z H M s M T B 9 J n F 1 b 3 Q 7 L C Z x d W 9 0 O 1 N l Y 3 R p b 2 4 x L 1 B y a W N l R G F 0 Y V 9 U a W N r Z X I v Q 2 h h b m d l Z C B U e X B l L n t z c G x p d H M s M T F 9 J n F 1 b 3 Q 7 L C Z x d W 9 0 O 1 N l Y 3 R p b 2 4 x L 1 B y a W N l R G F 0 Y V 9 U a W N r Z X I v Q 2 h h b m d l Z C B U e X B l L n t j a G F u Z 2 V f a W 5 f c H J p Y 2 U s M T J 9 J n F 1 b 3 Q 7 L C Z x d W 9 0 O 1 N l Y 3 R p b 2 4 x L 1 B y a W N l R G F 0 Y V 9 U a W N r Z X I v Q 2 h h b m d l Z C B U e X B l L n t w Z X J j Z W 5 0 X 3 J l d H V y b i w x M 3 0 m c X V v d D s s J n F 1 b 3 Q 7 U 2 V j d G l v b j E v U H J p Y 2 V E Y X R h X 1 R p Y 2 t l c i 9 D a G F u Z 2 V k I F R 5 c G U u e 2 9 w Z W 5 f Y 2 x v c 2 V f Z G l m Z i w x N H 0 m c X V v d D s s J n F 1 b 3 Q 7 U 2 V j d G l v b j E v U H J p Y 2 V E Y X R h X 1 R p Y 2 t l c i 9 D a G F u Z 2 V k I F R 5 c G U u e 2 9 w Z W 5 f a G l n a F 9 k a W Z m L D E 1 f S Z x d W 9 0 O y w m c X V v d D t T Z W N 0 a W 9 u M S 9 Q c m l j Z U R h d G F f V G l j a 2 V y L 0 N o Y W 5 n Z W Q g V H l w Z S 5 7 Z G F 5 X 2 9 m X 3 d l Z W s s M T Z 9 J n F 1 b 3 Q 7 L C Z x d W 9 0 O 1 N l Y 3 R p b 2 4 x L 1 B y a W N l R G F 0 Y V 9 U a W N r Z X I v Q 2 h h b m d l Z C B U e X B l L n t w c m l j Z V 9 k Y X R l X 3 l l Y X I s M T d 9 J n F 1 b 3 Q 7 X S w m c X V v d D t S Z W x h d G l v b n N o a X B J b m Z v J n F 1 b 3 Q 7 O l t d f S I g L z 4 8 L 1 N 0 Y W J s Z U V u d H J p Z X M + P C 9 J d G V t P j x J d G V t P j x J d G V t T G 9 j Y X R p b 2 4 + P E l 0 Z W 1 U e X B l P k Z v c m 1 1 b G E 8 L 0 l 0 Z W 1 U e X B l P j x J d G V t U G F 0 a D 5 T Z W N 0 a W 9 u M S 9 Q c m l j Z U R h d G F f V G l j a 2 V y L 1 N v d X J j Z T w v S X R l b V B h d G g + P C 9 J d G V t T G 9 j Y X R p b 2 4 + P F N 0 Y W J s Z U V u d H J p Z X M g L z 4 8 L 0 l 0 Z W 0 + P E l 0 Z W 0 + P E l 0 Z W 1 M b 2 N h d G l v b j 4 8 S X R l b V R 5 c G U + R m 9 y b X V s Y T w v S X R l b V R 5 c G U + P E l 0 Z W 1 Q Y X R o P l N l Y 3 R p b 2 4 x L 1 B y a W N l R G F 0 Y V 9 U a W N r Z X I v U 2 h l Z X Q x X 1 N o Z W V 0 P C 9 J d G V t U G F 0 a D 4 8 L 0 l 0 Z W 1 M b 2 N h d G l v b j 4 8 U 3 R h Y m x l R W 5 0 c m l l c y A v P j w v S X R l b T 4 8 S X R l b T 4 8 S X R l b U x v Y 2 F 0 a W 9 u P j x J d G V t V H l w Z T 5 G b 3 J t d W x h P C 9 J d G V t V H l w Z T 4 8 S X R l b V B h d G g + U 2 V j d G l v b j E v U H J p Y 2 V E Y X R h X 1 R p Y 2 t l c i 9 Q c m 9 t b 3 R l Z C U y M E h l Y W R l c n M 8 L 0 l 0 Z W 1 Q Y X R o P j w v S X R l b U x v Y 2 F 0 a W 9 u P j x T d G F i b G V F b n R y a W V z I C 8 + P C 9 J d G V t P j x J d G V t P j x J d G V t T G 9 j Y X R p b 2 4 + P E l 0 Z W 1 U e X B l P k Z v c m 1 1 b G E 8 L 0 l 0 Z W 1 U e X B l P j x J d G V t U G F 0 a D 5 T Z W N 0 a W 9 u M S 9 Q c m l j Z U R h d G F f V G l j a 2 V y L 0 N o Y W 5 n Z W Q l M j B U e X B l P C 9 J d G V t U G F 0 a D 4 8 L 0 l 0 Z W 1 M b 2 N h d G l v b j 4 8 U 3 R h Y m x l R W 5 0 c m l l c y A v P j w v S X R l b T 4 8 S X R l b T 4 8 S X R l b U x v Y 2 F 0 a W 9 u P j x J d G V t V H l w Z T 5 G b 3 J t d W x h P C 9 J d G V t V H l w Z T 4 8 S X R l b V B h d G g + U 2 V j d G l v b j E v U H J p Y 2 V E Y X R h X 1 R p Y 2 t l c l 9 B d m d S Y X R l P C 9 J d G V t U G F 0 a D 4 8 L 0 l 0 Z W 1 M b 2 N h d G l v b j 4 8 U 3 R h Y m x l R W 5 0 c m l l c z 4 8 R W 5 0 c n k g V H l w Z T 0 i U X V l c n l J R C I g V m F s d W U 9 I n N m N z E 1 Y W M y M y 0 z Y W U y L T Q 2 O D k t Y j F l O C 0 3 N T B h M W N j Z G N j N T U 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l j Z U R h d G F f V G l j a 2 V y X 0 F 2 Z 1 J h d G U i I C 8 + P E V u d H J 5 I F R 5 c G U 9 I k Z p b G x l Z E N v b X B s Z X R l U m V z d W x 0 V G 9 X b 3 J r c 2 h l Z X Q i I F Z h b H V l P S J s M S I g L z 4 8 R W 5 0 c n k g V H l w Z T 0 i R m l s b E V y c m 9 y Q 2 9 1 b n Q i I F Z h b H V l P S J s M C I g L z 4 8 R W 5 0 c n k g V H l w Z T 0 i R m l s b E V y c m 9 y Q 2 9 k Z S I g V m F s d W U 9 I n N V b m t u b 3 d u I i A v P j x F b n R y e S B U e X B l P S J G a W x s Q 2 9 1 b n Q i I F Z h b H V l P S J s M T A i I C 8 + P E V u d H J 5 I F R 5 c G U 9 I k F k Z G V k V G 9 E Y X R h T W 9 k Z W w i I F Z h b H V l P S J s M C I g L z 4 8 R W 5 0 c n k g V H l w Z T 0 i R m l s b E x h c 3 R V c G R h d G V k I i B W Y W x 1 Z T 0 i Z D I w M j Q t M D k t M T Z U M D A 6 M j I 6 M j M u O D k y O T k 0 N l o i I C 8 + P E V u d H J 5 I F R 5 c G U 9 I k Z p b G x D b 2 x 1 b W 5 U e X B l c y I g V m F s d W U 9 I n N C Z 1 V B I i A v P j x F b n R y e S B U e X B l P S J G a W x s Q 2 9 s d W 1 u T m F t Z X M i I F Z h b H V l P S J z W y Z x d W 9 0 O 1 R p Y 2 t l c i Z x d W 9 0 O y w m c X V v d D t B d m d S Z X R 1 c m 4 m c X V v d D s s J n F 1 b 3 Q 7 W W V h c m x 5 I E F 2 Z X J h Z 2 U g U m V 0 d X J u J n F 1 b 3 Q 7 X S I g L z 4 8 R W 5 0 c n k g V H l w Z T 0 i R m l s b F N 0 Y X R 1 c y I g V m F s d W U 9 I n N D b 2 1 w b G V 0 Z S I g L z 4 8 R W 5 0 c n k g V H l w Z T 0 i U m V s Y X R p b 2 5 z a G l w S W 5 m b 0 N v b n R h a W 5 l c i I g V m F s d W U 9 I n N 7 J n F 1 b 3 Q 7 Y 2 9 s d W 1 u Q 2 9 1 b n Q m c X V v d D s 6 M y w m c X V v d D t r Z X l D b 2 x 1 b W 5 O Y W 1 l c y Z x d W 9 0 O z p b J n F 1 b 3 Q 7 V G l j a 2 V y J n F 1 b 3 Q 7 X S w m c X V v d D t x d W V y e V J l b G F 0 a W 9 u c 2 h p c H M m c X V v d D s 6 W 1 0 s J n F 1 b 3 Q 7 Y 2 9 s d W 1 u S W R l b n R p d G l l c y Z x d W 9 0 O z p b J n F 1 b 3 Q 7 U 2 V j d G l v b j E v U H J p Y 2 V E Y X R h X 1 R p Y 2 t l c l 9 B d m d S Y X R l L 0 d y b 3 V w Z W Q g U m 9 3 c y 5 7 V G l j a 2 V y L D B 9 J n F 1 b 3 Q 7 L C Z x d W 9 0 O 1 N l Y 3 R p b 2 4 x L 1 B y a W N l R G F 0 Y V 9 U a W N r Z X J f Q X Z n U m F 0 Z S 9 H c m 9 1 c G V k I F J v d 3 M u e 0 F 2 Z 1 J l d H V y b i w x f S Z x d W 9 0 O y w m c X V v d D t T Z W N 0 a W 9 u M S 9 Q c m l j Z U R h d G F f V G l j a 2 V y X 0 F 2 Z 1 J h d G U v Q W R k Z W Q g Q 3 V z d G 9 t L n t Z Z W F y b H k g Q X Z l c m F n Z S B S Z X R 1 c m 4 s M n 0 m c X V v d D t d L C Z x d W 9 0 O 0 N v b H V t b k N v d W 5 0 J n F 1 b 3 Q 7 O j M s J n F 1 b 3 Q 7 S 2 V 5 Q 2 9 s d W 1 u T m F t Z X M m c X V v d D s 6 W y Z x d W 9 0 O 1 R p Y 2 t l c i Z x d W 9 0 O 1 0 s J n F 1 b 3 Q 7 Q 2 9 s d W 1 u S W R l b n R p d G l l c y Z x d W 9 0 O z p b J n F 1 b 3 Q 7 U 2 V j d G l v b j E v U H J p Y 2 V E Y X R h X 1 R p Y 2 t l c l 9 B d m d S Y X R l L 0 d y b 3 V w Z W Q g U m 9 3 c y 5 7 V G l j a 2 V y L D B 9 J n F 1 b 3 Q 7 L C Z x d W 9 0 O 1 N l Y 3 R p b 2 4 x L 1 B y a W N l R G F 0 Y V 9 U a W N r Z X J f Q X Z n U m F 0 Z S 9 H c m 9 1 c G V k I F J v d 3 M u e 0 F 2 Z 1 J l d H V y b i w x f S Z x d W 9 0 O y w m c X V v d D t T Z W N 0 a W 9 u M S 9 Q c m l j Z U R h d G F f V G l j a 2 V y X 0 F 2 Z 1 J h d G U v Q W R k Z W Q g Q 3 V z d G 9 t L n t Z Z W F y b H k g Q X Z l c m F n Z S B S Z X R 1 c m 4 s M n 0 m c X V v d D t d L C Z x d W 9 0 O 1 J l b G F 0 a W 9 u c 2 h p c E l u Z m 8 m c X V v d D s 6 W 1 1 9 I i A v P j w v U 3 R h Y m x l R W 5 0 c m l l c z 4 8 L 0 l 0 Z W 0 + P E l 0 Z W 0 + P E l 0 Z W 1 M b 2 N h d G l v b j 4 8 S X R l b V R 5 c G U + R m 9 y b X V s Y T w v S X R l b V R 5 c G U + P E l 0 Z W 1 Q Y X R o P l N l Y 3 R p b 2 4 x L 1 B y a W N l R G F 0 Y V 9 U a W N r Z X J f Q X Z n U m F 0 Z S 9 T b 3 V y Y 2 U 8 L 0 l 0 Z W 1 Q Y X R o P j w v S X R l b U x v Y 2 F 0 a W 9 u P j x T d G F i b G V F b n R y a W V z I C 8 + P C 9 J d G V t P j x J d G V t P j x J d G V t T G 9 j Y X R p b 2 4 + P E l 0 Z W 1 U e X B l P k Z v c m 1 1 b G E 8 L 0 l 0 Z W 1 U e X B l P j x J d G V t U G F 0 a D 5 T Z W N 0 a W 9 u M S 9 Q c m l j Z U R h d G F f V G l j a 2 V y X 0 F 2 Z 1 J h d G U v R 3 J v d X B l Z C U y M F J v d 3 M 8 L 0 l 0 Z W 1 Q Y X R o P j w v S X R l b U x v Y 2 F 0 a W 9 u P j x T d G F i b G V F b n R y a W V z I C 8 + P C 9 J d G V t P j x J d G V t P j x J d G V t T G 9 j Y X R p b 2 4 + P E l 0 Z W 1 U e X B l P k Z v c m 1 1 b G E 8 L 0 l 0 Z W 1 U e X B l P j x J d G V t U G F 0 a D 5 T Z W N 0 a W 9 u M S 9 Q c m l j Z U R h d G F f V G l j a 2 V y X 0 F 2 Z 1 J h d G U v Q W R k Z W Q l M j B D d X N 0 b 2 0 8 L 0 l 0 Z W 1 Q Y X R o P j w v S X R l b U x v Y 2 F 0 a W 9 u P j x T d G F i b G V F b n R y a W V z I C 8 + P C 9 J d G V t P j x J d G V t P j x J d G V t T G 9 j Y X R p b 2 4 + P E l 0 Z W 1 U e X B l P k Z v c m 1 1 b G E 8 L 0 l 0 Z W 1 U e X B l P j x J d G V t U G F 0 a D 5 T Z W N 0 a W 9 u M S 9 B d m V y Y W d l S W 5 m b G F 0 a W 9 u P C 9 J d G V t U G F 0 a D 4 8 L 0 l 0 Z W 1 M b 2 N h d G l v b j 4 8 U 3 R h Y m x l R W 5 0 c m l l c z 4 8 R W 5 0 c n k g V H l w Z T 0 i S X N Q c m l 2 Y X R l I i B W Y W x 1 Z T 0 i b D A i I C 8 + P E V u d H J 5 I F R 5 c G U 9 I l F 1 Z X J 5 S U Q i I F Z h b H V l P S J z N T c z Z D R j Z G Q t O G F i N i 0 0 N z Y y L W I 2 N m Y t Y 2 R m O T c 5 M j R l M D 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d m V y Y W d l S W 5 m b G F 0 a W 9 u I i A v P j x F b n R y e S B U e X B l P S J G a W x s Z W R D b 2 1 w b G V 0 Z V J l c 3 V s d F R v V 2 9 y a 3 N o Z W V 0 I i B W Y W x 1 Z T 0 i b D E i I C 8 + P E V u d H J 5 I F R 5 c G U 9 I k Z p b G x D b 3 V u d C I g V m F s d W U 9 I m w x I i A v P j x F b n R y e S B U e X B l P S J G a W x s R X J y b 3 J D b 2 R l I i B W Y W x 1 Z T 0 i c 1 V u a 2 5 v d 2 4 i I C 8 + P E V u d H J 5 I F R 5 c G U 9 I k Z p b G x F c n J v c k N v d W 5 0 I i B W Y W x 1 Z T 0 i b D A i I C 8 + P E V u d H J 5 I F R 5 c G U 9 I k F k Z G V k V G 9 E Y X R h T W 9 k Z W w i I F Z h b H V l P S J s M C I g L z 4 8 R W 5 0 c n k g V H l w Z T 0 i R m l s b E x h c 3 R V c G R h d G V k I i B W Y W x 1 Z T 0 i Z D I w M j Q t M D k t M T Z U M D A 6 M j I 6 M j M u N j k x N T M 3 N l o i I C 8 + P E V u d H J 5 I F R 5 c G U 9 I k Z p b G x D b 2 x 1 b W 5 U e X B l c y I g V m F s d W U 9 I n N C U T 0 9 I i A v P j x F b n R y e S B U e X B l P S J G a W x s Q 2 9 s d W 1 u T m F t Z X M i I F Z h b H V l P S J z W y Z x d W 9 0 O 2 F 2 Z 0 l u Z m x h d G l v b 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2 Z X J h Z 2 V J b m Z s Y X R p b 2 4 v Q 2 h h b m d l Z C B U e X B l L n t h d m d J b m Z s Y X R p b 2 4 s M X 0 m c X V v d D t d L C Z x d W 9 0 O 0 N v b H V t b k N v d W 5 0 J n F 1 b 3 Q 7 O j E s J n F 1 b 3 Q 7 S 2 V 5 Q 2 9 s d W 1 u T m F t Z X M m c X V v d D s 6 W 1 0 s J n F 1 b 3 Q 7 Q 2 9 s d W 1 u S W R l b n R p d G l l c y Z x d W 9 0 O z p b J n F 1 b 3 Q 7 U 2 V j d G l v b j E v Q X Z l c m F n Z U l u Z m x h d G l v b i 9 D a G F u Z 2 V k I F R 5 c G U u e 2 F 2 Z 0 l u Z m x h d G l v b i w x f S Z x d W 9 0 O 1 0 s J n F 1 b 3 Q 7 U m V s Y X R p b 2 5 z a G l w S W 5 m b y Z x d W 9 0 O z p b X X 0 i I C 8 + P C 9 T d G F i b G V F b n R y a W V z P j w v S X R l b T 4 8 S X R l b T 4 8 S X R l b U x v Y 2 F 0 a W 9 u P j x J d G V t V H l w Z T 5 G b 3 J t d W x h P C 9 J d G V t V H l w Z T 4 8 S X R l b V B h d G g + U 2 V j d G l v b j E v Q X Z l c m F n Z U l u Z m x h d G l v b i 9 T b 3 V y Y 2 U 8 L 0 l 0 Z W 1 Q Y X R o P j w v S X R l b U x v Y 2 F 0 a W 9 u P j x T d G F i b G V F b n R y a W V z I C 8 + P C 9 J d G V t P j x J d G V t P j x J d G V t T G 9 j Y X R p b 2 4 + P E l 0 Z W 1 U e X B l P k Z v c m 1 1 b G E 8 L 0 l 0 Z W 1 U e X B l P j x J d G V t U G F 0 a D 5 T Z W N 0 a W 9 u M S 9 B d m V y Y W d l S W 5 m b G F 0 a W 9 u L 1 N o Z W V 0 M V 9 T a G V l d D w v S X R l b V B h d G g + P C 9 J d G V t T G 9 j Y X R p b 2 4 + P F N 0 Y W J s Z U V u d H J p Z X M g L z 4 8 L 0 l 0 Z W 0 + P E l 0 Z W 0 + P E l 0 Z W 1 M b 2 N h d G l v b j 4 8 S X R l b V R 5 c G U + R m 9 y b X V s Y T w v S X R l b V R 5 c G U + P E l 0 Z W 1 Q Y X R o P l N l Y 3 R p b 2 4 x L 0 F 2 Z X J h Z 2 V J b m Z s Y X R p b 2 4 v U H J v b W 9 0 Z W Q l M j B I Z W F k Z X J z P C 9 J d G V t U G F 0 a D 4 8 L 0 l 0 Z W 1 M b 2 N h d G l v b j 4 8 U 3 R h Y m x l R W 5 0 c m l l c y A v P j w v S X R l b T 4 8 S X R l b T 4 8 S X R l b U x v Y 2 F 0 a W 9 u P j x J d G V t V H l w Z T 5 G b 3 J t d W x h P C 9 J d G V t V H l w Z T 4 8 S X R l b V B h d G g + U 2 V j d G l v b j E v Q X Z l c m F n Z U l u Z m x h d G l v b i 9 D a G F u Z 2 V k J T I w V H l w Z T w v S X R l b V B h d G g + P C 9 J d G V t T G 9 j Y X R p b 2 4 + P F N 0 Y W J s Z U V u d H J p Z X M g L z 4 8 L 0 l 0 Z W 0 + P E l 0 Z W 0 + P E l 0 Z W 1 M b 2 N h d G l v b j 4 8 S X R l b V R 5 c G U + R m 9 y b X V s Y T w v S X R l b V R 5 c G U + P E l 0 Z W 1 Q Y X R o P l N l Y 3 R p b 2 4 x L 0 F 2 Z X J h Z 2 V J b m Z s Y X R p b 2 4 v U m V t b 3 Z l Z C U y M E N v b H V t b n M 8 L 0 l 0 Z W 1 Q Y X R o P j w v S X R l b U x v Y 2 F 0 a W 9 u P j x T d G F i b G V F b n R y a W V z I C 8 + P C 9 J d G V t P j w v S X R l b X M + P C 9 M b 2 N h b F B h Y 2 t h Z 2 V N Z X R h Z G F 0 Y U Z p b G U + F g A A A F B L B Q Y A A A A A A A A A A A A A A A A A A A A A A A A m A Q A A A Q A A A N C M n d 8 B F d E R j H o A w E / C l + s B A A A A R t s H v D w m 3 k 2 I V o o W Y q s P I w A A A A A C A A A A A A A Q Z g A A A A E A A C A A A A A 4 3 + M k n J R n r 1 J X k i 1 g H Q g v N p / v E d t 5 I e s c F f A q 3 U y P J w A A A A A O g A A A A A I A A C A A A A B 7 s T A w 2 9 R N Q 3 N N m T G L m 8 z g A g 7 d 9 Z l T K n m c r i s U D 5 d I M V A A A A C x a a U 4 9 z Y 0 b D M s j v 7 E c 3 g P o y D 1 E M a 5 + 6 b E 2 K S c / H n B u y b 7 S w + X 2 o h y 0 W g o h Q z H e T x R u k 4 L j Q i I J r v Z H Y Y J E I V C r d u 9 H j 3 t G E f V p B 4 X Q L v m E E A A A A A G C 5 y X P E I h z B o Z e F E 7 V t O c K b T / M t / c 8 L y H C c q V i D 3 p 4 7 w l 8 1 5 t K 0 Z w 6 i R E 1 O c y c B U J I V m a U 8 3 2 u S E 4 E 9 K u m 9 W Q < / D a t a M a s h u p > 
</file>

<file path=customXml/itemProps1.xml><?xml version="1.0" encoding="utf-8"?>
<ds:datastoreItem xmlns:ds="http://schemas.openxmlformats.org/officeDocument/2006/customXml" ds:itemID="{11BAAA98-DF02-499A-804B-1F7BF0FC00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Version Control_Ideas</vt:lpstr>
      <vt:lpstr>DCF Model</vt:lpstr>
      <vt:lpstr>IncomeStatement</vt:lpstr>
      <vt:lpstr>BalanceSheet</vt:lpstr>
      <vt:lpstr>CashFlow</vt:lpstr>
      <vt:lpstr>MetaData</vt:lpstr>
      <vt:lpstr>Tickers</vt:lpstr>
      <vt:lpstr>TickerYears</vt:lpstr>
      <vt:lpstr>Example Model</vt:lpstr>
      <vt:lpstr>AverageInflation</vt:lpstr>
      <vt:lpstr>PriceData_TNX_AvgRate</vt:lpstr>
      <vt:lpstr>PriceData_GSPC_AvgRate</vt:lpstr>
      <vt:lpstr>PriceData_Ticker_AvgRate</vt:lpstr>
      <vt:lpstr>PriceData_Ticker</vt:lpstr>
      <vt:lpstr>PriceData_TNX</vt:lpstr>
      <vt:lpstr>PriceData_GSPC</vt:lpstr>
      <vt:lpstr>Formulas</vt:lpstr>
      <vt:lpstr>Screenshots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PC</dc:creator>
  <cp:lastModifiedBy>Lutz PC</cp:lastModifiedBy>
  <dcterms:created xsi:type="dcterms:W3CDTF">2024-05-10T02:43:54Z</dcterms:created>
  <dcterms:modified xsi:type="dcterms:W3CDTF">2024-09-16T00:29:37Z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502bc7c3-f152-4da1-98bd-f7a1bebdf752_Enabled">
    <vt:lpwstr>true</vt:lpwstr>
  </property>
  <property fmtid="{D5CDD505-2E9C-101B-9397-08002B2CF9AE}" pid="5" name="MSIP_Label_502bc7c3-f152-4da1-98bd-f7a1bebdf752_SetDate">
    <vt:lpwstr>2024-05-10T12:19:16Z</vt:lpwstr>
  </property>
  <property fmtid="{D5CDD505-2E9C-101B-9397-08002B2CF9AE}" pid="6" name="MSIP_Label_502bc7c3-f152-4da1-98bd-f7a1bebdf752_Method">
    <vt:lpwstr>Privileged</vt:lpwstr>
  </property>
  <property fmtid="{D5CDD505-2E9C-101B-9397-08002B2CF9AE}" pid="7" name="MSIP_Label_502bc7c3-f152-4da1-98bd-f7a1bebdf752_Name">
    <vt:lpwstr>Unrestricted</vt:lpwstr>
  </property>
  <property fmtid="{D5CDD505-2E9C-101B-9397-08002B2CF9AE}" pid="8" name="MSIP_Label_502bc7c3-f152-4da1-98bd-f7a1bebdf752_SiteId">
    <vt:lpwstr>b18f006c-b0fc-467d-b23a-a35b5695b5dc</vt:lpwstr>
  </property>
  <property fmtid="{D5CDD505-2E9C-101B-9397-08002B2CF9AE}" pid="9" name="MSIP_Label_502bc7c3-f152-4da1-98bd-f7a1bebdf752_ActionId">
    <vt:lpwstr>b6ea76fd-f045-46aa-bf5a-dc2d2ac7e612</vt:lpwstr>
  </property>
  <property fmtid="{D5CDD505-2E9C-101B-9397-08002B2CF9AE}" pid="10" name="MSIP_Label_502bc7c3-f152-4da1-98bd-f7a1bebdf752_ContentBits">
    <vt:lpwstr>0</vt:lpwstr>
  </property>
</Properties>
</file>