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comments1.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queryTables/queryTable10.xml" ContentType="application/vnd.openxmlformats-officedocument.spreadsheetml.queryTable+xml"/>
  <Override PartName="/xl/tables/table13.xml" ContentType="application/vnd.openxmlformats-officedocument.spreadsheetml.table+xml"/>
  <Override PartName="/xl/queryTables/queryTable11.xml" ContentType="application/vnd.openxmlformats-officedocument.spreadsheetml.queryTable+xml"/>
  <Override PartName="/xl/tables/table14.xml" ContentType="application/vnd.openxmlformats-officedocument.spreadsheetml.table+xml"/>
  <Override PartName="/xl/queryTables/queryTable12.xml" ContentType="application/vnd.openxmlformats-officedocument.spreadsheetml.queryTable+xml"/>
  <Override PartName="/xl/tables/table15.xml" ContentType="application/vnd.openxmlformats-officedocument.spreadsheetml.table+xml"/>
  <Override PartName="/xl/queryTables/queryTable13.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utz PC\Documents\iSAD\05_DCF\"/>
    </mc:Choice>
  </mc:AlternateContent>
  <xr:revisionPtr revIDLastSave="0" documentId="8_{F1C6118F-7374-4610-85E1-578AE809BF8D}" xr6:coauthVersionLast="47" xr6:coauthVersionMax="47" xr10:uidLastSave="{00000000-0000-0000-0000-000000000000}"/>
  <bookViews>
    <workbookView xWindow="28680" yWindow="-120" windowWidth="29040" windowHeight="15840" tabRatio="851" activeTab="1" xr2:uid="{9F06ADF1-EC2F-4EBE-8DE1-2EDBA853F87A}"/>
  </bookViews>
  <sheets>
    <sheet name="Version Control_Ideas" sheetId="15" r:id="rId1"/>
    <sheet name="DCF Model" sheetId="11" r:id="rId2"/>
    <sheet name="IncomeStatement" sheetId="7" r:id="rId3"/>
    <sheet name="BalanceSheet" sheetId="8" r:id="rId4"/>
    <sheet name="CashFlow" sheetId="9" r:id="rId5"/>
    <sheet name="MetaData" sheetId="10" r:id="rId6"/>
    <sheet name="Tickers" sheetId="13" state="hidden" r:id="rId7"/>
    <sheet name="TickerYears" sheetId="12" r:id="rId8"/>
    <sheet name="Example Model" sheetId="1" r:id="rId9"/>
    <sheet name="AverageInflation" sheetId="22" r:id="rId10"/>
    <sheet name="PriceData_TNX_AvgRate" sheetId="19" r:id="rId11"/>
    <sheet name="PriceData_GSPC_AvgRate" sheetId="17" r:id="rId12"/>
    <sheet name="PriceData_Ticker_AvgRate" sheetId="21" r:id="rId13"/>
    <sheet name="PriceData_Ticker" sheetId="20" r:id="rId14"/>
    <sheet name="PriceData_TNX" sheetId="18" r:id="rId15"/>
    <sheet name="PriceData_GSPC" sheetId="16" r:id="rId16"/>
    <sheet name="Formulas" sheetId="6" r:id="rId17"/>
    <sheet name="Screenshots" sheetId="2" r:id="rId18"/>
    <sheet name="References" sheetId="3" r:id="rId19"/>
  </sheets>
  <definedNames>
    <definedName name="_xlnm._FilterDatabase" localSheetId="16" hidden="1">Formulas!$A$1:$B$1</definedName>
    <definedName name="ExternalData_1" localSheetId="9" hidden="1">AverageInflation!$A$1:$A$2</definedName>
    <definedName name="ExternalData_1" localSheetId="2" hidden="1">IncomeStatement!$A$1:$CA$93</definedName>
    <definedName name="ExternalData_2" localSheetId="3" hidden="1">BalanceSheet!$A$1:$EC$51</definedName>
    <definedName name="ExternalData_2" localSheetId="7" hidden="1">TickerYears!$A$1:$E$41</definedName>
    <definedName name="ExternalData_3" localSheetId="4" hidden="1">'CashFlow'!$A$1:$CX$64</definedName>
    <definedName name="ExternalData_3" localSheetId="6" hidden="1">Tickers!$A$1:$A$11</definedName>
    <definedName name="ExternalData_4" localSheetId="5" hidden="1">MetaData!$A$1:$AV$11</definedName>
    <definedName name="ExternalData_5" localSheetId="15" hidden="1">PriceData_GSPC!$A$1:$O$49</definedName>
    <definedName name="ExternalData_6" localSheetId="11" hidden="1">PriceData_GSPC_AvgRate!$A$1:$C$2</definedName>
    <definedName name="ExternalData_7" localSheetId="14" hidden="1">PriceData_TNX!$A$1:$O$49</definedName>
    <definedName name="ExternalData_8" localSheetId="13" hidden="1">PriceData_Ticker!$A$1:$R$544</definedName>
    <definedName name="ExternalData_8" localSheetId="10" hidden="1">PriceData_TNX_AvgRate!$A$1:$B$2</definedName>
    <definedName name="ExternalData_9" localSheetId="12" hidden="1">PriceData_Ticker_AvgRate!$A$1:$C$11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0" i="11" l="1"/>
  <c r="D179" i="11"/>
  <c r="J53" i="1"/>
  <c r="E2" i="11" l="1"/>
  <c r="E161" i="11" l="1"/>
  <c r="E42" i="11"/>
  <c r="E41" i="11"/>
  <c r="E46" i="11"/>
  <c r="E45" i="11"/>
  <c r="E40" i="11"/>
  <c r="E39" i="11"/>
  <c r="E38" i="11"/>
  <c r="E37" i="11"/>
  <c r="E31" i="11"/>
  <c r="E130" i="11"/>
  <c r="E32" i="11"/>
  <c r="E58" i="11"/>
  <c r="E96" i="11"/>
  <c r="E163" i="11"/>
  <c r="F160" i="11" s="1"/>
  <c r="E157" i="11"/>
  <c r="E73" i="11"/>
  <c r="D174" i="11"/>
  <c r="D202" i="11"/>
  <c r="H201" i="11"/>
  <c r="H202" i="11"/>
  <c r="D201" i="11"/>
  <c r="H200" i="11"/>
  <c r="J119" i="1"/>
  <c r="E4" i="15"/>
  <c r="D173" i="11"/>
  <c r="D171" i="11"/>
  <c r="D172" i="11"/>
  <c r="E12" i="11" l="1"/>
  <c r="E47" i="11"/>
  <c r="E18" i="11"/>
  <c r="E88" i="1"/>
  <c r="E57" i="1"/>
  <c r="E32" i="1" l="1"/>
  <c r="F11" i="1"/>
  <c r="E11" i="1"/>
  <c r="H205" i="11" l="1"/>
  <c r="D178" i="11"/>
  <c r="D177" i="11"/>
  <c r="I183" i="11" s="1"/>
  <c r="J183" i="11" s="1"/>
  <c r="D176" i="11"/>
  <c r="D183" i="11" s="1"/>
  <c r="F7" i="1"/>
  <c r="G7" i="1"/>
  <c r="H7" i="1"/>
  <c r="I7" i="1"/>
  <c r="E7" i="1"/>
  <c r="D138" i="1"/>
  <c r="H137" i="1"/>
  <c r="F129" i="1"/>
  <c r="G129" i="1"/>
  <c r="H129" i="1"/>
  <c r="I129" i="1"/>
  <c r="E129" i="1"/>
  <c r="F128" i="1"/>
  <c r="G128" i="1"/>
  <c r="H128" i="1"/>
  <c r="I128" i="1"/>
  <c r="E128" i="1"/>
  <c r="F127" i="1"/>
  <c r="G127" i="1"/>
  <c r="H127" i="1"/>
  <c r="I127" i="1"/>
  <c r="E127" i="1"/>
  <c r="K52" i="1"/>
  <c r="L52" i="1"/>
  <c r="M52" i="1" s="1"/>
  <c r="N52" i="1" s="1"/>
  <c r="J52" i="1"/>
  <c r="K73" i="1"/>
  <c r="L73" i="1"/>
  <c r="M73" i="1"/>
  <c r="N73" i="1"/>
  <c r="J73" i="1"/>
  <c r="K72" i="1"/>
  <c r="K74" i="1" s="1"/>
  <c r="J69" i="1"/>
  <c r="K69" i="1"/>
  <c r="L69" i="1"/>
  <c r="M69" i="1"/>
  <c r="N69" i="1"/>
  <c r="F68" i="1"/>
  <c r="F69" i="1" s="1"/>
  <c r="G68" i="1"/>
  <c r="G69" i="1" s="1"/>
  <c r="H68" i="1"/>
  <c r="H69" i="1" s="1"/>
  <c r="I68" i="1"/>
  <c r="I69" i="1" s="1"/>
  <c r="J68" i="1"/>
  <c r="K68" i="1"/>
  <c r="L68" i="1"/>
  <c r="M68" i="1"/>
  <c r="N68" i="1"/>
  <c r="E68" i="1"/>
  <c r="E69" i="1" s="1"/>
  <c r="J64" i="1"/>
  <c r="K64" i="1"/>
  <c r="L64" i="1"/>
  <c r="M64" i="1"/>
  <c r="N64" i="1"/>
  <c r="G64" i="1"/>
  <c r="H64" i="1"/>
  <c r="I64" i="1"/>
  <c r="J63" i="1"/>
  <c r="K63" i="1"/>
  <c r="L63" i="1"/>
  <c r="M63" i="1"/>
  <c r="N63" i="1"/>
  <c r="K48" i="1"/>
  <c r="L48" i="1"/>
  <c r="M48" i="1"/>
  <c r="N48" i="1"/>
  <c r="J48" i="1"/>
  <c r="J44" i="1"/>
  <c r="K44" i="1"/>
  <c r="L44" i="1"/>
  <c r="M44" i="1"/>
  <c r="N44" i="1"/>
  <c r="K43" i="1"/>
  <c r="L43" i="1"/>
  <c r="M43" i="1"/>
  <c r="N43" i="1"/>
  <c r="J43" i="1"/>
  <c r="K42" i="1"/>
  <c r="L42" i="1"/>
  <c r="M42" i="1"/>
  <c r="N42" i="1"/>
  <c r="J42" i="1"/>
  <c r="K30" i="1"/>
  <c r="L30" i="1"/>
  <c r="M30" i="1"/>
  <c r="N30" i="1"/>
  <c r="J30" i="1"/>
  <c r="J95" i="1"/>
  <c r="K94" i="1"/>
  <c r="J94" i="1"/>
  <c r="K93" i="1"/>
  <c r="L93" i="1"/>
  <c r="M93" i="1"/>
  <c r="N93" i="1"/>
  <c r="J93" i="1"/>
  <c r="J92" i="1"/>
  <c r="K92" i="1"/>
  <c r="K95" i="1" s="1"/>
  <c r="L92" i="1" s="1"/>
  <c r="G92" i="1"/>
  <c r="F92" i="1"/>
  <c r="J88" i="1"/>
  <c r="K88" i="1"/>
  <c r="L88" i="1"/>
  <c r="L89" i="1" s="1"/>
  <c r="M88" i="1"/>
  <c r="M89" i="1" s="1"/>
  <c r="N88" i="1"/>
  <c r="N89" i="1" s="1"/>
  <c r="J89" i="1"/>
  <c r="K89" i="1"/>
  <c r="K87" i="1"/>
  <c r="L87" i="1"/>
  <c r="M87" i="1"/>
  <c r="N87" i="1"/>
  <c r="J87" i="1"/>
  <c r="K86" i="1"/>
  <c r="L86" i="1"/>
  <c r="M86" i="1"/>
  <c r="N86" i="1"/>
  <c r="J86" i="1"/>
  <c r="K85" i="1"/>
  <c r="L85" i="1"/>
  <c r="M85" i="1"/>
  <c r="N85" i="1"/>
  <c r="J85" i="1"/>
  <c r="H136" i="1"/>
  <c r="H141" i="1" s="1"/>
  <c r="G119" i="1"/>
  <c r="H119" i="1"/>
  <c r="I119" i="1"/>
  <c r="F119" i="1"/>
  <c r="E119" i="1"/>
  <c r="K29" i="1"/>
  <c r="L29" i="1"/>
  <c r="M29" i="1"/>
  <c r="N29" i="1"/>
  <c r="J29" i="1"/>
  <c r="J24" i="1"/>
  <c r="J28" i="1" s="1"/>
  <c r="F16" i="1"/>
  <c r="G16" i="1"/>
  <c r="H16" i="1"/>
  <c r="I16" i="1"/>
  <c r="E16" i="1"/>
  <c r="F17" i="1"/>
  <c r="G17" i="1"/>
  <c r="H17" i="1"/>
  <c r="I17" i="1"/>
  <c r="E17" i="1"/>
  <c r="F15" i="1"/>
  <c r="G15" i="1"/>
  <c r="H15" i="1"/>
  <c r="I15" i="1"/>
  <c r="E15" i="1"/>
  <c r="F20" i="1"/>
  <c r="G20" i="1"/>
  <c r="H20" i="1"/>
  <c r="I20" i="1"/>
  <c r="E20" i="1"/>
  <c r="F19" i="1"/>
  <c r="K19" i="1" s="1"/>
  <c r="K99" i="1" s="1"/>
  <c r="G19" i="1"/>
  <c r="L19" i="1" s="1"/>
  <c r="L99" i="1" s="1"/>
  <c r="H19" i="1"/>
  <c r="M19" i="1" s="1"/>
  <c r="M99" i="1" s="1"/>
  <c r="I19" i="1"/>
  <c r="N19" i="1" s="1"/>
  <c r="N99" i="1" s="1"/>
  <c r="F18" i="1"/>
  <c r="G18" i="1"/>
  <c r="H18" i="1"/>
  <c r="I18" i="1"/>
  <c r="E18" i="1"/>
  <c r="F12" i="1"/>
  <c r="G12" i="1"/>
  <c r="H12" i="1"/>
  <c r="I12" i="1"/>
  <c r="E12" i="1"/>
  <c r="G11" i="1"/>
  <c r="F10" i="1"/>
  <c r="G10" i="1"/>
  <c r="H10" i="1"/>
  <c r="I10" i="1"/>
  <c r="E10" i="1"/>
  <c r="F9" i="1"/>
  <c r="G9" i="1"/>
  <c r="H9" i="1"/>
  <c r="I9" i="1"/>
  <c r="E9" i="1"/>
  <c r="F8" i="1"/>
  <c r="G8" i="1"/>
  <c r="H8" i="1"/>
  <c r="I8" i="1"/>
  <c r="E8" i="1"/>
  <c r="D119" i="1"/>
  <c r="F99" i="1"/>
  <c r="G99" i="1"/>
  <c r="H99" i="1"/>
  <c r="I99" i="1"/>
  <c r="G95" i="1"/>
  <c r="H92" i="1" s="1"/>
  <c r="E95" i="1"/>
  <c r="F87" i="1"/>
  <c r="F88" i="1" s="1"/>
  <c r="G87" i="1"/>
  <c r="G88" i="1" s="1"/>
  <c r="G89" i="1" s="1"/>
  <c r="H87" i="1"/>
  <c r="H88" i="1" s="1"/>
  <c r="I87" i="1"/>
  <c r="I88" i="1" s="1"/>
  <c r="I89" i="1" s="1"/>
  <c r="E87" i="1"/>
  <c r="E89" i="1" s="1"/>
  <c r="E64" i="1" s="1"/>
  <c r="F86" i="1"/>
  <c r="G86" i="1"/>
  <c r="H86" i="1"/>
  <c r="I86" i="1"/>
  <c r="E86" i="1"/>
  <c r="F85" i="1"/>
  <c r="G85" i="1"/>
  <c r="H85" i="1"/>
  <c r="I85" i="1"/>
  <c r="E85" i="1"/>
  <c r="F74" i="1"/>
  <c r="G74" i="1"/>
  <c r="H74" i="1"/>
  <c r="I74" i="1"/>
  <c r="F63" i="1"/>
  <c r="G63" i="1"/>
  <c r="H63" i="1"/>
  <c r="I63" i="1"/>
  <c r="E63" i="1"/>
  <c r="F32" i="1"/>
  <c r="G32" i="1"/>
  <c r="H32" i="1"/>
  <c r="I32" i="1"/>
  <c r="I33" i="1" s="1"/>
  <c r="I13" i="1" s="1"/>
  <c r="F26" i="1"/>
  <c r="F33" i="1" s="1"/>
  <c r="F13" i="1" s="1"/>
  <c r="G26" i="1"/>
  <c r="G33" i="1" s="1"/>
  <c r="G13" i="1" s="1"/>
  <c r="H26" i="1"/>
  <c r="I26" i="1"/>
  <c r="E26" i="1"/>
  <c r="E33" i="1" s="1"/>
  <c r="E13" i="1" s="1"/>
  <c r="F54" i="1"/>
  <c r="G54" i="1"/>
  <c r="H54" i="1"/>
  <c r="I54" i="1"/>
  <c r="E54" i="1"/>
  <c r="F50" i="1"/>
  <c r="G50" i="1"/>
  <c r="H50" i="1"/>
  <c r="I50" i="1"/>
  <c r="E50" i="1"/>
  <c r="E45" i="1"/>
  <c r="F45" i="1"/>
  <c r="I45" i="1"/>
  <c r="H45" i="1"/>
  <c r="G45" i="1"/>
  <c r="E117" i="11" l="1"/>
  <c r="E113" i="11"/>
  <c r="E111" i="11"/>
  <c r="E112" i="11"/>
  <c r="E109" i="11"/>
  <c r="E110" i="11"/>
  <c r="E63" i="11"/>
  <c r="E108" i="11"/>
  <c r="E114" i="11"/>
  <c r="E64" i="11"/>
  <c r="E83" i="11"/>
  <c r="E67" i="11"/>
  <c r="E84" i="11"/>
  <c r="E82" i="11"/>
  <c r="E75" i="11"/>
  <c r="E81" i="11"/>
  <c r="E85" i="11"/>
  <c r="E79" i="11"/>
  <c r="E78" i="11"/>
  <c r="E62" i="11"/>
  <c r="E71" i="11"/>
  <c r="E94" i="11"/>
  <c r="E95" i="11"/>
  <c r="E93" i="11"/>
  <c r="E92" i="11"/>
  <c r="E80" i="11"/>
  <c r="E86" i="11"/>
  <c r="E76" i="11"/>
  <c r="E23" i="11" s="1"/>
  <c r="E74" i="11"/>
  <c r="E70" i="11"/>
  <c r="E56" i="11"/>
  <c r="E72" i="11"/>
  <c r="E57" i="11"/>
  <c r="E65" i="11"/>
  <c r="E61" i="11"/>
  <c r="E53" i="11"/>
  <c r="E52" i="11"/>
  <c r="E127" i="11"/>
  <c r="E124" i="11"/>
  <c r="E123" i="11"/>
  <c r="E131" i="11"/>
  <c r="E136" i="11"/>
  <c r="E116" i="11"/>
  <c r="E139" i="11"/>
  <c r="E137" i="11"/>
  <c r="E115" i="11"/>
  <c r="F183" i="11"/>
  <c r="G183" i="11"/>
  <c r="E183" i="11"/>
  <c r="E182" i="11" s="1"/>
  <c r="H183" i="11"/>
  <c r="H182" i="11" s="1"/>
  <c r="E154" i="11"/>
  <c r="E155" i="11"/>
  <c r="E148" i="11"/>
  <c r="E134" i="11"/>
  <c r="E119" i="11"/>
  <c r="E132" i="11"/>
  <c r="E34" i="11"/>
  <c r="E13" i="11"/>
  <c r="E3" i="11"/>
  <c r="E99" i="11"/>
  <c r="N72" i="1"/>
  <c r="N74" i="1" s="1"/>
  <c r="M72" i="1"/>
  <c r="M74" i="1" s="1"/>
  <c r="L72" i="1"/>
  <c r="L74" i="1" s="1"/>
  <c r="L95" i="1"/>
  <c r="M92" i="1" s="1"/>
  <c r="L94" i="1"/>
  <c r="H11" i="1"/>
  <c r="H95" i="1"/>
  <c r="I92" i="1" s="1"/>
  <c r="F95" i="1"/>
  <c r="E121" i="1"/>
  <c r="H89" i="1"/>
  <c r="F89" i="1"/>
  <c r="F64" i="1" s="1"/>
  <c r="F121" i="1"/>
  <c r="G55" i="1"/>
  <c r="K24" i="1"/>
  <c r="J25" i="1"/>
  <c r="J26" i="1"/>
  <c r="H36" i="1"/>
  <c r="H62" i="1" s="1"/>
  <c r="H65" i="1" s="1"/>
  <c r="H76" i="1" s="1"/>
  <c r="H33" i="1"/>
  <c r="H13" i="1" s="1"/>
  <c r="E55" i="1"/>
  <c r="H55" i="1"/>
  <c r="H57" i="1" s="1"/>
  <c r="F55" i="1"/>
  <c r="F57" i="1" s="1"/>
  <c r="F36" i="1"/>
  <c r="F62" i="1" s="1"/>
  <c r="E36" i="1"/>
  <c r="E62" i="1" s="1"/>
  <c r="E65" i="1" s="1"/>
  <c r="I36" i="1"/>
  <c r="I62" i="1" s="1"/>
  <c r="I65" i="1" s="1"/>
  <c r="I76" i="1" s="1"/>
  <c r="G36" i="1"/>
  <c r="G62" i="1" s="1"/>
  <c r="G65" i="1" s="1"/>
  <c r="G76" i="1" s="1"/>
  <c r="I55" i="1"/>
  <c r="I57" i="1" s="1"/>
  <c r="G57" i="1"/>
  <c r="E153" i="11" l="1"/>
  <c r="E156" i="11" s="1"/>
  <c r="E25" i="11"/>
  <c r="E7" i="11"/>
  <c r="E21" i="11"/>
  <c r="F185" i="11"/>
  <c r="E27" i="11"/>
  <c r="E24" i="11"/>
  <c r="E125" i="11"/>
  <c r="E126" i="11" s="1"/>
  <c r="E133" i="11"/>
  <c r="E15" i="11"/>
  <c r="F65" i="1"/>
  <c r="F76" i="1" s="1"/>
  <c r="E22" i="11"/>
  <c r="E36" i="11"/>
  <c r="E9" i="11"/>
  <c r="E44" i="11"/>
  <c r="E11" i="11"/>
  <c r="E138" i="11"/>
  <c r="E162" i="11"/>
  <c r="E20" i="11"/>
  <c r="I185" i="11"/>
  <c r="I182" i="11"/>
  <c r="G182" i="11"/>
  <c r="G185" i="11"/>
  <c r="F182" i="11"/>
  <c r="E185" i="11"/>
  <c r="E26" i="11"/>
  <c r="H185" i="11"/>
  <c r="E91" i="11"/>
  <c r="E98" i="11" s="1"/>
  <c r="E97" i="11" s="1"/>
  <c r="E88" i="11"/>
  <c r="E60" i="11"/>
  <c r="E10" i="11" s="1"/>
  <c r="E54" i="11"/>
  <c r="E145" i="11" s="1"/>
  <c r="E55" i="11"/>
  <c r="E146" i="11" s="1"/>
  <c r="F2" i="11"/>
  <c r="M94" i="1"/>
  <c r="M95" i="1" s="1"/>
  <c r="N92" i="1" s="1"/>
  <c r="I95" i="1"/>
  <c r="I11" i="1"/>
  <c r="L24" i="1"/>
  <c r="K28" i="1"/>
  <c r="K25" i="1"/>
  <c r="K26" i="1" s="1"/>
  <c r="G121" i="1"/>
  <c r="F130" i="11" l="1"/>
  <c r="F161" i="11"/>
  <c r="F163" i="11"/>
  <c r="F157" i="11"/>
  <c r="F38" i="11"/>
  <c r="F46" i="11"/>
  <c r="F48" i="11" s="1"/>
  <c r="F45" i="11"/>
  <c r="F117" i="11"/>
  <c r="F113" i="11"/>
  <c r="F111" i="11"/>
  <c r="F112" i="11"/>
  <c r="F109" i="11"/>
  <c r="F110" i="11"/>
  <c r="F114" i="11"/>
  <c r="F108" i="11"/>
  <c r="E48" i="11"/>
  <c r="E107" i="11"/>
  <c r="E118" i="11" s="1"/>
  <c r="F64" i="11"/>
  <c r="F63" i="11"/>
  <c r="F83" i="11"/>
  <c r="F82" i="11"/>
  <c r="F84" i="11"/>
  <c r="F75" i="11"/>
  <c r="F81" i="11"/>
  <c r="F85" i="11"/>
  <c r="F79" i="11"/>
  <c r="F78" i="11"/>
  <c r="F62" i="11"/>
  <c r="F71" i="11"/>
  <c r="F95" i="11"/>
  <c r="F96" i="11"/>
  <c r="F94" i="11"/>
  <c r="F93" i="11"/>
  <c r="F92" i="11"/>
  <c r="F80" i="11"/>
  <c r="F86" i="11"/>
  <c r="F76" i="11"/>
  <c r="F74" i="11"/>
  <c r="E77" i="11"/>
  <c r="F72" i="11"/>
  <c r="F73" i="11"/>
  <c r="F57" i="11"/>
  <c r="F56" i="11"/>
  <c r="F61" i="11"/>
  <c r="F58" i="11"/>
  <c r="F65" i="11"/>
  <c r="E59" i="11"/>
  <c r="E66" i="11" s="1"/>
  <c r="F52" i="11"/>
  <c r="F70" i="11"/>
  <c r="F53" i="11"/>
  <c r="F37" i="11"/>
  <c r="F123" i="11"/>
  <c r="F124" i="11"/>
  <c r="F127" i="11"/>
  <c r="F131" i="11"/>
  <c r="F136" i="11"/>
  <c r="F116" i="11"/>
  <c r="F139" i="11"/>
  <c r="F137" i="11"/>
  <c r="F115" i="11"/>
  <c r="E51" i="11"/>
  <c r="F40" i="11"/>
  <c r="I26" i="11"/>
  <c r="I161" i="11" s="1"/>
  <c r="F155" i="11"/>
  <c r="F154" i="11"/>
  <c r="F148" i="11"/>
  <c r="F134" i="11"/>
  <c r="F132" i="11"/>
  <c r="F119" i="11"/>
  <c r="F41" i="11"/>
  <c r="F39" i="11"/>
  <c r="F34" i="11"/>
  <c r="F42" i="11"/>
  <c r="F99" i="11"/>
  <c r="F32" i="11"/>
  <c r="F13" i="11"/>
  <c r="F31" i="11"/>
  <c r="F7" i="11" s="1"/>
  <c r="F91" i="11"/>
  <c r="F88" i="11"/>
  <c r="E147" i="11"/>
  <c r="E149" i="11" s="1"/>
  <c r="F67" i="11"/>
  <c r="F60" i="11"/>
  <c r="F55" i="11"/>
  <c r="F146" i="11" s="1"/>
  <c r="F54" i="11"/>
  <c r="F145" i="11" s="1"/>
  <c r="E33" i="11"/>
  <c r="E16" i="11"/>
  <c r="E19" i="11"/>
  <c r="E8" i="11"/>
  <c r="E17" i="11"/>
  <c r="G2" i="11"/>
  <c r="F3" i="11"/>
  <c r="N94" i="1"/>
  <c r="N95" i="1" s="1"/>
  <c r="M24" i="1"/>
  <c r="L25" i="1"/>
  <c r="L28" i="1"/>
  <c r="L26" i="1"/>
  <c r="H121" i="1"/>
  <c r="F36" i="11" l="1"/>
  <c r="F12" i="11"/>
  <c r="F10" i="11"/>
  <c r="G130" i="11"/>
  <c r="G161" i="11"/>
  <c r="F165" i="11"/>
  <c r="G157" i="11"/>
  <c r="G163" i="11"/>
  <c r="F23" i="11"/>
  <c r="F18" i="11"/>
  <c r="M26" i="11"/>
  <c r="M161" i="11" s="1"/>
  <c r="F25" i="11"/>
  <c r="F153" i="11"/>
  <c r="G38" i="11"/>
  <c r="F27" i="11"/>
  <c r="F24" i="11"/>
  <c r="F125" i="11"/>
  <c r="F133" i="11"/>
  <c r="G46" i="11"/>
  <c r="G48" i="11" s="1"/>
  <c r="G45" i="11"/>
  <c r="F15" i="11"/>
  <c r="G117" i="11"/>
  <c r="F21" i="11"/>
  <c r="F22" i="11"/>
  <c r="G113" i="11"/>
  <c r="G111" i="11"/>
  <c r="G112" i="11"/>
  <c r="G109" i="11"/>
  <c r="G110" i="11"/>
  <c r="G108" i="11"/>
  <c r="G114" i="11"/>
  <c r="G64" i="11"/>
  <c r="G63" i="11"/>
  <c r="G83" i="11"/>
  <c r="G82" i="11"/>
  <c r="G84" i="11"/>
  <c r="G75" i="11"/>
  <c r="G81" i="11"/>
  <c r="G85" i="11"/>
  <c r="G79" i="11"/>
  <c r="G78" i="11"/>
  <c r="G62" i="11"/>
  <c r="G71" i="11"/>
  <c r="G95" i="11"/>
  <c r="F98" i="11"/>
  <c r="F97" i="11" s="1"/>
  <c r="G96" i="11"/>
  <c r="G94" i="11"/>
  <c r="G93" i="11"/>
  <c r="G92" i="11"/>
  <c r="E87" i="11"/>
  <c r="G80" i="11"/>
  <c r="G86" i="11"/>
  <c r="F77" i="11"/>
  <c r="F87" i="11" s="1"/>
  <c r="G76" i="11"/>
  <c r="G74" i="11"/>
  <c r="G72" i="11"/>
  <c r="G73" i="11"/>
  <c r="G57" i="11"/>
  <c r="G56" i="11"/>
  <c r="G61" i="11"/>
  <c r="G58" i="11"/>
  <c r="G65" i="11"/>
  <c r="F59" i="11"/>
  <c r="F66" i="11" s="1"/>
  <c r="G52" i="11"/>
  <c r="G70" i="11"/>
  <c r="G53" i="11"/>
  <c r="F9" i="11"/>
  <c r="G37" i="11"/>
  <c r="F44" i="11"/>
  <c r="F11" i="11"/>
  <c r="F138" i="11"/>
  <c r="G127" i="11"/>
  <c r="G123" i="11"/>
  <c r="G124" i="11"/>
  <c r="G131" i="11"/>
  <c r="G136" i="11"/>
  <c r="G116" i="11"/>
  <c r="G137" i="11"/>
  <c r="G139" i="11"/>
  <c r="F20" i="11"/>
  <c r="G115" i="11"/>
  <c r="F51" i="11"/>
  <c r="F107" i="11"/>
  <c r="F118" i="11" s="1"/>
  <c r="F47" i="11"/>
  <c r="G40" i="11"/>
  <c r="G155" i="11"/>
  <c r="G154" i="11"/>
  <c r="E164" i="11"/>
  <c r="G148" i="11"/>
  <c r="G134" i="11"/>
  <c r="G132" i="11"/>
  <c r="G119" i="11"/>
  <c r="F26" i="11"/>
  <c r="J26" i="11" s="1"/>
  <c r="J161" i="11" s="1"/>
  <c r="F162" i="11"/>
  <c r="G41" i="11"/>
  <c r="G39" i="11"/>
  <c r="G34" i="11"/>
  <c r="G42" i="11"/>
  <c r="G99" i="11"/>
  <c r="G32" i="11"/>
  <c r="G13" i="11"/>
  <c r="G31" i="11"/>
  <c r="G91" i="11"/>
  <c r="G88" i="11"/>
  <c r="G67" i="11"/>
  <c r="F147" i="11"/>
  <c r="F149" i="11" s="1"/>
  <c r="G60" i="11"/>
  <c r="G54" i="11"/>
  <c r="G145" i="11" s="1"/>
  <c r="G55" i="11"/>
  <c r="G146" i="11" s="1"/>
  <c r="F33" i="11"/>
  <c r="F19" i="11"/>
  <c r="F17" i="11"/>
  <c r="F8" i="11"/>
  <c r="F16" i="11"/>
  <c r="H2" i="11"/>
  <c r="G3" i="11"/>
  <c r="N24" i="1"/>
  <c r="M28" i="1"/>
  <c r="M25" i="1"/>
  <c r="M26" i="1" s="1"/>
  <c r="I121" i="1"/>
  <c r="G12" i="11" l="1"/>
  <c r="G10" i="11"/>
  <c r="H130" i="11"/>
  <c r="H38" i="11"/>
  <c r="H161" i="11"/>
  <c r="G165" i="11"/>
  <c r="H157" i="11"/>
  <c r="H163" i="11"/>
  <c r="G23" i="11"/>
  <c r="G18" i="11"/>
  <c r="F101" i="11"/>
  <c r="F103" i="11" s="1"/>
  <c r="G25" i="11"/>
  <c r="G153" i="11"/>
  <c r="F150" i="11"/>
  <c r="H136" i="11"/>
  <c r="G27" i="11"/>
  <c r="G24" i="11"/>
  <c r="G125" i="11"/>
  <c r="G126" i="11" s="1"/>
  <c r="H45" i="11"/>
  <c r="H46" i="11"/>
  <c r="G133" i="11"/>
  <c r="G15" i="11"/>
  <c r="H117" i="11"/>
  <c r="I117" i="11" s="1"/>
  <c r="G21" i="11"/>
  <c r="G22" i="11"/>
  <c r="H113" i="11"/>
  <c r="M113" i="11" s="1"/>
  <c r="H111" i="11"/>
  <c r="H112" i="11"/>
  <c r="H109" i="11"/>
  <c r="H110" i="11"/>
  <c r="H108" i="11"/>
  <c r="H114" i="11"/>
  <c r="H64" i="11"/>
  <c r="I64" i="11" s="1"/>
  <c r="H63" i="11"/>
  <c r="M63" i="11" s="1"/>
  <c r="H83" i="11"/>
  <c r="K83" i="11" s="1"/>
  <c r="E101" i="11"/>
  <c r="E103" i="11" s="1"/>
  <c r="H82" i="11"/>
  <c r="K82" i="11" s="1"/>
  <c r="H84" i="11"/>
  <c r="K84" i="11" s="1"/>
  <c r="H75" i="11"/>
  <c r="J75" i="11" s="1"/>
  <c r="H81" i="11"/>
  <c r="I81" i="11" s="1"/>
  <c r="H85" i="11"/>
  <c r="H79" i="11"/>
  <c r="I79" i="11" s="1"/>
  <c r="H78" i="11"/>
  <c r="H62" i="11"/>
  <c r="J62" i="11" s="1"/>
  <c r="H71" i="11"/>
  <c r="H95" i="11"/>
  <c r="K95" i="11" s="1"/>
  <c r="G98" i="11"/>
  <c r="G97" i="11" s="1"/>
  <c r="H96" i="11"/>
  <c r="I96" i="11" s="1"/>
  <c r="H94" i="11"/>
  <c r="L94" i="11" s="1"/>
  <c r="H93" i="11"/>
  <c r="L93" i="11" s="1"/>
  <c r="H92" i="11"/>
  <c r="K92" i="11" s="1"/>
  <c r="H80" i="11"/>
  <c r="L80" i="11" s="1"/>
  <c r="H86" i="11"/>
  <c r="J86" i="11" s="1"/>
  <c r="G77" i="11"/>
  <c r="G87" i="11" s="1"/>
  <c r="H76" i="11"/>
  <c r="H74" i="11"/>
  <c r="M74" i="11" s="1"/>
  <c r="H72" i="11"/>
  <c r="H73" i="11"/>
  <c r="G147" i="11"/>
  <c r="G149" i="11" s="1"/>
  <c r="H57" i="11"/>
  <c r="M57" i="11" s="1"/>
  <c r="H56" i="11"/>
  <c r="I56" i="11" s="1"/>
  <c r="H61" i="11"/>
  <c r="I61" i="11" s="1"/>
  <c r="H58" i="11"/>
  <c r="H65" i="11"/>
  <c r="I65" i="11" s="1"/>
  <c r="G59" i="11"/>
  <c r="G66" i="11" s="1"/>
  <c r="H52" i="11"/>
  <c r="H70" i="11"/>
  <c r="H53" i="11"/>
  <c r="G36" i="11"/>
  <c r="G9" i="11"/>
  <c r="G44" i="11"/>
  <c r="H37" i="11"/>
  <c r="G11" i="11"/>
  <c r="G138" i="11"/>
  <c r="H124" i="11"/>
  <c r="H127" i="11"/>
  <c r="H123" i="11"/>
  <c r="H131" i="11"/>
  <c r="I131" i="11" s="1"/>
  <c r="H116" i="11"/>
  <c r="H137" i="11"/>
  <c r="H139" i="11"/>
  <c r="G20" i="11"/>
  <c r="H115" i="11"/>
  <c r="G51" i="11"/>
  <c r="H40" i="11"/>
  <c r="G107" i="11"/>
  <c r="G118" i="11" s="1"/>
  <c r="G47" i="11"/>
  <c r="G160" i="11"/>
  <c r="H155" i="11"/>
  <c r="H154" i="11"/>
  <c r="E120" i="11"/>
  <c r="H148" i="11"/>
  <c r="H134" i="11"/>
  <c r="H119" i="11"/>
  <c r="H132" i="11"/>
  <c r="H27" i="11" s="1"/>
  <c r="G26" i="11"/>
  <c r="K26" i="11" s="1"/>
  <c r="K161" i="11" s="1"/>
  <c r="H41" i="11"/>
  <c r="H42" i="11"/>
  <c r="H39" i="11"/>
  <c r="H34" i="11"/>
  <c r="H31" i="11"/>
  <c r="H32" i="11"/>
  <c r="H13" i="11"/>
  <c r="D169" i="11" s="1"/>
  <c r="H99" i="11"/>
  <c r="H91" i="11"/>
  <c r="H88" i="11"/>
  <c r="H67" i="11"/>
  <c r="H55" i="11"/>
  <c r="H146" i="11" s="1"/>
  <c r="H54" i="11"/>
  <c r="H145" i="11" s="1"/>
  <c r="H60" i="11"/>
  <c r="G7" i="11"/>
  <c r="G16" i="11"/>
  <c r="G33" i="11"/>
  <c r="G19" i="11"/>
  <c r="G17" i="11"/>
  <c r="G8" i="11"/>
  <c r="H3" i="11"/>
  <c r="I2" i="11"/>
  <c r="J2" i="11" s="1"/>
  <c r="K2" i="11" s="1"/>
  <c r="L2" i="11" s="1"/>
  <c r="M2" i="11" s="1"/>
  <c r="N25" i="1"/>
  <c r="N26" i="1" s="1"/>
  <c r="N28" i="1"/>
  <c r="E74" i="1"/>
  <c r="E76" i="1"/>
  <c r="F77" i="1" s="1"/>
  <c r="E19" i="1"/>
  <c r="J19" i="1" s="1"/>
  <c r="E99" i="1"/>
  <c r="E100" i="1"/>
  <c r="E101" i="1" s="1"/>
  <c r="F98" i="1"/>
  <c r="F100" i="1" s="1"/>
  <c r="H10" i="11" l="1"/>
  <c r="D10" i="11" s="1"/>
  <c r="H12" i="11"/>
  <c r="I12" i="11" s="1"/>
  <c r="H15" i="11"/>
  <c r="D15" i="11" s="1"/>
  <c r="H165" i="11"/>
  <c r="G162" i="11"/>
  <c r="G164" i="11" s="1"/>
  <c r="H23" i="11"/>
  <c r="K23" i="11" s="1"/>
  <c r="I58" i="11"/>
  <c r="H18" i="11"/>
  <c r="D18" i="11" s="1"/>
  <c r="I92" i="11"/>
  <c r="L92" i="11"/>
  <c r="J92" i="11"/>
  <c r="M92" i="11"/>
  <c r="H25" i="11"/>
  <c r="M25" i="11" s="1"/>
  <c r="I63" i="11"/>
  <c r="K80" i="11"/>
  <c r="K81" i="11"/>
  <c r="M75" i="11"/>
  <c r="J82" i="11"/>
  <c r="J74" i="11"/>
  <c r="H153" i="11"/>
  <c r="L63" i="11"/>
  <c r="J80" i="11"/>
  <c r="I74" i="11"/>
  <c r="L64" i="11"/>
  <c r="K75" i="11"/>
  <c r="I82" i="11"/>
  <c r="M64" i="11"/>
  <c r="L82" i="11"/>
  <c r="M82" i="11"/>
  <c r="J83" i="11"/>
  <c r="I80" i="11"/>
  <c r="M80" i="11"/>
  <c r="I75" i="11"/>
  <c r="L75" i="11"/>
  <c r="K74" i="11"/>
  <c r="L74" i="11"/>
  <c r="M86" i="11"/>
  <c r="L86" i="11"/>
  <c r="L57" i="11"/>
  <c r="L62" i="11"/>
  <c r="L84" i="11"/>
  <c r="L81" i="11"/>
  <c r="J81" i="11"/>
  <c r="J95" i="11"/>
  <c r="K94" i="11"/>
  <c r="L95" i="11"/>
  <c r="L65" i="11"/>
  <c r="J63" i="11"/>
  <c r="L79" i="11"/>
  <c r="M58" i="11"/>
  <c r="J96" i="11"/>
  <c r="M96" i="11"/>
  <c r="I86" i="11"/>
  <c r="I57" i="11"/>
  <c r="J56" i="11"/>
  <c r="M95" i="11"/>
  <c r="K61" i="11"/>
  <c r="K63" i="11"/>
  <c r="I83" i="11"/>
  <c r="J65" i="11"/>
  <c r="L83" i="11"/>
  <c r="I95" i="11"/>
  <c r="J61" i="11"/>
  <c r="J64" i="11"/>
  <c r="M83" i="11"/>
  <c r="L56" i="11"/>
  <c r="J58" i="11"/>
  <c r="M81" i="11"/>
  <c r="K64" i="11"/>
  <c r="I62" i="11"/>
  <c r="I84" i="11"/>
  <c r="M62" i="11"/>
  <c r="J84" i="11"/>
  <c r="K58" i="11"/>
  <c r="M79" i="11"/>
  <c r="J57" i="11"/>
  <c r="K57" i="11"/>
  <c r="K86" i="11"/>
  <c r="M61" i="11"/>
  <c r="K79" i="11"/>
  <c r="L58" i="11"/>
  <c r="J79" i="11"/>
  <c r="K93" i="11"/>
  <c r="J93" i="11"/>
  <c r="M65" i="11"/>
  <c r="M93" i="11"/>
  <c r="J94" i="11"/>
  <c r="L96" i="11"/>
  <c r="L61" i="11"/>
  <c r="I93" i="11"/>
  <c r="K56" i="11"/>
  <c r="K96" i="11"/>
  <c r="M56" i="11"/>
  <c r="I94" i="11"/>
  <c r="K62" i="11"/>
  <c r="K65" i="11"/>
  <c r="M94" i="11"/>
  <c r="M84" i="11"/>
  <c r="J117" i="11"/>
  <c r="I113" i="11"/>
  <c r="J113" i="11"/>
  <c r="K113" i="11"/>
  <c r="L117" i="11"/>
  <c r="M117" i="11"/>
  <c r="L113" i="11"/>
  <c r="K117" i="11"/>
  <c r="I132" i="11"/>
  <c r="J131" i="11"/>
  <c r="K131" i="11" s="1"/>
  <c r="H24" i="11"/>
  <c r="H125" i="11"/>
  <c r="H126" i="11" s="1"/>
  <c r="H133" i="11"/>
  <c r="G150" i="11"/>
  <c r="H21" i="11"/>
  <c r="H22" i="11"/>
  <c r="G101" i="11"/>
  <c r="G103" i="11" s="1"/>
  <c r="H98" i="11"/>
  <c r="H97" i="11" s="1"/>
  <c r="J97" i="11" s="1"/>
  <c r="H77" i="11"/>
  <c r="H87" i="11" s="1"/>
  <c r="H59" i="11"/>
  <c r="H66" i="11" s="1"/>
  <c r="H36" i="11"/>
  <c r="H47" i="11"/>
  <c r="D47" i="11" s="1"/>
  <c r="H48" i="11"/>
  <c r="H9" i="11"/>
  <c r="I9" i="11" s="1"/>
  <c r="H44" i="11"/>
  <c r="H11" i="11"/>
  <c r="H138" i="11"/>
  <c r="I137" i="11" s="1"/>
  <c r="H51" i="11"/>
  <c r="D13" i="11"/>
  <c r="I13" i="11"/>
  <c r="L13" i="11"/>
  <c r="M13" i="11"/>
  <c r="H20" i="11"/>
  <c r="L20" i="11" s="1"/>
  <c r="J13" i="11"/>
  <c r="K13" i="11"/>
  <c r="F164" i="11"/>
  <c r="H107" i="11"/>
  <c r="H118" i="11" s="1"/>
  <c r="I27" i="11"/>
  <c r="H26" i="11"/>
  <c r="L26" i="11" s="1"/>
  <c r="L161" i="11" s="1"/>
  <c r="H147" i="11"/>
  <c r="H149" i="11" s="1"/>
  <c r="H17" i="11"/>
  <c r="J17" i="11" s="1"/>
  <c r="H8" i="11"/>
  <c r="J8" i="11" s="1"/>
  <c r="H19" i="11"/>
  <c r="M19" i="11" s="1"/>
  <c r="H33" i="11"/>
  <c r="H7" i="11"/>
  <c r="I6" i="11" s="1"/>
  <c r="H16" i="11"/>
  <c r="J16" i="11" s="1"/>
  <c r="J99" i="1"/>
  <c r="J72" i="1"/>
  <c r="J74" i="1" s="1"/>
  <c r="F101" i="1"/>
  <c r="G98" i="1"/>
  <c r="G100" i="1" s="1"/>
  <c r="F78" i="1"/>
  <c r="F80" i="1" s="1"/>
  <c r="G77" i="1"/>
  <c r="E78" i="1"/>
  <c r="E80" i="1" s="1"/>
  <c r="J20" i="11" l="1"/>
  <c r="K20" i="11"/>
  <c r="M20" i="11"/>
  <c r="I16" i="11"/>
  <c r="M16" i="11"/>
  <c r="L16" i="11"/>
  <c r="K16" i="11"/>
  <c r="I20" i="11"/>
  <c r="K9" i="11"/>
  <c r="M9" i="11"/>
  <c r="L9" i="11"/>
  <c r="J9" i="11"/>
  <c r="M7" i="11"/>
  <c r="K25" i="11"/>
  <c r="J25" i="11"/>
  <c r="D25" i="11"/>
  <c r="L25" i="11"/>
  <c r="I25" i="11"/>
  <c r="L97" i="11"/>
  <c r="K97" i="11"/>
  <c r="I97" i="11"/>
  <c r="M97" i="11"/>
  <c r="J21" i="11"/>
  <c r="D24" i="11"/>
  <c r="L131" i="11"/>
  <c r="M131" i="11" s="1"/>
  <c r="I24" i="11"/>
  <c r="J132" i="11"/>
  <c r="M15" i="11"/>
  <c r="K15" i="11"/>
  <c r="I15" i="11"/>
  <c r="L15" i="11"/>
  <c r="J15" i="11"/>
  <c r="K18" i="11"/>
  <c r="L18" i="11"/>
  <c r="I18" i="11"/>
  <c r="M18" i="11"/>
  <c r="J18" i="11"/>
  <c r="D23" i="11"/>
  <c r="M23" i="11"/>
  <c r="L23" i="11"/>
  <c r="I23" i="11"/>
  <c r="J23" i="11"/>
  <c r="D21" i="11"/>
  <c r="H150" i="11"/>
  <c r="I21" i="11"/>
  <c r="L21" i="11"/>
  <c r="M21" i="11"/>
  <c r="K21" i="11"/>
  <c r="L22" i="11"/>
  <c r="M22" i="11"/>
  <c r="D22" i="11"/>
  <c r="K22" i="11"/>
  <c r="I22" i="11"/>
  <c r="J22" i="11"/>
  <c r="H101" i="11"/>
  <c r="H103" i="11" s="1"/>
  <c r="G120" i="11"/>
  <c r="D36" i="11"/>
  <c r="D9" i="11"/>
  <c r="I10" i="11"/>
  <c r="D11" i="11"/>
  <c r="M11" i="11"/>
  <c r="I11" i="11"/>
  <c r="L11" i="11"/>
  <c r="J11" i="11"/>
  <c r="K11" i="11"/>
  <c r="I7" i="11"/>
  <c r="I31" i="11" s="1"/>
  <c r="E186" i="11" s="1"/>
  <c r="F120" i="11"/>
  <c r="E141" i="11"/>
  <c r="L10" i="11"/>
  <c r="D7" i="11"/>
  <c r="N13" i="11"/>
  <c r="O13" i="11" s="1"/>
  <c r="D20" i="11"/>
  <c r="D12" i="11"/>
  <c r="D8" i="11"/>
  <c r="L17" i="11"/>
  <c r="K17" i="11"/>
  <c r="I17" i="11"/>
  <c r="L19" i="11"/>
  <c r="K12" i="11"/>
  <c r="I19" i="11"/>
  <c r="K19" i="11"/>
  <c r="L12" i="11"/>
  <c r="M12" i="11"/>
  <c r="M17" i="11"/>
  <c r="J19" i="11"/>
  <c r="J12" i="11"/>
  <c r="M10" i="11"/>
  <c r="J10" i="11"/>
  <c r="K10" i="11"/>
  <c r="L8" i="11"/>
  <c r="I8" i="11"/>
  <c r="M8" i="11"/>
  <c r="K8" i="11"/>
  <c r="H160" i="11"/>
  <c r="J27" i="11"/>
  <c r="H98" i="1"/>
  <c r="H100" i="1" s="1"/>
  <c r="G101" i="1"/>
  <c r="G78" i="1"/>
  <c r="G80" i="1" s="1"/>
  <c r="H77" i="1"/>
  <c r="E192" i="11" l="1"/>
  <c r="I145" i="11"/>
  <c r="I154" i="11"/>
  <c r="I123" i="11" s="1"/>
  <c r="J7" i="11"/>
  <c r="I76" i="11"/>
  <c r="H162" i="11"/>
  <c r="H164" i="11" s="1"/>
  <c r="I85" i="11"/>
  <c r="I38" i="11"/>
  <c r="I73" i="11"/>
  <c r="K132" i="11"/>
  <c r="L132" i="11" s="1"/>
  <c r="I130" i="11"/>
  <c r="I133" i="11" s="1"/>
  <c r="J24" i="11"/>
  <c r="N18" i="11"/>
  <c r="I37" i="11"/>
  <c r="N11" i="11"/>
  <c r="F141" i="11"/>
  <c r="N12" i="11"/>
  <c r="O12" i="11" s="1"/>
  <c r="N8" i="11"/>
  <c r="O8" i="11" s="1"/>
  <c r="N10" i="11"/>
  <c r="O10" i="11" s="1"/>
  <c r="N19" i="11"/>
  <c r="O19" i="11" s="1"/>
  <c r="N17" i="11"/>
  <c r="O17" i="11" s="1"/>
  <c r="K7" i="11"/>
  <c r="L7" i="11"/>
  <c r="K27" i="11"/>
  <c r="G141" i="11"/>
  <c r="I77" i="1"/>
  <c r="H78" i="1"/>
  <c r="H80" i="1" s="1"/>
  <c r="H101" i="1"/>
  <c r="I98" i="1"/>
  <c r="I100" i="1" s="1"/>
  <c r="I160" i="11" l="1"/>
  <c r="I162" i="11" s="1"/>
  <c r="I78" i="11" s="1"/>
  <c r="K24" i="11"/>
  <c r="L24" i="11" s="1"/>
  <c r="M132" i="11"/>
  <c r="N9" i="11"/>
  <c r="I78" i="1"/>
  <c r="J77" i="1"/>
  <c r="J78" i="1" s="1"/>
  <c r="H120" i="11"/>
  <c r="J31" i="11"/>
  <c r="F186" i="11" s="1"/>
  <c r="F192" i="11" s="1"/>
  <c r="I32" i="11"/>
  <c r="N7" i="11"/>
  <c r="O7" i="11" s="1"/>
  <c r="L27" i="11"/>
  <c r="J98" i="1"/>
  <c r="J100" i="1" s="1"/>
  <c r="I101" i="1"/>
  <c r="J76" i="11" l="1"/>
  <c r="K31" i="11"/>
  <c r="I164" i="11"/>
  <c r="I39" i="11" s="1"/>
  <c r="I165" i="11" s="1"/>
  <c r="J160" i="11"/>
  <c r="J162" i="11" s="1"/>
  <c r="J78" i="11" s="1"/>
  <c r="J85" i="11"/>
  <c r="J38" i="11"/>
  <c r="J73" i="11"/>
  <c r="I148" i="11"/>
  <c r="I72" i="11"/>
  <c r="I40" i="11"/>
  <c r="I36" i="11" s="1"/>
  <c r="J130" i="11"/>
  <c r="J133" i="11" s="1"/>
  <c r="M24" i="11"/>
  <c r="I54" i="11"/>
  <c r="J37" i="11"/>
  <c r="I147" i="11"/>
  <c r="I71" i="11" s="1"/>
  <c r="I80" i="1"/>
  <c r="D137" i="1"/>
  <c r="H138" i="1"/>
  <c r="H139" i="1" s="1"/>
  <c r="D131" i="1" s="1"/>
  <c r="D132" i="1" s="1"/>
  <c r="H203" i="11"/>
  <c r="D175" i="11" s="1"/>
  <c r="I146" i="11"/>
  <c r="I55" i="11" s="1"/>
  <c r="J32" i="11"/>
  <c r="J72" i="11" s="1"/>
  <c r="J154" i="11"/>
  <c r="N16" i="11"/>
  <c r="O16" i="11" s="1"/>
  <c r="I33" i="11"/>
  <c r="J145" i="11"/>
  <c r="M27" i="11"/>
  <c r="J101" i="1"/>
  <c r="K98" i="1"/>
  <c r="K100" i="1" s="1"/>
  <c r="J49" i="1"/>
  <c r="J50" i="1" s="1"/>
  <c r="K76" i="11" l="1"/>
  <c r="G186" i="11"/>
  <c r="G192" i="11" s="1"/>
  <c r="N20" i="11"/>
  <c r="O20" i="11" s="1"/>
  <c r="J164" i="11"/>
  <c r="F188" i="11" s="1"/>
  <c r="K160" i="11"/>
  <c r="K162" i="11" s="1"/>
  <c r="K78" i="11" s="1"/>
  <c r="E188" i="11"/>
  <c r="K85" i="11"/>
  <c r="I41" i="11"/>
  <c r="K38" i="11"/>
  <c r="K73" i="11"/>
  <c r="I77" i="11"/>
  <c r="I87" i="11" s="1"/>
  <c r="D195" i="11"/>
  <c r="D196" i="11" s="1"/>
  <c r="I203" i="11"/>
  <c r="I149" i="11"/>
  <c r="I150" i="11" s="1"/>
  <c r="K130" i="11"/>
  <c r="K133" i="11" s="1"/>
  <c r="J123" i="11"/>
  <c r="J147" i="11"/>
  <c r="J71" i="11" s="1"/>
  <c r="J77" i="11" s="1"/>
  <c r="J87" i="11" s="1"/>
  <c r="J148" i="11"/>
  <c r="J54" i="11"/>
  <c r="J40" i="11"/>
  <c r="K37" i="11"/>
  <c r="K32" i="11"/>
  <c r="K72" i="11" s="1"/>
  <c r="K145" i="11"/>
  <c r="L31" i="11"/>
  <c r="K154" i="11"/>
  <c r="K123" i="11" s="1"/>
  <c r="H141" i="11"/>
  <c r="J33" i="11"/>
  <c r="J146" i="11"/>
  <c r="J55" i="11" s="1"/>
  <c r="J31" i="1"/>
  <c r="J32" i="1" s="1"/>
  <c r="E124" i="1"/>
  <c r="K49" i="1"/>
  <c r="K50" i="1" s="1"/>
  <c r="L98" i="1"/>
  <c r="L100" i="1" s="1"/>
  <c r="K101" i="1"/>
  <c r="J33" i="1"/>
  <c r="I116" i="11" l="1"/>
  <c r="L76" i="11"/>
  <c r="H186" i="11"/>
  <c r="H192" i="11" s="1"/>
  <c r="L160" i="11"/>
  <c r="L162" i="11" s="1"/>
  <c r="L164" i="11" s="1"/>
  <c r="H188" i="11" s="1"/>
  <c r="J39" i="11"/>
  <c r="J165" i="11" s="1"/>
  <c r="K164" i="11"/>
  <c r="G188" i="11" s="1"/>
  <c r="E187" i="11"/>
  <c r="I42" i="11"/>
  <c r="L85" i="11"/>
  <c r="L38" i="11"/>
  <c r="L73" i="11"/>
  <c r="J149" i="11"/>
  <c r="J150" i="11" s="1"/>
  <c r="L130" i="11"/>
  <c r="L133" i="11" s="1"/>
  <c r="K33" i="11"/>
  <c r="K148" i="11"/>
  <c r="K54" i="11"/>
  <c r="K40" i="11"/>
  <c r="L32" i="11"/>
  <c r="L72" i="11" s="1"/>
  <c r="L37" i="11"/>
  <c r="I45" i="11"/>
  <c r="I44" i="11" s="1"/>
  <c r="K146" i="11"/>
  <c r="K55" i="11" s="1"/>
  <c r="K147" i="11"/>
  <c r="K71" i="11" s="1"/>
  <c r="K77" i="11" s="1"/>
  <c r="K87" i="11" s="1"/>
  <c r="L154" i="11"/>
  <c r="L123" i="11" s="1"/>
  <c r="L145" i="11"/>
  <c r="M31" i="11"/>
  <c r="J35" i="1"/>
  <c r="J36" i="1" s="1"/>
  <c r="J62" i="1" s="1"/>
  <c r="J65" i="1" s="1"/>
  <c r="J76" i="1" s="1"/>
  <c r="E123" i="1"/>
  <c r="E125" i="1" s="1"/>
  <c r="K31" i="1"/>
  <c r="K32" i="1" s="1"/>
  <c r="K33" i="1" s="1"/>
  <c r="F124" i="1"/>
  <c r="L49" i="1"/>
  <c r="L50" i="1" s="1"/>
  <c r="M98" i="1"/>
  <c r="M100" i="1" s="1"/>
  <c r="L101" i="1"/>
  <c r="J116" i="11" l="1"/>
  <c r="F193" i="11"/>
  <c r="M76" i="11"/>
  <c r="I186" i="11"/>
  <c r="I192" i="11" s="1"/>
  <c r="K39" i="11"/>
  <c r="K165" i="11" s="1"/>
  <c r="L39" i="11"/>
  <c r="L165" i="11" s="1"/>
  <c r="J41" i="11"/>
  <c r="F187" i="11" s="1"/>
  <c r="L78" i="11"/>
  <c r="M160" i="11"/>
  <c r="M162" i="11" s="1"/>
  <c r="M164" i="11" s="1"/>
  <c r="I188" i="11" s="1"/>
  <c r="M85" i="11"/>
  <c r="M38" i="11"/>
  <c r="M73" i="11"/>
  <c r="K149" i="11"/>
  <c r="K150" i="11" s="1"/>
  <c r="M130" i="11"/>
  <c r="M133" i="11" s="1"/>
  <c r="L33" i="11"/>
  <c r="L148" i="11"/>
  <c r="L54" i="11"/>
  <c r="L40" i="11"/>
  <c r="L147" i="11"/>
  <c r="L71" i="11" s="1"/>
  <c r="L77" i="11" s="1"/>
  <c r="L146" i="11"/>
  <c r="L55" i="11" s="1"/>
  <c r="M32" i="11"/>
  <c r="M72" i="11" s="1"/>
  <c r="M37" i="11"/>
  <c r="I46" i="11"/>
  <c r="I91" i="11" s="1"/>
  <c r="M154" i="11"/>
  <c r="M145" i="11"/>
  <c r="K35" i="1"/>
  <c r="K36" i="1" s="1"/>
  <c r="K62" i="1" s="1"/>
  <c r="K65" i="1" s="1"/>
  <c r="K76" i="1" s="1"/>
  <c r="F123" i="1"/>
  <c r="F125" i="1" s="1"/>
  <c r="K77" i="1"/>
  <c r="J41" i="1"/>
  <c r="L31" i="1"/>
  <c r="L32" i="1" s="1"/>
  <c r="G124" i="1"/>
  <c r="E126" i="1"/>
  <c r="E130" i="1"/>
  <c r="E132" i="1" s="1"/>
  <c r="N98" i="1"/>
  <c r="N100" i="1" s="1"/>
  <c r="M49" i="1"/>
  <c r="M50" i="1" s="1"/>
  <c r="M101" i="1"/>
  <c r="L87" i="11" l="1"/>
  <c r="K116" i="11"/>
  <c r="G193" i="11"/>
  <c r="M78" i="11"/>
  <c r="M39" i="11"/>
  <c r="M165" i="11" s="1"/>
  <c r="K41" i="11"/>
  <c r="G187" i="11" s="1"/>
  <c r="L41" i="11"/>
  <c r="H187" i="11" s="1"/>
  <c r="J45" i="11"/>
  <c r="J44" i="11" s="1"/>
  <c r="M123" i="11"/>
  <c r="L149" i="11"/>
  <c r="L150" i="11" s="1"/>
  <c r="K78" i="1"/>
  <c r="M33" i="11"/>
  <c r="M148" i="11"/>
  <c r="M54" i="11"/>
  <c r="M40" i="11"/>
  <c r="M146" i="11"/>
  <c r="M55" i="11" s="1"/>
  <c r="I47" i="11"/>
  <c r="I48" i="11"/>
  <c r="M147" i="11"/>
  <c r="M71" i="11" s="1"/>
  <c r="M77" i="11" s="1"/>
  <c r="L33" i="1"/>
  <c r="M31" i="1"/>
  <c r="M32" i="1" s="1"/>
  <c r="M33" i="1" s="1"/>
  <c r="H124" i="1"/>
  <c r="L77" i="1"/>
  <c r="K41" i="1"/>
  <c r="K45" i="1" s="1"/>
  <c r="K53" i="1" s="1"/>
  <c r="K54" i="1" s="1"/>
  <c r="K55" i="1" s="1"/>
  <c r="K57" i="1" s="1"/>
  <c r="J80" i="1"/>
  <c r="J45" i="1"/>
  <c r="F126" i="1"/>
  <c r="F130" i="1" s="1"/>
  <c r="F132" i="1" s="1"/>
  <c r="N49" i="1"/>
  <c r="N50" i="1" s="1"/>
  <c r="N101" i="1"/>
  <c r="L116" i="11" l="1"/>
  <c r="H193" i="11"/>
  <c r="M87" i="11"/>
  <c r="M41" i="11"/>
  <c r="I187" i="11" s="1"/>
  <c r="K45" i="11"/>
  <c r="K44" i="11" s="1"/>
  <c r="L45" i="11"/>
  <c r="L44" i="11" s="1"/>
  <c r="J46" i="11"/>
  <c r="J91" i="11" s="1"/>
  <c r="M149" i="11"/>
  <c r="M150" i="11" s="1"/>
  <c r="K80" i="1"/>
  <c r="M35" i="1"/>
  <c r="M36" i="1" s="1"/>
  <c r="M62" i="1" s="1"/>
  <c r="M65" i="1" s="1"/>
  <c r="M76" i="1" s="1"/>
  <c r="H123" i="1"/>
  <c r="H125" i="1" s="1"/>
  <c r="L35" i="1"/>
  <c r="L36" i="1" s="1"/>
  <c r="L62" i="1" s="1"/>
  <c r="L65" i="1" s="1"/>
  <c r="L76" i="1" s="1"/>
  <c r="L78" i="1" s="1"/>
  <c r="G123" i="1"/>
  <c r="G125" i="1" s="1"/>
  <c r="N31" i="1"/>
  <c r="N32" i="1" s="1"/>
  <c r="N33" i="1" s="1"/>
  <c r="I124" i="1"/>
  <c r="J54" i="1"/>
  <c r="J55" i="1" s="1"/>
  <c r="J57" i="1" s="1"/>
  <c r="M116" i="11" l="1"/>
  <c r="I193" i="11"/>
  <c r="E193" i="11" s="1"/>
  <c r="M45" i="11"/>
  <c r="M44" i="11" s="1"/>
  <c r="K46" i="11"/>
  <c r="K91" i="11" s="1"/>
  <c r="L46" i="11"/>
  <c r="L47" i="11" s="1"/>
  <c r="J47" i="11"/>
  <c r="J48" i="11"/>
  <c r="N35" i="1"/>
  <c r="N36" i="1" s="1"/>
  <c r="N62" i="1" s="1"/>
  <c r="N65" i="1" s="1"/>
  <c r="N76" i="1" s="1"/>
  <c r="I123" i="1"/>
  <c r="I125" i="1" s="1"/>
  <c r="L41" i="1"/>
  <c r="L45" i="1" s="1"/>
  <c r="L53" i="1" s="1"/>
  <c r="L54" i="1" s="1"/>
  <c r="L55" i="1" s="1"/>
  <c r="L57" i="1" s="1"/>
  <c r="L80" i="1"/>
  <c r="G126" i="1"/>
  <c r="G130" i="1" s="1"/>
  <c r="G132" i="1" s="1"/>
  <c r="M77" i="1"/>
  <c r="N77" i="1" s="1"/>
  <c r="N78" i="1" s="1"/>
  <c r="N41" i="1" s="1"/>
  <c r="H126" i="1"/>
  <c r="H130" i="1"/>
  <c r="H132" i="1" s="1"/>
  <c r="M46" i="11" l="1"/>
  <c r="M47" i="11" s="1"/>
  <c r="L91" i="11"/>
  <c r="K48" i="11"/>
  <c r="K47" i="11"/>
  <c r="L48" i="11"/>
  <c r="N80" i="1"/>
  <c r="N45" i="1"/>
  <c r="N53" i="1" s="1"/>
  <c r="N54" i="1" s="1"/>
  <c r="N55" i="1" s="1"/>
  <c r="N57" i="1" s="1"/>
  <c r="M78" i="1"/>
  <c r="M41" i="1" s="1"/>
  <c r="I126" i="1"/>
  <c r="N120" i="1"/>
  <c r="I130" i="1"/>
  <c r="M91" i="11" l="1"/>
  <c r="M48" i="11"/>
  <c r="N46" i="11"/>
  <c r="N47" i="11"/>
  <c r="M80" i="1"/>
  <c r="M45" i="1"/>
  <c r="N119" i="1"/>
  <c r="N121" i="1" s="1"/>
  <c r="J131" i="1" s="1"/>
  <c r="J132" i="1" s="1"/>
  <c r="I132" i="1"/>
  <c r="D136" i="1" l="1"/>
  <c r="D139" i="1" s="1"/>
  <c r="D141" i="1" s="1"/>
  <c r="L136" i="1" s="1"/>
  <c r="L137" i="1"/>
  <c r="M53" i="1"/>
  <c r="M54" i="1" s="1"/>
  <c r="M55" i="1" s="1"/>
  <c r="M57" i="1" s="1"/>
  <c r="E189" i="11" l="1"/>
  <c r="E190" i="11" l="1"/>
  <c r="E197" i="11"/>
  <c r="I107" i="11"/>
  <c r="J107" i="11" l="1"/>
  <c r="K107" i="11" l="1"/>
  <c r="L107" i="11" l="1"/>
  <c r="M107" i="11" l="1"/>
  <c r="F156" i="11"/>
  <c r="G156" i="11" s="1"/>
  <c r="H156" i="11" s="1"/>
  <c r="I153" i="11" s="1"/>
  <c r="I155" i="11" s="1"/>
  <c r="I115" i="11" s="1"/>
  <c r="I118" i="11" s="1"/>
  <c r="I156" i="11" l="1"/>
  <c r="J153" i="11" s="1"/>
  <c r="J155" i="11" s="1"/>
  <c r="J115" i="11" s="1"/>
  <c r="J118" i="11" s="1"/>
  <c r="I60" i="11" l="1"/>
  <c r="J156" i="11"/>
  <c r="E191" i="11" l="1"/>
  <c r="E194" i="11" s="1"/>
  <c r="E196" i="11" s="1"/>
  <c r="K153" i="11"/>
  <c r="K155" i="11" s="1"/>
  <c r="K115" i="11" s="1"/>
  <c r="K118" i="11" s="1"/>
  <c r="J60" i="11"/>
  <c r="F191" i="11" l="1"/>
  <c r="J42" i="11" l="1"/>
  <c r="K156" i="11"/>
  <c r="K60" i="11" s="1"/>
  <c r="G191" i="11" l="1"/>
  <c r="J36" i="11"/>
  <c r="F189" i="11"/>
  <c r="F197" i="11" s="1"/>
  <c r="L153" i="11"/>
  <c r="L155" i="11" s="1"/>
  <c r="L115" i="11" s="1"/>
  <c r="L118" i="11" s="1"/>
  <c r="K42" i="11" l="1"/>
  <c r="F190" i="11"/>
  <c r="F194" i="11" s="1"/>
  <c r="F196" i="11" s="1"/>
  <c r="L156" i="11"/>
  <c r="K36" i="11" l="1"/>
  <c r="G189" i="11"/>
  <c r="G197" i="11" s="1"/>
  <c r="L60" i="11"/>
  <c r="M153" i="11"/>
  <c r="M155" i="11" s="1"/>
  <c r="M115" i="11" s="1"/>
  <c r="M118" i="11" s="1"/>
  <c r="H191" i="11" l="1"/>
  <c r="G190" i="11"/>
  <c r="G194" i="11" s="1"/>
  <c r="G196" i="11" s="1"/>
  <c r="L42" i="11" l="1"/>
  <c r="M156" i="11"/>
  <c r="M60" i="11" s="1"/>
  <c r="I191" i="11" l="1"/>
  <c r="L36" i="11"/>
  <c r="H189" i="11"/>
  <c r="H197" i="11" s="1"/>
  <c r="M42" i="11" l="1"/>
  <c r="H190" i="11"/>
  <c r="H194" i="11" s="1"/>
  <c r="H196" i="11" s="1"/>
  <c r="M36" i="11" l="1"/>
  <c r="I189" i="11"/>
  <c r="N184" i="11" l="1"/>
  <c r="I197" i="11"/>
  <c r="I190" i="11"/>
  <c r="I194" i="11" s="1"/>
  <c r="I196" i="11" s="1"/>
  <c r="N35" i="11"/>
  <c r="N36" i="11"/>
  <c r="N183" i="11" l="1"/>
  <c r="N185" i="11" s="1"/>
  <c r="J195" i="11" s="1"/>
  <c r="J196" i="11" s="1"/>
  <c r="D200" i="11" s="1"/>
  <c r="O185" i="11" l="1"/>
  <c r="O186" i="11" s="1"/>
  <c r="E200" i="11"/>
  <c r="L201" i="11"/>
  <c r="D203" i="11" l="1"/>
  <c r="D205" i="11" s="1"/>
  <c r="I125" i="11"/>
  <c r="I126" i="11" s="1"/>
  <c r="I136" i="11" s="1"/>
  <c r="I138" i="11" s="1"/>
  <c r="F126" i="11"/>
  <c r="L200" i="11" l="1"/>
  <c r="J137" i="11"/>
  <c r="I53" i="11"/>
  <c r="I59" i="11" s="1"/>
  <c r="I66" i="11" s="1"/>
  <c r="J125" i="11"/>
  <c r="I98" i="11" l="1"/>
  <c r="I101" i="11" s="1"/>
  <c r="I103" i="11" s="1"/>
  <c r="I141" i="11"/>
  <c r="K125" i="11"/>
  <c r="J126" i="11"/>
  <c r="J136" i="11" s="1"/>
  <c r="J138" i="11" s="1"/>
  <c r="L125" i="11" l="1"/>
  <c r="K126" i="11"/>
  <c r="K136" i="11" s="1"/>
  <c r="K137" i="11"/>
  <c r="J53" i="11"/>
  <c r="J59" i="11" s="1"/>
  <c r="J66" i="11" s="1"/>
  <c r="J98" i="11" l="1"/>
  <c r="J101" i="11" s="1"/>
  <c r="J103" i="11" s="1"/>
  <c r="K138" i="11"/>
  <c r="L137" i="11" s="1"/>
  <c r="L126" i="11"/>
  <c r="L136" i="11" s="1"/>
  <c r="M125" i="11"/>
  <c r="M126" i="11" s="1"/>
  <c r="M136" i="11" s="1"/>
  <c r="J141" i="11"/>
  <c r="K53" i="11" l="1"/>
  <c r="K59" i="11" s="1"/>
  <c r="K66" i="11" s="1"/>
  <c r="L138" i="11"/>
  <c r="M137" i="11" s="1"/>
  <c r="M138" i="11" s="1"/>
  <c r="K98" i="11" l="1"/>
  <c r="K101" i="11" s="1"/>
  <c r="K103" i="11" s="1"/>
  <c r="K141" i="11"/>
  <c r="L53" i="11"/>
  <c r="L59" i="11" s="1"/>
  <c r="L66" i="11" s="1"/>
  <c r="M53" i="11"/>
  <c r="M59" i="11" s="1"/>
  <c r="M66" i="11" s="1"/>
  <c r="M98" i="11" l="1"/>
  <c r="M101" i="11" s="1"/>
  <c r="M103" i="11" s="1"/>
  <c r="L98" i="11"/>
  <c r="L101" i="11" s="1"/>
  <c r="L103" i="11" s="1"/>
  <c r="L141" i="11"/>
  <c r="M14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Lutz PC</author>
  </authors>
  <commentList>
    <comment ref="A64" authorId="0" shapeId="0" xr:uid="{FFDDC9EF-C0C3-4C9F-AAD0-95A328D39A21}">
      <text>
        <r>
          <rPr>
            <b/>
            <sz val="9"/>
            <color indexed="81"/>
            <rFont val="Tahoma"/>
            <family val="2"/>
          </rPr>
          <t>Lutz PC:</t>
        </r>
        <r>
          <rPr>
            <sz val="9"/>
            <color indexed="81"/>
            <rFont val="Tahoma"/>
            <family val="2"/>
          </rPr>
          <t xml:space="preserve">
This may need further data to auto calculate or maybe is in the data pull already?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54DA25-6F4E-4F56-BA1F-454855A69DC7}" keepAlive="1" name="Query - AverageInflation" description="Connection to the 'AverageInflation' query in the workbook." type="5" refreshedVersion="8" background="1" saveData="1">
    <dbPr connection="Provider=Microsoft.Mashup.OleDb.1;Data Source=$Workbook$;Location=AverageInflation;Extended Properties=&quot;&quot;" command="SELECT * FROM [AverageInflation]"/>
  </connection>
  <connection id="2" xr16:uid="{D5B3C6E7-1911-416A-BD1C-4729C05508D3}" keepAlive="1" name="Query - BalanceSheet" description="Connection to the 'BalanceSheet' query in the workbook." type="5" refreshedVersion="8" background="1" saveData="1">
    <dbPr connection="Provider=Microsoft.Mashup.OleDb.1;Data Source=$Workbook$;Location=BalanceSheet;Extended Properties=&quot;&quot;" command="SELECT * FROM [BalanceSheet]"/>
  </connection>
  <connection id="3" xr16:uid="{D9D2B14C-56F2-4D08-8386-F7F7C49C3DC8}" keepAlive="1" name="Query - CashFlow" description="Connection to the 'CashFlow' query in the workbook." type="5" refreshedVersion="8" background="1" saveData="1">
    <dbPr connection="Provider=Microsoft.Mashup.OleDb.1;Data Source=$Workbook$;Location=CashFlow;Extended Properties=&quot;&quot;" command="SELECT * FROM [CashFlow]"/>
  </connection>
  <connection id="4" xr16:uid="{863B8CE3-4097-473D-98D1-6BF478D31676}" keepAlive="1" name="Query - IncomeStatement" description="Connection to the 'IncomeStatement' query in the workbook." type="5" refreshedVersion="8" background="1" saveData="1">
    <dbPr connection="Provider=Microsoft.Mashup.OleDb.1;Data Source=$Workbook$;Location=IncomeStatement;Extended Properties=&quot;&quot;" command="SELECT * FROM [IncomeStatement]"/>
  </connection>
  <connection id="5" xr16:uid="{5FD787E3-FF0D-48CD-8561-BBBDACF5EEF2}" keepAlive="1" name="Query - MetaData" description="Connection to the 'MetaData' query in the workbook." type="5" refreshedVersion="8" background="1" saveData="1">
    <dbPr connection="Provider=Microsoft.Mashup.OleDb.1;Data Source=$Workbook$;Location=MetaData;Extended Properties=&quot;&quot;" command="SELECT * FROM [MetaData]"/>
  </connection>
  <connection id="6" xr16:uid="{6017A29E-CF55-4876-A5F3-A72222A798F1}" keepAlive="1" name="Query - PriceData_GSPC" description="Connection to the 'PriceData_GSPC' query in the workbook." type="5" refreshedVersion="8" background="1" saveData="1">
    <dbPr connection="Provider=Microsoft.Mashup.OleDb.1;Data Source=$Workbook$;Location=PriceData_GSPC;Extended Properties=&quot;&quot;" command="SELECT * FROM [PriceData_GSPC]"/>
  </connection>
  <connection id="7" xr16:uid="{85087535-88C8-4AC0-AA21-7EFB06A671EF}" keepAlive="1" name="Query - PriceData_GSPC_AvgRate" description="Connection to the 'PriceData_GSPC_AvgRate' query in the workbook." type="5" refreshedVersion="8" background="1" saveData="1">
    <dbPr connection="Provider=Microsoft.Mashup.OleDb.1;Data Source=$Workbook$;Location=PriceData_GSPC_AvgRate;Extended Properties=&quot;&quot;" command="SELECT * FROM [PriceData_GSPC_AvgRate]"/>
  </connection>
  <connection id="8" xr16:uid="{B4132742-EC92-4D4F-925F-4369DC3084F2}" keepAlive="1" name="Query - PriceData_Ticker" description="Connection to the 'PriceData_Ticker' query in the workbook." type="5" refreshedVersion="8" background="1" saveData="1">
    <dbPr connection="Provider=Microsoft.Mashup.OleDb.1;Data Source=$Workbook$;Location=PriceData_Ticker;Extended Properties=&quot;&quot;" command="SELECT * FROM [PriceData_Ticker]"/>
  </connection>
  <connection id="9" xr16:uid="{41838C79-45DD-4990-B360-74482D5EFC95}" keepAlive="1" name="Query - PriceData_Ticker_AvgRate" description="Connection to the 'PriceData_Ticker_AvgRate' query in the workbook." type="5" refreshedVersion="8" background="1" saveData="1">
    <dbPr connection="Provider=Microsoft.Mashup.OleDb.1;Data Source=$Workbook$;Location=PriceData_Ticker_AvgRate;Extended Properties=&quot;&quot;" command="SELECT * FROM [PriceData_Ticker_AvgRate]"/>
  </connection>
  <connection id="10" xr16:uid="{CC77A1A5-53FD-4449-B824-76A9FAFED5E1}" keepAlive="1" name="Query - PriceData_TNX" description="Connection to the 'PriceData_TNX' query in the workbook." type="5" refreshedVersion="8" background="1" saveData="1">
    <dbPr connection="Provider=Microsoft.Mashup.OleDb.1;Data Source=$Workbook$;Location=PriceData_TNX;Extended Properties=&quot;&quot;" command="SELECT * FROM [PriceData_TNX]"/>
  </connection>
  <connection id="11" xr16:uid="{C2BDCCA7-C77C-479B-818F-9A8B0F87C353}" keepAlive="1" name="Query - PriceData_TNX_AvgRate" description="Connection to the 'PriceData_TNX_AvgRate' query in the workbook." type="5" refreshedVersion="8" background="1" saveData="1">
    <dbPr connection="Provider=Microsoft.Mashup.OleDb.1;Data Source=$Workbook$;Location=PriceData_TNX_AvgRate;Extended Properties=&quot;&quot;" command="SELECT * FROM [PriceData_TNX_AvgRate]"/>
  </connection>
  <connection id="12" xr16:uid="{9FCC92BE-1A3E-4D7E-B156-F518DF6AE6D3}" keepAlive="1" name="Query - Tickers" description="Connection to the 'Tickers' query in the workbook." type="5" refreshedVersion="8" background="1" saveData="1">
    <dbPr connection="Provider=Microsoft.Mashup.OleDb.1;Data Source=$Workbook$;Location=Tickers;Extended Properties=&quot;&quot;" command="SELECT * FROM [Tickers]"/>
  </connection>
  <connection id="13" xr16:uid="{0F4B5A61-8C62-43D6-8C2B-8029CB61E8E8}" keepAlive="1" name="Query - TickerYears" description="Connection to the 'TickerYears' query in the workbook." type="5" refreshedVersion="8" background="1" saveData="1">
    <dbPr connection="Provider=Microsoft.Mashup.OleDb.1;Data Source=$Workbook$;Location=TickerYears;Extended Properties=&quot;&quot;" command="SELECT * FROM [TickerYears]"/>
  </connection>
</connections>
</file>

<file path=xl/sharedStrings.xml><?xml version="1.0" encoding="utf-8"?>
<sst xmlns="http://schemas.openxmlformats.org/spreadsheetml/2006/main" count="3727" uniqueCount="698">
  <si>
    <t>Financial Statements</t>
  </si>
  <si>
    <t>Historical Results</t>
  </si>
  <si>
    <t>Forecast Period</t>
  </si>
  <si>
    <t>Balance Sheet Check</t>
  </si>
  <si>
    <t>Assumptions</t>
  </si>
  <si>
    <t>Income Statement</t>
  </si>
  <si>
    <t>Balance Sheet</t>
  </si>
  <si>
    <t>Cash Flow Statement</t>
  </si>
  <si>
    <t>Supporting Schedules</t>
  </si>
  <si>
    <t>DCF Model</t>
  </si>
  <si>
    <t>Charts and Graphs</t>
  </si>
  <si>
    <t>Revenue Growth (% Change)</t>
  </si>
  <si>
    <t>Cost of Goods Sold (% of Revenue)</t>
  </si>
  <si>
    <t>Salaries &amp; Benefits (% of Revenue)</t>
  </si>
  <si>
    <t>Rent and Overhead ($000's)</t>
  </si>
  <si>
    <t>Depreciation &amp; Amortization (% of PPE)</t>
  </si>
  <si>
    <t>Interest (% of Debt)</t>
  </si>
  <si>
    <t>Tax Rate (% of Earnings Before Tax)</t>
  </si>
  <si>
    <t>Accounts Receivable (Days)</t>
  </si>
  <si>
    <t>Inventory (Days)</t>
  </si>
  <si>
    <t>Accounts Payable (Days)</t>
  </si>
  <si>
    <t>Capital Expenditures ($000's)</t>
  </si>
  <si>
    <t>Debt Issuance (Repayment) ($000's)</t>
  </si>
  <si>
    <t>Equity Issued (Repaid) ($000's)</t>
  </si>
  <si>
    <t>Revenue</t>
  </si>
  <si>
    <t>Cost of Goods Sold</t>
  </si>
  <si>
    <t>Gross Profit</t>
  </si>
  <si>
    <t>Expenses</t>
  </si>
  <si>
    <t>Salaries &amp; Benefits</t>
  </si>
  <si>
    <t>Rent &amp; Overhead</t>
  </si>
  <si>
    <t>Depreciation &amp; Amortization</t>
  </si>
  <si>
    <t>Interest</t>
  </si>
  <si>
    <t>Total Expenses</t>
  </si>
  <si>
    <t>Earnings Before Tax</t>
  </si>
  <si>
    <t>Taxes</t>
  </si>
  <si>
    <t>Net Earnings</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</si>
  <si>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</si>
  <si>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</si>
  <si>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</si>
  <si>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</si>
  <si>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</si>
  <si>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</si>
  <si>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</si>
  <si>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</si>
  <si>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</si>
  <si>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</si>
  <si>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</si>
  <si>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</si>
  <si>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</si>
  <si>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</si>
  <si>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</si>
  <si>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</si>
  <si>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</si>
  <si>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</si>
  <si>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</si>
  <si>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</si>
  <si>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</si>
  <si>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</si>
  <si>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</si>
  <si>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</si>
  <si>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</si>
  <si>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</si>
  <si>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</si>
  <si>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</si>
  <si>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</si>
  <si>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Source</t>
  </si>
  <si>
    <t>https://www.youtube.com/watch?v=M8cuAJYYnTM</t>
  </si>
  <si>
    <t>Working Capital Schedule</t>
  </si>
  <si>
    <t>Change in NWC</t>
  </si>
  <si>
    <t>Net Working Capital (NWC)</t>
  </si>
  <si>
    <t>Depreciation Schedule</t>
  </si>
  <si>
    <t>PPE Opening</t>
  </si>
  <si>
    <t>Plus Capex</t>
  </si>
  <si>
    <t>Less Depreciation</t>
  </si>
  <si>
    <t>PPE Closing</t>
  </si>
  <si>
    <t>Debt &amp; Interest Schedule</t>
  </si>
  <si>
    <t>Debt Opening</t>
  </si>
  <si>
    <t>Issuance (repayment)</t>
  </si>
  <si>
    <t>Debt Closing</t>
  </si>
  <si>
    <t>Interest Expense</t>
  </si>
  <si>
    <t>Tax Rate</t>
  </si>
  <si>
    <t>Discount Rate</t>
  </si>
  <si>
    <t>Perpetual Growth Rate</t>
  </si>
  <si>
    <t>EV/EBITDA Multiple</t>
  </si>
  <si>
    <t>Transaction Date</t>
  </si>
  <si>
    <t>Current Price</t>
  </si>
  <si>
    <t>Shares Outstanding</t>
  </si>
  <si>
    <t>Discounted Cash Flow</t>
  </si>
  <si>
    <t>Entry</t>
  </si>
  <si>
    <t>Date</t>
  </si>
  <si>
    <t>Time Periods</t>
  </si>
  <si>
    <t>Year Fraction</t>
  </si>
  <si>
    <t>Exit</t>
  </si>
  <si>
    <t>EBT</t>
  </si>
  <si>
    <t>EBIT</t>
  </si>
  <si>
    <t>Less: Cash Taxes</t>
  </si>
  <si>
    <t>Plus: D&amp;A</t>
  </si>
  <si>
    <t>Less: Capex</t>
  </si>
  <si>
    <t>Less: Changes in NWC</t>
  </si>
  <si>
    <t>Unlevered FCF</t>
  </si>
  <si>
    <t>(Entry)/Exit</t>
  </si>
  <si>
    <t>Net FCF</t>
  </si>
  <si>
    <t>Terminal Value</t>
  </si>
  <si>
    <t>Perpetual Growth</t>
  </si>
  <si>
    <t>EV/EBITDA</t>
  </si>
  <si>
    <t>Average</t>
  </si>
  <si>
    <t>Intrinsic Value</t>
  </si>
  <si>
    <t>Enterprise Value</t>
  </si>
  <si>
    <t>Plus: Cash</t>
  </si>
  <si>
    <t>Less: Debt</t>
  </si>
  <si>
    <t>Equity Value</t>
  </si>
  <si>
    <t>Equity Value/Share</t>
  </si>
  <si>
    <t>Market Value</t>
  </si>
  <si>
    <t>Market Cap</t>
  </si>
  <si>
    <t>Plus: Debt</t>
  </si>
  <si>
    <t>Less: Cash</t>
  </si>
  <si>
    <t>Rate of Return</t>
  </si>
  <si>
    <t>Target Price Upside</t>
  </si>
  <si>
    <t>IRR</t>
  </si>
  <si>
    <t>Accounts Receivable Days</t>
  </si>
  <si>
    <t>Inventory Days</t>
  </si>
  <si>
    <t>Accounts Payable Days</t>
  </si>
  <si>
    <t>=Avg Accounts Receivable / Revenue * 365 Days</t>
  </si>
  <si>
    <t>=Avg Accounts Payable / COGS * 365 Days</t>
  </si>
  <si>
    <t>=Avg Inventory / COGS * 365 Days</t>
  </si>
  <si>
    <t>Metric</t>
  </si>
  <si>
    <t>Formula</t>
  </si>
  <si>
    <t>Accounts Receivable from AR Days</t>
  </si>
  <si>
    <t>= AR Days * (Revenue / 365)</t>
  </si>
  <si>
    <t>Inventory from Inventory Days</t>
  </si>
  <si>
    <t>= Inv Days * (COGS / 365)</t>
  </si>
  <si>
    <t>= AP Days * (COGS / 365)</t>
  </si>
  <si>
    <t>Accounts Payable from AP Days</t>
  </si>
  <si>
    <t>&lt;= Supporting Schedules</t>
  </si>
  <si>
    <t>&lt;= Assumptions</t>
  </si>
  <si>
    <t>&lt;= Cash Flow Statement</t>
  </si>
  <si>
    <t>&lt;= Income Statement</t>
  </si>
  <si>
    <t>&lt;=Today's Debt</t>
  </si>
  <si>
    <t>&lt;=Today's Cash</t>
  </si>
  <si>
    <t>id</t>
  </si>
  <si>
    <t>asOfDate</t>
  </si>
  <si>
    <t>periodType</t>
  </si>
  <si>
    <t>currencyCode</t>
  </si>
  <si>
    <t>AverageDilutionEarnings</t>
  </si>
  <si>
    <t>BasicAverageShares</t>
  </si>
  <si>
    <t>BasicEPS</t>
  </si>
  <si>
    <t>CostOfRevenue</t>
  </si>
  <si>
    <t>DepreciationAmortizationDepletionIncomeStatement</t>
  </si>
  <si>
    <t>DepreciationAndAmortizationInIncomeStatement</t>
  </si>
  <si>
    <t>DilutedAverageShares</t>
  </si>
  <si>
    <t>DilutedEPS</t>
  </si>
  <si>
    <t>DilutedNIAvailtoComStockholders</t>
  </si>
  <si>
    <t>EBITDA</t>
  </si>
  <si>
    <t>EarningsFromEquityInterestNetOfTax</t>
  </si>
  <si>
    <t>GainOnSaleOfBusiness</t>
  </si>
  <si>
    <t>GainOnSaleOfSecurity</t>
  </si>
  <si>
    <t>GeneralAndAdministrativeExpense</t>
  </si>
  <si>
    <t>GrossProfit</t>
  </si>
  <si>
    <t>InterestExpense</t>
  </si>
  <si>
    <t>InterestExpenseNonOperating</t>
  </si>
  <si>
    <t>InterestIncome</t>
  </si>
  <si>
    <t>InterestIncomeNonOperating</t>
  </si>
  <si>
    <t>MinorityInterests</t>
  </si>
  <si>
    <t>NetIncome</t>
  </si>
  <si>
    <t>NetIncomeCommonStockholders</t>
  </si>
  <si>
    <t>NetIncomeContinuousOperations</t>
  </si>
  <si>
    <t>NetIncomeFromContinuingAndDiscontinuedOperation</t>
  </si>
  <si>
    <t>NetIncomeFromContinuingOperationNetMinorityInterest</t>
  </si>
  <si>
    <t>NetIncomeIncludingNoncontrollingInterests</t>
  </si>
  <si>
    <t>NetInterestIncome</t>
  </si>
  <si>
    <t>NetNonOperatingInterestIncomeExpense</t>
  </si>
  <si>
    <t>NormalizedEBITDA</t>
  </si>
  <si>
    <t>NormalizedIncome</t>
  </si>
  <si>
    <t>OperatingExpense</t>
  </si>
  <si>
    <t>OperatingIncome</t>
  </si>
  <si>
    <t>OperatingRevenue</t>
  </si>
  <si>
    <t>OtherGandA</t>
  </si>
  <si>
    <t>OtherIncomeExpense</t>
  </si>
  <si>
    <t>OtherNonOperatingIncomeExpenses</t>
  </si>
  <si>
    <t>OtherOperatingExpenses</t>
  </si>
  <si>
    <t>OtherunderPreferredStockDividend</t>
  </si>
  <si>
    <t>PretaxIncome</t>
  </si>
  <si>
    <t>ReconciledCostOfRevenue</t>
  </si>
  <si>
    <t>ReconciledDepreciation</t>
  </si>
  <si>
    <t>ResearchAndDevelopment</t>
  </si>
  <si>
    <t>SellingAndMarketingExpense</t>
  </si>
  <si>
    <t>SellingGeneralAndAdministration</t>
  </si>
  <si>
    <t>SpecialIncomeCharges</t>
  </si>
  <si>
    <t>TaxEffectOfUnusualItems</t>
  </si>
  <si>
    <t>TaxProvision</t>
  </si>
  <si>
    <t>TaxRateForCalcs</t>
  </si>
  <si>
    <t>TotalExpenses</t>
  </si>
  <si>
    <t>TotalOperatingIncomeAsReported</t>
  </si>
  <si>
    <t>TotalRevenue</t>
  </si>
  <si>
    <t>TotalUnusualItems</t>
  </si>
  <si>
    <t>TotalUnusualItemsExcludingGoodwill</t>
  </si>
  <si>
    <t>WriteOff</t>
  </si>
  <si>
    <t>NetIncomeDiscontinuousOperations</t>
  </si>
  <si>
    <t>EarningsFromEquityInterest</t>
  </si>
  <si>
    <t>ImpairmentOfCapitalAssets</t>
  </si>
  <si>
    <t>PreferredStockDividends</t>
  </si>
  <si>
    <t>Amortization</t>
  </si>
  <si>
    <t>AmortizationOfIntangiblesIncomeStatement</t>
  </si>
  <si>
    <t>OtherSpecialCharges</t>
  </si>
  <si>
    <t>OtherTaxes</t>
  </si>
  <si>
    <t>RestructuringAndMergernAcquisition</t>
  </si>
  <si>
    <t>GainOnSaleOfPPE</t>
  </si>
  <si>
    <t>ProvisionForDoubtfulAccounts</t>
  </si>
  <si>
    <t>SalariesAndWages</t>
  </si>
  <si>
    <t>RentAndLandingFees</t>
  </si>
  <si>
    <t>RentExpenseSupplemental</t>
  </si>
  <si>
    <t>Ticker</t>
  </si>
  <si>
    <t>12M</t>
  </si>
  <si>
    <t>USD</t>
  </si>
  <si>
    <t>TTM</t>
  </si>
  <si>
    <t>AccountsPayable</t>
  </si>
  <si>
    <t>AccountsReceivable</t>
  </si>
  <si>
    <t>AccumulatedDepreciation</t>
  </si>
  <si>
    <t>AdditionalPaidInCapital</t>
  </si>
  <si>
    <t>AllowanceForDoubtfulAccountsReceivable</t>
  </si>
  <si>
    <t>AssetsHeldForSaleCurrent</t>
  </si>
  <si>
    <t>AvailableForSaleSecurities</t>
  </si>
  <si>
    <t>BuildingsAndImprovements</t>
  </si>
  <si>
    <t>CapitalLeaseObligations</t>
  </si>
  <si>
    <t>CapitalStock</t>
  </si>
  <si>
    <t>CashAndCashEquivalents</t>
  </si>
  <si>
    <t>CashCashEquivalentsAndShortTermInvestments</t>
  </si>
  <si>
    <t>CommonStock</t>
  </si>
  <si>
    <t>CommonStockEquity</t>
  </si>
  <si>
    <t>ConstructionInProgress</t>
  </si>
  <si>
    <t>CurrentAccruedExpenses</t>
  </si>
  <si>
    <t>CurrentAssets</t>
  </si>
  <si>
    <t>CurrentCapitalLeaseObligation</t>
  </si>
  <si>
    <t>CurrentDebt</t>
  </si>
  <si>
    <t>CurrentDebtAndCapitalLeaseObligation</t>
  </si>
  <si>
    <t>CurrentLiabilities</t>
  </si>
  <si>
    <t>CurrentProvisions</t>
  </si>
  <si>
    <t>GainsLossesNotAffectingRetainedEarnings</t>
  </si>
  <si>
    <t>Goodwill</t>
  </si>
  <si>
    <t>GoodwillAndOtherIntangibleAssets</t>
  </si>
  <si>
    <t>GrossAccountsReceivable</t>
  </si>
  <si>
    <t>GrossPPE</t>
  </si>
  <si>
    <t>HeldToMaturitySecurities</t>
  </si>
  <si>
    <t>IncomeTaxPayable</t>
  </si>
  <si>
    <t>InterestPayable</t>
  </si>
  <si>
    <t>InvestedCapital</t>
  </si>
  <si>
    <t>InvestmentinFinancialAssets</t>
  </si>
  <si>
    <t>InvestmentsAndAdvances</t>
  </si>
  <si>
    <t>LandAndImprovements</t>
  </si>
  <si>
    <t>Leases</t>
  </si>
  <si>
    <t>LongTermCapitalLeaseObligation</t>
  </si>
  <si>
    <t>LongTermDebt</t>
  </si>
  <si>
    <t>LongTermDebtAndCapitalLeaseObligation</t>
  </si>
  <si>
    <t>LongTermEquityInvestment</t>
  </si>
  <si>
    <t>LongTermProvisions</t>
  </si>
  <si>
    <t>MachineryFurnitureEquipment</t>
  </si>
  <si>
    <t>MinorityInterest</t>
  </si>
  <si>
    <t>NetDebt</t>
  </si>
  <si>
    <t>NetPPE</t>
  </si>
  <si>
    <t>NetTangibleAssets</t>
  </si>
  <si>
    <t>NonCurrentDeferredLiabilities</t>
  </si>
  <si>
    <t>NonCurrentDeferredTaxesLiabilities</t>
  </si>
  <si>
    <t>NonCurrentNoteReceivables</t>
  </si>
  <si>
    <t>OrdinarySharesNumber</t>
  </si>
  <si>
    <t>OtherCurrentAssets</t>
  </si>
  <si>
    <t>OtherCurrentBorrowings</t>
  </si>
  <si>
    <t>OtherCurrentLiabilities</t>
  </si>
  <si>
    <t>OtherEquityAdjustments</t>
  </si>
  <si>
    <t>OtherIntangibleAssets</t>
  </si>
  <si>
    <t>OtherNonCurrentAssets</t>
  </si>
  <si>
    <t>OtherNonCurrentLiabilities</t>
  </si>
  <si>
    <t>OtherPayable</t>
  </si>
  <si>
    <t>OtherProperties</t>
  </si>
  <si>
    <t>OtherReceivables</t>
  </si>
  <si>
    <t>OtherShortTermInvestments</t>
  </si>
  <si>
    <t>Payables</t>
  </si>
  <si>
    <t>PayablesAndAccruedExpenses</t>
  </si>
  <si>
    <t>PensionandOtherPostRetirementBenefitPlansCurrent</t>
  </si>
  <si>
    <t>PreferredSecuritiesOutsideStockEquity</t>
  </si>
  <si>
    <t>PrepaidAssets</t>
  </si>
  <si>
    <t>Properties</t>
  </si>
  <si>
    <t>Receivables</t>
  </si>
  <si>
    <t>RestrictedCash</t>
  </si>
  <si>
    <t>RetainedEarnings</t>
  </si>
  <si>
    <t>ShareIssued</t>
  </si>
  <si>
    <t>StockholdersEquity</t>
  </si>
  <si>
    <t>TangibleBookValue</t>
  </si>
  <si>
    <t>TotalAssets</t>
  </si>
  <si>
    <t>TotalCapitalization</t>
  </si>
  <si>
    <t>TotalDebt</t>
  </si>
  <si>
    <t>TotalEquityGrossMinorityInterest</t>
  </si>
  <si>
    <t>TotalLiabilitiesNetMinorityInterest</t>
  </si>
  <si>
    <t>TotalNonCurrentAssets</t>
  </si>
  <si>
    <t>TotalNonCurrentLiabilitiesNetMinorityInterest</t>
  </si>
  <si>
    <t>TotalTaxPayable</t>
  </si>
  <si>
    <t>TradeandOtherPayablesNonCurrent</t>
  </si>
  <si>
    <t>WorkingCapital</t>
  </si>
  <si>
    <t>CurrentDeferredLiabilities</t>
  </si>
  <si>
    <t>CurrentDeferredRevenue</t>
  </si>
  <si>
    <t>EmployeeBenefits</t>
  </si>
  <si>
    <t>FinishedGoods</t>
  </si>
  <si>
    <t>NonCurrentDeferredAssets</t>
  </si>
  <si>
    <t>NonCurrentDeferredTaxesAssets</t>
  </si>
  <si>
    <t>NonCurrentPensionAndOtherPostretirementBenefitPlans</t>
  </si>
  <si>
    <t>RawMaterials</t>
  </si>
  <si>
    <t>WorkInProcess</t>
  </si>
  <si>
    <t>CashEquivalents</t>
  </si>
  <si>
    <t>CashFinancial</t>
  </si>
  <si>
    <t>HedgingAssetsCurrent</t>
  </si>
  <si>
    <t>NonCurrentDeferredRevenue</t>
  </si>
  <si>
    <t>CommercialPaper</t>
  </si>
  <si>
    <t>CurrentNotesPayable</t>
  </si>
  <si>
    <t>DividendsPayable</t>
  </si>
  <si>
    <t>ForeignCurrencyTranslationAdjustments</t>
  </si>
  <si>
    <t>InvestmentsinAssociatesatCost</t>
  </si>
  <si>
    <t>LineOfCredit</t>
  </si>
  <si>
    <t>MinimumPensionLiabilities</t>
  </si>
  <si>
    <t>PreferredSharesNumber</t>
  </si>
  <si>
    <t>PreferredStock</t>
  </si>
  <si>
    <t>TreasurySharesNumber</t>
  </si>
  <si>
    <t>TreasuryStock</t>
  </si>
  <si>
    <t>UnrealizedGainLoss</t>
  </si>
  <si>
    <t>DefinedPensionBenefit</t>
  </si>
  <si>
    <t>NonCurrentAccountsReceivable</t>
  </si>
  <si>
    <t>OtherInventories</t>
  </si>
  <si>
    <t>OtherInvestments</t>
  </si>
  <si>
    <t>TaxesReceivable</t>
  </si>
  <si>
    <t>CurrentDeferredAssets</t>
  </si>
  <si>
    <t>DerivativeProductLiabilities</t>
  </si>
  <si>
    <t>FinancialAssets</t>
  </si>
  <si>
    <t>InvestmentsInOtherVenturesUnderEquityMethod</t>
  </si>
  <si>
    <t>LiabilitiesHeldforSaleNonCurrent</t>
  </si>
  <si>
    <t>NonCurrentAccruedExpenses</t>
  </si>
  <si>
    <t>NonCurrentPrepaidAssets</t>
  </si>
  <si>
    <t>OtherEquityInterest</t>
  </si>
  <si>
    <t>InventoriesAdjustmentsAllowances</t>
  </si>
  <si>
    <t>AssetImpairmentCharge</t>
  </si>
  <si>
    <t>BeginningCashPosition</t>
  </si>
  <si>
    <t>CapitalExpenditure</t>
  </si>
  <si>
    <t>CashFlowFromContinuingFinancingActivities</t>
  </si>
  <si>
    <t>CashFlowFromContinuingInvestingActivities</t>
  </si>
  <si>
    <t>CashFlowFromContinuingOperatingActivities</t>
  </si>
  <si>
    <t>ChangeInAccountPayable</t>
  </si>
  <si>
    <t>ChangeInAccruedExpense</t>
  </si>
  <si>
    <t>ChangeInCashSupplementalAsReported</t>
  </si>
  <si>
    <t>ChangeInOtherCurrentAssets</t>
  </si>
  <si>
    <t>ChangeInOtherCurrentLiabilities</t>
  </si>
  <si>
    <t>ChangeInOtherWorkingCapital</t>
  </si>
  <si>
    <t>ChangeInPayable</t>
  </si>
  <si>
    <t>ChangeInPayablesAndAccruedExpense</t>
  </si>
  <si>
    <t>ChangeInPrepaidAssets</t>
  </si>
  <si>
    <t>ChangeInReceivables</t>
  </si>
  <si>
    <t>ChangeInWorkingCapital</t>
  </si>
  <si>
    <t>ChangesInAccountReceivables</t>
  </si>
  <si>
    <t>ChangesInCash</t>
  </si>
  <si>
    <t>CommonStockIssuance</t>
  </si>
  <si>
    <t>CommonStockPayments</t>
  </si>
  <si>
    <t>DeferredIncomeTax</t>
  </si>
  <si>
    <t>DeferredTax</t>
  </si>
  <si>
    <t>DepreciationAmortizationDepletion</t>
  </si>
  <si>
    <t>DepreciationAndAmortization</t>
  </si>
  <si>
    <t>EarningsLossesFromEquityInvestments</t>
  </si>
  <si>
    <t>EffectOfExchangeRateChanges</t>
  </si>
  <si>
    <t>EndCashPosition</t>
  </si>
  <si>
    <t>FinancingCashFlow</t>
  </si>
  <si>
    <t>FreeCashFlow</t>
  </si>
  <si>
    <t>GainLossOnInvestmentSecurities</t>
  </si>
  <si>
    <t>GainLossOnSaleOfBusiness</t>
  </si>
  <si>
    <t>IncomeTaxPaidSupplementalData</t>
  </si>
  <si>
    <t>InterestPaidSupplementalData</t>
  </si>
  <si>
    <t>InvestingCashFlow</t>
  </si>
  <si>
    <t>IssuanceOfCapitalStock</t>
  </si>
  <si>
    <t>IssuanceOfDebt</t>
  </si>
  <si>
    <t>LongTermDebtIssuance</t>
  </si>
  <si>
    <t>LongTermDebtPayments</t>
  </si>
  <si>
    <t>NetBusinessPurchaseAndSale</t>
  </si>
  <si>
    <t>NetCommonStockIssuance</t>
  </si>
  <si>
    <t>NetForeignCurrencyExchangeGainLoss</t>
  </si>
  <si>
    <t>NetIncomeFromContinuingOperations</t>
  </si>
  <si>
    <t>NetInvestmentPurchaseAndSale</t>
  </si>
  <si>
    <t>NetIssuancePaymentsOfDebt</t>
  </si>
  <si>
    <t>NetLongTermDebtIssuance</t>
  </si>
  <si>
    <t>NetOtherFinancingCharges</t>
  </si>
  <si>
    <t>NetOtherInvestingChanges</t>
  </si>
  <si>
    <t>NetPPEPurchaseAndSale</t>
  </si>
  <si>
    <t>NetPreferredStockIssuance</t>
  </si>
  <si>
    <t>OperatingCashFlow</t>
  </si>
  <si>
    <t>OperatingGainsLosses</t>
  </si>
  <si>
    <t>OtherCashAdjustmentOutsideChangeinCash</t>
  </si>
  <si>
    <t>OtherNonCashItems</t>
  </si>
  <si>
    <t>PreferredStockIssuance</t>
  </si>
  <si>
    <t>ProceedsFromStockOptionExercised</t>
  </si>
  <si>
    <t>PurchaseOfBusiness</t>
  </si>
  <si>
    <t>PurchaseOfInvestment</t>
  </si>
  <si>
    <t>PurchaseOfPPE</t>
  </si>
  <si>
    <t>RepaymentOfDebt</t>
  </si>
  <si>
    <t>RepurchaseOfCapitalStock</t>
  </si>
  <si>
    <t>SaleOfBusiness</t>
  </si>
  <si>
    <t>SaleOfInvestment</t>
  </si>
  <si>
    <t>SaleOfPPE</t>
  </si>
  <si>
    <t>StockBasedCompensation</t>
  </si>
  <si>
    <t>UnrealizedGainLossOnInvestmentSecurities</t>
  </si>
  <si>
    <t>AmortizationCashFlow</t>
  </si>
  <si>
    <t>AmortizationOfIntangibles</t>
  </si>
  <si>
    <t>CapitalExpenditureReported</t>
  </si>
  <si>
    <t>CashDividendsPaid</t>
  </si>
  <si>
    <t>ChangeInIncomeTaxPayable</t>
  </si>
  <si>
    <t>ChangeInInventory</t>
  </si>
  <si>
    <t>ChangeInTaxPayable</t>
  </si>
  <si>
    <t>CommonStockDividendPaid</t>
  </si>
  <si>
    <t>Depreciation</t>
  </si>
  <si>
    <t>GainLossOnSaleOfPPE</t>
  </si>
  <si>
    <t>NetShortTermDebtIssuance</t>
  </si>
  <si>
    <t>PensionAndEmployeeBenefitExpense</t>
  </si>
  <si>
    <t>ShortTermDebtIssuance</t>
  </si>
  <si>
    <t>ShortTermDebtPayments</t>
  </si>
  <si>
    <t>CashFromDiscontinuedFinancingActivities</t>
  </si>
  <si>
    <t>CashFromDiscontinuedInvestingActivities</t>
  </si>
  <si>
    <t>CashFromDiscontinuedOperatingActivities</t>
  </si>
  <si>
    <t>DividendsReceivedCFI</t>
  </si>
  <si>
    <t>PreferredStockDividendPaid</t>
  </si>
  <si>
    <t>PreferredStockPayments</t>
  </si>
  <si>
    <t>ProvisionandWriteOffofAssets</t>
  </si>
  <si>
    <t>NetIntangiblesPurchaseAndSale</t>
  </si>
  <si>
    <t>PurchaseOfIntangibles</t>
  </si>
  <si>
    <t>fullTimeEmployees</t>
  </si>
  <si>
    <t>website</t>
  </si>
  <si>
    <t>industry</t>
  </si>
  <si>
    <t>sector</t>
  </si>
  <si>
    <t>longBusinessSummary</t>
  </si>
  <si>
    <t>debtToEquity</t>
  </si>
  <si>
    <t>totalDebt</t>
  </si>
  <si>
    <t>ebitda</t>
  </si>
  <si>
    <t>operatingMargins</t>
  </si>
  <si>
    <t>revenueGrowth</t>
  </si>
  <si>
    <t>totalCashPerShare</t>
  </si>
  <si>
    <t>revenuePerShare</t>
  </si>
  <si>
    <t>totalCash</t>
  </si>
  <si>
    <t>returnOnAssets</t>
  </si>
  <si>
    <t>profitMargins</t>
  </si>
  <si>
    <t>grossProfits</t>
  </si>
  <si>
    <t>earningsGrowth</t>
  </si>
  <si>
    <t>freeCashflow</t>
  </si>
  <si>
    <t>returnOnEquity</t>
  </si>
  <si>
    <t>quickRatio</t>
  </si>
  <si>
    <t>currentRatio</t>
  </si>
  <si>
    <t>operatingCashflow</t>
  </si>
  <si>
    <t>previousClose</t>
  </si>
  <si>
    <t>dividendRate</t>
  </si>
  <si>
    <t>dividendYield</t>
  </si>
  <si>
    <t>exDividendDate</t>
  </si>
  <si>
    <t>fiveYearAvgDividendYield</t>
  </si>
  <si>
    <t>beta</t>
  </si>
  <si>
    <t>trailingPE</t>
  </si>
  <si>
    <t>forwardPE</t>
  </si>
  <si>
    <t>averageVolume10days</t>
  </si>
  <si>
    <t>fiftyTwoWeekLow</t>
  </si>
  <si>
    <t>fiftyTwoWeekHigh</t>
  </si>
  <si>
    <t>priceToSalesTrailing12Months</t>
  </si>
  <si>
    <t>trailingAnnualDividendRate</t>
  </si>
  <si>
    <t>trailingAnnualDividendYield</t>
  </si>
  <si>
    <t>marketCap</t>
  </si>
  <si>
    <t>sharesOutstanding</t>
  </si>
  <si>
    <t>bookValue</t>
  </si>
  <si>
    <t>priceToBook</t>
  </si>
  <si>
    <t>lastFiscalYearEnd</t>
  </si>
  <si>
    <t>nextFiscalYearEnd</t>
  </si>
  <si>
    <t>mostRecentQuarter</t>
  </si>
  <si>
    <t>pegRatio</t>
  </si>
  <si>
    <t>Communication Services</t>
  </si>
  <si>
    <t>Need to add to python formulas kernel</t>
  </si>
  <si>
    <t>Status</t>
  </si>
  <si>
    <t>asOfDate_Min</t>
  </si>
  <si>
    <t>asOfDate_Max</t>
  </si>
  <si>
    <t>Year</t>
  </si>
  <si>
    <t>Ticker:</t>
  </si>
  <si>
    <t>EBITDA (Lookup)</t>
  </si>
  <si>
    <t>Net Income (Lookup)</t>
  </si>
  <si>
    <t>Total Assets (Lookup)</t>
  </si>
  <si>
    <t>Total Liabilities (Lookup)</t>
  </si>
  <si>
    <t>Shareholder's Equity (Lookup)</t>
  </si>
  <si>
    <t>Other Liabilities</t>
  </si>
  <si>
    <t>Other Equity</t>
  </si>
  <si>
    <t>Gross Profit (Lookup)</t>
  </si>
  <si>
    <t>Pretax Income (Lookup)</t>
  </si>
  <si>
    <t>Cash from Operations (Lookup)</t>
  </si>
  <si>
    <t>Cash from Investing (Lookup)</t>
  </si>
  <si>
    <t>Cash from Financing (Lookup)</t>
  </si>
  <si>
    <t>Closing Cash Balance (Lookup)</t>
  </si>
  <si>
    <t>Next Fiscal Year End</t>
  </si>
  <si>
    <t>Current Accrued Expenses</t>
  </si>
  <si>
    <t>Other Current Assets</t>
  </si>
  <si>
    <t>Other Current Liabilities</t>
  </si>
  <si>
    <t>Other Short Term Investments</t>
  </si>
  <si>
    <t>Market Value/Share</t>
  </si>
  <si>
    <t>Version</t>
  </si>
  <si>
    <t>Change Made</t>
  </si>
  <si>
    <t>0.1.2</t>
  </si>
  <si>
    <t>Removed duplicate starting years</t>
  </si>
  <si>
    <t>0.1.3</t>
  </si>
  <si>
    <t>Updates to metrics, removed lower level details not easily reconciled or forecasted</t>
  </si>
  <si>
    <t>Total Expenses (Lookup)</t>
  </si>
  <si>
    <t>Idea</t>
  </si>
  <si>
    <t>#</t>
  </si>
  <si>
    <t>Can I write a function that looks for any count &gt;2 where STDEV is smallest (Cash:EBIT example)</t>
  </si>
  <si>
    <t>Gross PPE (Lookup)</t>
  </si>
  <si>
    <t>Add in plowback ratio as a metric to use for forecasting</t>
  </si>
  <si>
    <t>Total Current Assets</t>
  </si>
  <si>
    <t>Total Current Liabilities</t>
  </si>
  <si>
    <t>Beginning Cash Position (Lookup)</t>
  </si>
  <si>
    <t>Net Increase (decrease) in Cash (Lookup)</t>
  </si>
  <si>
    <t>Less: Changes in Working Capital (Lookup)</t>
  </si>
  <si>
    <t>Operating Gains/Losses</t>
  </si>
  <si>
    <t>Cash Dividends Paid</t>
  </si>
  <si>
    <t>Investments in CAPEX/Property &amp; Equipment</t>
  </si>
  <si>
    <t>Other Investing Cash Impacts</t>
  </si>
  <si>
    <t>Less: Sale of Business</t>
  </si>
  <si>
    <t>Depreciation &amp; Amortization (% of Revenue)</t>
  </si>
  <si>
    <t>&lt;= Create function that determines which STDEV is closer to zero and utilize that average</t>
  </si>
  <si>
    <t>Operating Expense</t>
  </si>
  <si>
    <t>Taxes (Lookup)</t>
  </si>
  <si>
    <t>Calc Tax Rate</t>
  </si>
  <si>
    <t>Operating Expense (% of Revenue)</t>
  </si>
  <si>
    <t>Margin %</t>
  </si>
  <si>
    <t>Net Income YoY Growth</t>
  </si>
  <si>
    <t>Total Current Assets (Lookup)</t>
  </si>
  <si>
    <t>Total Current Liabilities (Lookup)</t>
  </si>
  <si>
    <t>Other Non-Current Assets</t>
  </si>
  <si>
    <t>Accumulated Depreciation</t>
  </si>
  <si>
    <t>Other Receivables</t>
  </si>
  <si>
    <t>Current Debt/Capital Leases</t>
  </si>
  <si>
    <t>Current Deferred Liabilities</t>
  </si>
  <si>
    <t>Capital Lease Obligations</t>
  </si>
  <si>
    <t>Non-Current Deferred Liabilities</t>
  </si>
  <si>
    <t>Long-Term Provisions</t>
  </si>
  <si>
    <t>Common Stock</t>
  </si>
  <si>
    <t>Additional Paid-In Capital</t>
  </si>
  <si>
    <t>Less: Treasury Stock</t>
  </si>
  <si>
    <t>Minority Interest</t>
  </si>
  <si>
    <t>Gains Losses Not Affecting Retained Earnings</t>
  </si>
  <si>
    <t>Employee Benefits</t>
  </si>
  <si>
    <t>Current Retirement Benefits</t>
  </si>
  <si>
    <t>Trade and Other Payables Non-Current</t>
  </si>
  <si>
    <t>Derivative Product Liabilities</t>
  </si>
  <si>
    <t>Non Current Accrued Expenses</t>
  </si>
  <si>
    <t>Non Current Deferred Assets</t>
  </si>
  <si>
    <t>Investments And Advances</t>
  </si>
  <si>
    <t>Pension And Employee Benefit Expense</t>
  </si>
  <si>
    <t>Deferred Income Tax</t>
  </si>
  <si>
    <t>Income Tax Paid Supplemental Data</t>
  </si>
  <si>
    <t>Other Non Cash Items</t>
  </si>
  <si>
    <t>Provision and Write Off of Assets</t>
  </si>
  <si>
    <t>Stock Based Compensation</t>
  </si>
  <si>
    <t>Change In Other Working Capital</t>
  </si>
  <si>
    <t>EBT (Pretax Income)</t>
  </si>
  <si>
    <t>EBIT (Pretax Income + Interest)</t>
  </si>
  <si>
    <t>0.1.4</t>
  </si>
  <si>
    <t>Updates to forecast metrics, need to better forecast NWC (how to formulate current assets/liab)</t>
  </si>
  <si>
    <t>how to forecast operating gains/losses</t>
  </si>
  <si>
    <t>Current Accrued Expenses (% of COGS)</t>
  </si>
  <si>
    <t>Current Debt (% of Revenue)</t>
  </si>
  <si>
    <t>Other Current Liabilities (% of Revenue)</t>
  </si>
  <si>
    <t>Other Current Assets (% of Revenue)</t>
  </si>
  <si>
    <t>BS Cash to Revenue Ratio</t>
  </si>
  <si>
    <t>&lt;= Average</t>
  </si>
  <si>
    <t>need to correct formulas to use table referencing</t>
  </si>
  <si>
    <t>Cash Dividends Paid (% of Revenue)</t>
  </si>
  <si>
    <t>price_date</t>
  </si>
  <si>
    <t>open</t>
  </si>
  <si>
    <t>high</t>
  </si>
  <si>
    <t>low</t>
  </si>
  <si>
    <t>close</t>
  </si>
  <si>
    <t>volume</t>
  </si>
  <si>
    <t>adjclose</t>
  </si>
  <si>
    <t>Pull_Date</t>
  </si>
  <si>
    <t>percent_return</t>
  </si>
  <si>
    <t>open_close_diff</t>
  </si>
  <si>
    <t>open_high_diff</t>
  </si>
  <si>
    <t>day_of_week</t>
  </si>
  <si>
    <t>price_date_year</t>
  </si>
  <si>
    <t>^GSPC</t>
  </si>
  <si>
    <t>Wednesday</t>
  </si>
  <si>
    <t>Saturday</t>
  </si>
  <si>
    <t>Sunday</t>
  </si>
  <si>
    <t>Friday</t>
  </si>
  <si>
    <t>Monday</t>
  </si>
  <si>
    <t>Tuesday</t>
  </si>
  <si>
    <t>Thursday</t>
  </si>
  <si>
    <t>AvgReturn</t>
  </si>
  <si>
    <t>Yearly Average Return</t>
  </si>
  <si>
    <t>^TNX</t>
  </si>
  <si>
    <t>^TNX20240617</t>
  </si>
  <si>
    <t>need to correct python script for stock prices so that percent return restarts every new stock ticker (see YouTube video)</t>
  </si>
  <si>
    <t>dividends</t>
  </si>
  <si>
    <t>splits</t>
  </si>
  <si>
    <t>change_in_price</t>
  </si>
  <si>
    <t>Beta</t>
  </si>
  <si>
    <t>Avg Ticker Annual Growth</t>
  </si>
  <si>
    <t>Discounted Cash Flow Breakdown</t>
  </si>
  <si>
    <t>avgInflation</t>
  </si>
  <si>
    <r>
      <t xml:space="preserve">Perpetual Growth Rate </t>
    </r>
    <r>
      <rPr>
        <sz val="8"/>
        <color theme="1"/>
        <rFont val="Calibri"/>
        <family val="2"/>
        <scheme val="minor"/>
      </rPr>
      <t>(Default to Inflation Rate)</t>
    </r>
  </si>
  <si>
    <t>Breakeven growth rate (what growth rate would get the DCF price/share === current market price/share)</t>
  </si>
  <si>
    <t>0.1.5</t>
  </si>
  <si>
    <r>
      <t xml:space="preserve">correct: </t>
    </r>
    <r>
      <rPr>
        <sz val="11"/>
        <color rgb="FFFF0000"/>
        <rFont val="Calibri"/>
        <family val="2"/>
        <scheme val="minor"/>
      </rPr>
      <t>I53</t>
    </r>
    <r>
      <rPr>
        <sz val="11"/>
        <color theme="1"/>
        <rFont val="Calibri"/>
        <family val="2"/>
        <scheme val="minor"/>
      </rPr>
      <t xml:space="preserve">, </t>
    </r>
    <r>
      <rPr>
        <strike/>
        <sz val="11"/>
        <color theme="1"/>
        <rFont val="Calibri"/>
        <family val="2"/>
        <scheme val="minor"/>
      </rPr>
      <t>I161</t>
    </r>
    <r>
      <rPr>
        <sz val="11"/>
        <color theme="1"/>
        <rFont val="Calibri"/>
        <family val="2"/>
        <scheme val="minor"/>
      </rPr>
      <t xml:space="preserve">, </t>
    </r>
    <r>
      <rPr>
        <strike/>
        <sz val="11"/>
        <color theme="1"/>
        <rFont val="Calibri"/>
        <family val="2"/>
        <scheme val="minor"/>
      </rPr>
      <t>I155</t>
    </r>
    <r>
      <rPr>
        <sz val="11"/>
        <color theme="1"/>
        <rFont val="Calibri"/>
        <family val="2"/>
        <scheme val="minor"/>
      </rPr>
      <t xml:space="preserve">, </t>
    </r>
    <r>
      <rPr>
        <strike/>
        <sz val="11"/>
        <color theme="1"/>
        <rFont val="Calibri"/>
        <family val="2"/>
        <scheme val="minor"/>
      </rPr>
      <t>I166</t>
    </r>
  </si>
  <si>
    <t>Enterprise Value?</t>
  </si>
  <si>
    <t>EV?</t>
  </si>
  <si>
    <t>Total Debt</t>
  </si>
  <si>
    <t>0.1.7</t>
  </si>
  <si>
    <t>Added Enterprise Value calculation and EV / EBITDA multiple</t>
  </si>
  <si>
    <t>TotalOtherFinanceCost</t>
  </si>
  <si>
    <t>0.2.0</t>
  </si>
  <si>
    <t>Test with live data (S&amp;P 500 Stocks)</t>
  </si>
  <si>
    <t>0.2.1</t>
  </si>
  <si>
    <t>Remove unneccessary data rows from model</t>
  </si>
  <si>
    <t>Net Working Capital</t>
  </si>
  <si>
    <t>Revisit Debt &amp; Interest Schedule (Supporting Schedules)</t>
  </si>
  <si>
    <t>Complete</t>
  </si>
  <si>
    <t>Revisit Employee Benefits in Balance Sheet calculation</t>
  </si>
  <si>
    <t>Employee Benefits (% of Revenue)</t>
  </si>
  <si>
    <t>Revisit retained earnings calculation</t>
  </si>
  <si>
    <t>&lt;= Set to Zero</t>
  </si>
  <si>
    <t>Update TickerYears to filter out null TotalRevenue before determining Ticker Years</t>
  </si>
  <si>
    <t>0.2.2</t>
  </si>
  <si>
    <t>asOfYear</t>
  </si>
  <si>
    <t>Capital Expenditures (% of Revenue)</t>
  </si>
  <si>
    <t>Fix Other Current Assets calculation, ratio, and forecast</t>
  </si>
  <si>
    <t>today</t>
  </si>
  <si>
    <t>Total Revenue</t>
  </si>
  <si>
    <t>Technology</t>
  </si>
  <si>
    <t>Discount Rate (CAPM)</t>
  </si>
  <si>
    <t>x</t>
  </si>
  <si>
    <t>^GSPC20240723</t>
  </si>
  <si>
    <t>targetMeanPrice</t>
  </si>
  <si>
    <t>Healthcare</t>
  </si>
  <si>
    <t>PreferredStockEquity</t>
  </si>
  <si>
    <t>AmortizationOfSecurities</t>
  </si>
  <si>
    <t>NetInvestmentPropertiesPurchaseAndSale</t>
  </si>
  <si>
    <t>SaleOfInvestmentProperties</t>
  </si>
  <si>
    <t>Financial Services</t>
  </si>
  <si>
    <t>InsuranceAndClaims</t>
  </si>
  <si>
    <t>DuefromRelatedPartiesCurrent</t>
  </si>
  <si>
    <t>Banks - Regional</t>
  </si>
  <si>
    <t>ROS</t>
  </si>
  <si>
    <t>DuefromRelatedPartiesNonCurrent</t>
  </si>
  <si>
    <t>ChangeInInterestPayable</t>
  </si>
  <si>
    <t>Software - Application</t>
  </si>
  <si>
    <t>DepreciationIncomeStatement</t>
  </si>
  <si>
    <t>TMDX20240909</t>
  </si>
  <si>
    <t>TMDX</t>
  </si>
  <si>
    <t>APPN20240909</t>
  </si>
  <si>
    <t>APPN</t>
  </si>
  <si>
    <t>MSTR20240909</t>
  </si>
  <si>
    <t>MSTR</t>
  </si>
  <si>
    <t>SSTK20240909</t>
  </si>
  <si>
    <t>SSTK</t>
  </si>
  <si>
    <t>HASI20240909</t>
  </si>
  <si>
    <t>HASI</t>
  </si>
  <si>
    <t>CPSS20240909</t>
  </si>
  <si>
    <t>CPSS</t>
  </si>
  <si>
    <t>GWRS20240909</t>
  </si>
  <si>
    <t>GWRS</t>
  </si>
  <si>
    <t>PRVA20240909</t>
  </si>
  <si>
    <t>PRVA</t>
  </si>
  <si>
    <t>ORRF20240909</t>
  </si>
  <si>
    <t>ORRF</t>
  </si>
  <si>
    <t>IDCC20240909</t>
  </si>
  <si>
    <t>IDCC</t>
  </si>
  <si>
    <t>InvestmentProperties</t>
  </si>
  <si>
    <t>SaleOfIntangibles</t>
  </si>
  <si>
    <t>https://www.transmedics.com</t>
  </si>
  <si>
    <t>Medical Devices</t>
  </si>
  <si>
    <t>TransMedics Group, Inc., a commercial-stage medical technology company, engages in transforming organ transplant therapy for end-stage organ failure patients in the United States and internationally. The company offers Organ Care System (OCS), a portable organ perfusion, optimization, and monitoring system that utilizes its proprietary and customized technology to replicate near-physiologic conditions for donor organs outside of the human body. Its OCS includes OCS LUNG for the preservation of standard criteria donor lungs for double-lung transplantation; OCS Heart, a technology for preservation of DBD donor hearts deemed unsuitable due to limitations of cold storage and for ex vivo reanimation, functional monitoring, and beating-heart preservation of donation-after-circulatory-death hearts; and OCS Liver for the preservation of DBD and DCD of donor livers. The company also developed national OCS program, a turnkey solution for outsourced organ retrieval; and provides OCS organ management and logistics services, including aviation and ground transportation, and other coordination activity. The company was founded in 1998 and is headquartered in Andover, Massachusetts.</t>
  </si>
  <si>
    <t>https://www.appian.com</t>
  </si>
  <si>
    <t>Software - Infrastructure</t>
  </si>
  <si>
    <t>Appian Corporation, a software company that provides low-code design platform in the United States, Mexico, Portugal, and internationally. The company's platform offers artificial intelligence, process automation, data fabric, and process mining. It provides The Appian Platform, an integrated automation platform that enables organizations to design, automate, and optimize mission-critical business processes. The company also offers professional and customer support services. It serves to financial services, government, life sciences, insurance, manufacturing, energy, healthcare, telecommunications, and transportation industries. Appian Corporation was incorporated in 1999 and is headquartered in McLean, Virginia.</t>
  </si>
  <si>
    <t>https://www.microstrategy.com</t>
  </si>
  <si>
    <t>MicroStrategy Incorporated provides artificial intelligence-powered enterprise analytics software and services in the United States, Europe, the Middle East, Africa, and internationally. It offers MicroStrategy ONE, which provides non-technical users with the ability to directly access novel and actionable insights for decision-making; and MicroStrategy Cloud for Government service, which offers always-on threat monitoring that meets the rigorous technical and regulatory needs of governments and financial institutions. The company also provides MicroStrategy Support that helps customers achieve their system availability and usage goals through highly responsive troubleshooting and assistance; MicroStrategy Consulting, which provides architecture and implementation services to help customers realize their desired results; and MicroStrategy Education that offers free and paid learning options. In addition, it engages in the development of bitcoin. The company offers its services through direct sales force and channel partners. It serves the U.S. government, state and local governments, and government agencies, as well as a range of industries, including retail, banking, technology, manufacturing, insurance, consulting, healthcare, telecommunications, and the public sector. The company was incorporated in 1989 and is headquartered in Tysons Corner, Virginia.</t>
  </si>
  <si>
    <t>https://www.shutterstock.com</t>
  </si>
  <si>
    <t>Internet Content &amp; Information</t>
  </si>
  <si>
    <t>Shutterstock, Inc. provides platform to connect brands and businesses to high quality content in North America, Europe, and internationally. The company offers image services consisting of photographs, vectors, and illustrations, which is used in visual communications, such as websites, digital and print marketing materials, corporate communications, books, publications, and others; footage services, including video clips, filmed by industry experts and cinema grade video effects in HD and 4K formats that are integrated into websites, social media, marketing campaigns, and cinematic productions; and music services comprising music tracks and sound effects, which are used to complement images and footage. It also provides 3 dimensional models consisting of 3D models used in various industries, such as advertising, media and video production, gaming, retail, education, design, and architecture; and generative AI content comprising images generated from algorithms trained with ethically sourced content. The company offers its services under the Shutterstock, Pond5, TurboSquid, PicMonkey, PremiumBeat, Splash News, Bigstock, and Offset brand names. In addition, it operates a collection of graphics interchange format visuals and stickers that supplies casual conversational content. The company serves corporate professionals and organizations, media and broadcast companies, and small and medium-sized businesses, and individual creators through digital, live sales, and client management channels. Shutterstock, Inc. was founded in 2003 and is headquartered in New York, New York.</t>
  </si>
  <si>
    <t>https://www.hasi.com</t>
  </si>
  <si>
    <t>Real Estate Services</t>
  </si>
  <si>
    <t>Real Estate</t>
  </si>
  <si>
    <t>HA Sustainable Infrastructure Capital, Inc., through its subsidiaries, engages in the investment in energy efficiency, renewable energy, and sustainable infrastructure markets in the United States. The company's portfolio includes equity investments, commercial and government receivables, real estate, and debt securities. It invests in climate solution, including Behind-the-Meter that distributes energy projects which reduce energy usage or cost through heating, ventilation, and air conditioning systems, as well as lighting, energy controls, roofs, windows, building shells, and/or combined heat and power systems; Grid-Connected, a renewable energy projects that deploy cleaner energy sources, such as solar, solar-plus-storage, and wind to generate power production; and Fuels, Transport, and Nature, a range of real assets spanning high-emitting economic sectors other than the power grid such as transportation and fuels comprising renewable natural gas plants, transportation fleet enhancements, ecological restoration, and other projects. The company was formerly known as Hannon Armstrong Sustainable Infrastructure Capital, Inc. and changed its name to HA Sustainable Infrastructure Capital, Inc. in June 2024. HA Sustainable Infrastructure Capital, Inc. was founded in 1981 and is headquartered in Annapolis, Maryland.</t>
  </si>
  <si>
    <t>https://www.consumerportfolio.com</t>
  </si>
  <si>
    <t>Credit Services</t>
  </si>
  <si>
    <t>Consumer Portfolio Services, Inc. operates as a specialty finance company in the United States. It is involved in the purchase and service of retail automobile contracts originated by franchised automobile dealers and select independent dealers in the sale of new and used automobiles, light trucks, and passenger vans. The company, through its automobile contract purchases, offers indirect financing to the customers of dealers with limited credit histories or past credit problems. It also serves as an alternative source of financing for dealers, facilitating sales to customers who are not able to obtain financing from commercial banks, credit unions, and the captive finance companies. In addition, the company acquires installment purchase contracts in merger and acquisition transactions; purchases immaterial amounts of vehicle purchase money loans from non-affiliated lenders. It services its automobile contracts through its branches in California, Nevada, Virginia, Florida, and Illinois. The company was incorporated in 1991 and is based in Las Vegas, Nevada.</t>
  </si>
  <si>
    <t>https://www.gwresources.com</t>
  </si>
  <si>
    <t>Utilities - Regulated Water</t>
  </si>
  <si>
    <t>Utilities</t>
  </si>
  <si>
    <t>Global Water Resources, Inc., a water resource management company, owns, operates, and manages regulated water, wastewater, and recycled water systems primarily in metropolitan Phoenix and Tucson, Arizona. It serves approximately 82,000 people in approximately 32,000 homes. The company was founded in 2003 and is based in Phoenix, Arizona.</t>
  </si>
  <si>
    <t>https://www.priviahealth.com</t>
  </si>
  <si>
    <t>Health Information Services</t>
  </si>
  <si>
    <t>Privia Health Group, Inc. operates as a national physician-enablement company in the United States. The company collaborates with medical groups, health plans, and health systems to optimize physician practices, enhance patient experiences, and reward doctors for delivering care in-person and virtual settings. It offers technology and population health tools to enhance independent providers' workflows; management services organization that enable providers to focus on their patients by reducing administrative work; single-TIN medical group that facilitates payer negotiation, clinical integration and alignment of financial incentives; accountable care organization, which engage patients, reduce inappropriate utilization, and enhance coordination and patient quality metrics to drive value-based care; and network for purchasers and payers that enable providers to connect with new patient populations and create custom contracts. The company was founded in 2007 and is headquartered in Arlington, Virginia.</t>
  </si>
  <si>
    <t>https://www.orrstown.com</t>
  </si>
  <si>
    <t>Orrstown Financial Services, Inc. operates as the financial holding company for Orrstown Bank that provides commercial banking and financial advisory services to retail, commercial, non-profit, and government clients in the United States. It accepts various deposits, including checking, savings, time, demand, and money market deposits, as well as certificates of deposit. The company also offers commercial loans, such as commercial real estate, equipment, construction, working capital, and other commercial purpose loans, as well as industrial loans; consumer loans, such as home equity and other consumer loans, as well as home equity lines of credit; residential mortgage loans; acquisition and development loans; municipal loans; and installment and other loans. In addition, it provides renders services as trustee, executor, administrator, guardian, managing agent, custodian, and investment advisor, as well as other fiduciary services under the Orrstown Financial Advisors name; and retail brokerage services through a third-party broker/dealer arrangement. Further, the company offers fiduciary, investment advisory, insurance, and brokerage services. Orrstown Financial Services, Inc. was founded in 1919 and is headquartered in Shippensburg, Pennsylvania.</t>
  </si>
  <si>
    <t>https://www.interdigital.com</t>
  </si>
  <si>
    <t>InterDigital, Inc. operates as a global research and development company with focus primarily on wireless, visual, artificial intelligence (AI), and related technologies. The company engages in the design and development of technologies that enable connected in a range of communications and entertainment products and services, which are licensed to companies providing such products and services, including makers of wireless communications, consumer electronics, IoT devices, and cars and other motor vehicles, as well as providers of cloud-based services, such as video streaming. It designs and develops a range of innovations for use in digital cellular and wireless products and networks, including 2G, 3G, 4G, 5G, and IEEE 802-related products and networks. The company also develops cellular technologies, such as technologies related to CDMA, TDMA, OFDM/OFDMA, and MIMO for use in 2G, 3G, 4G, and 5G wireless networks, as well as mobile terminal devices; and 3GPP technology portfolio in 5G, 5G, advanced and 6G, as well as technologies for automobiles, wearables, smart homes, drones, and other connected consumer electronic products. In addition, it provides video coding and transmission technologies; and engages in the research and development of artificial intelligence and machine learning solutions. Further, the company's patented technologies are used in various products that include smartphones, tablets, consumer electronics, and base stations; televisions, laptops, gaming consoles, set-top boxes, streaming devices, and connected automobiles. InterDigital, Inc. was incorporated in 1972 and is headquartered in Wilmington, 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</si>
</sst>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_(* #,##0.0000_);_(* \(#,##0.0000\);_(* &quot;-&quot;??_);_(@_)"/>
    <numFmt numFmtId="169" formatCode="0.000"/>
    <numFmt numFmtId="170" formatCode="0.0000"/>
    <numFmt numFmtId="171" formatCode="0.000%"/>
    <numFmt numFmtId="172" formatCode="_(* #,##0.000000_);_(* \(#,##0.000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6"/>
      <color theme="0"/>
      <name val="Calibri"/>
      <family val="2"/>
      <scheme val="minor"/>
    </font>
    <font>
      <sz val="9"/>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8"/>
      <color theme="1"/>
      <name val="Calibri"/>
      <family val="2"/>
      <scheme val="minor"/>
    </font>
    <font>
      <sz val="11"/>
      <color rgb="FFFF0000"/>
      <name val="Calibri"/>
      <family val="2"/>
      <scheme val="minor"/>
    </font>
    <font>
      <i/>
      <sz val="11"/>
      <color rgb="FFFF0000"/>
      <name val="Calibri"/>
      <family val="2"/>
      <scheme val="minor"/>
    </font>
    <font>
      <sz val="12"/>
      <color theme="0"/>
      <name val="Calibri"/>
      <family val="2"/>
      <scheme val="minor"/>
    </font>
    <font>
      <sz val="16"/>
      <name val="Calibri"/>
      <family val="2"/>
      <scheme val="minor"/>
    </font>
    <font>
      <sz val="11"/>
      <name val="Calibri"/>
      <family val="2"/>
      <scheme val="minor"/>
    </font>
    <font>
      <sz val="8"/>
      <color rgb="FFFF0000"/>
      <name val="Calibri"/>
      <family val="2"/>
      <scheme val="minor"/>
    </font>
    <font>
      <b/>
      <sz val="11"/>
      <name val="Calibri"/>
      <family val="2"/>
      <scheme val="minor"/>
    </font>
    <font>
      <b/>
      <sz val="11"/>
      <color rgb="FFFF0000"/>
      <name val="Calibri"/>
      <family val="2"/>
      <scheme val="minor"/>
    </font>
    <font>
      <i/>
      <sz val="11"/>
      <name val="Calibri"/>
      <family val="2"/>
      <scheme val="minor"/>
    </font>
    <font>
      <sz val="11"/>
      <color theme="0"/>
      <name val="Calibri"/>
      <family val="2"/>
      <scheme val="minor"/>
    </font>
    <font>
      <strike/>
      <sz val="11"/>
      <color theme="1"/>
      <name val="Calibri"/>
      <family val="2"/>
      <scheme val="minor"/>
    </font>
    <font>
      <sz val="11"/>
      <color rgb="FF7030A0"/>
      <name val="Calibri"/>
      <family val="2"/>
      <scheme val="minor"/>
    </font>
  </fonts>
  <fills count="15">
    <fill>
      <patternFill patternType="none"/>
    </fill>
    <fill>
      <patternFill patternType="gray125"/>
    </fill>
    <fill>
      <patternFill patternType="solid">
        <fgColor rgb="FF00306C"/>
        <bgColor indexed="64"/>
      </patternFill>
    </fill>
    <fill>
      <patternFill patternType="solid">
        <fgColor rgb="FF009999"/>
        <bgColor indexed="64"/>
      </patternFill>
    </fill>
    <fill>
      <patternFill patternType="solid">
        <fgColor theme="5"/>
        <bgColor indexed="64"/>
      </patternFill>
    </fill>
    <fill>
      <patternFill patternType="solid">
        <fgColor theme="2"/>
        <bgColor indexed="64"/>
      </patternFill>
    </fill>
    <fill>
      <patternFill patternType="solid">
        <fgColor theme="7" tint="0.79998168889431442"/>
        <bgColor indexed="64"/>
      </patternFill>
    </fill>
    <fill>
      <patternFill patternType="solid">
        <fgColor rgb="FFC0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rgb="FF00B050"/>
        <bgColor indexed="64"/>
      </patternFill>
    </fill>
    <fill>
      <patternFill patternType="solid">
        <fgColor rgb="FFFFC000"/>
        <bgColor indexed="64"/>
      </patternFill>
    </fill>
  </fills>
  <borders count="9">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58">
    <xf numFmtId="0" fontId="0" fillId="0" borderId="0" xfId="0"/>
    <xf numFmtId="0" fontId="6" fillId="0" borderId="1" xfId="0" applyFont="1" applyBorder="1"/>
    <xf numFmtId="0" fontId="2" fillId="4" borderId="0" xfId="0" applyFont="1" applyFill="1"/>
    <xf numFmtId="0" fontId="3" fillId="0" borderId="0" xfId="0" applyFont="1"/>
    <xf numFmtId="0" fontId="0" fillId="0" borderId="2" xfId="0" applyBorder="1"/>
    <xf numFmtId="0" fontId="3" fillId="0" borderId="3" xfId="0" applyFont="1" applyBorder="1"/>
    <xf numFmtId="0" fontId="3" fillId="0" borderId="1" xfId="0" applyFont="1" applyBorder="1"/>
    <xf numFmtId="0" fontId="7" fillId="0" borderId="0" xfId="0" applyFont="1"/>
    <xf numFmtId="164" fontId="0" fillId="0" borderId="0" xfId="1" applyNumberFormat="1" applyFont="1"/>
    <xf numFmtId="165" fontId="6" fillId="0" borderId="1" xfId="1" applyNumberFormat="1" applyFont="1" applyBorder="1"/>
    <xf numFmtId="165" fontId="0" fillId="0" borderId="0" xfId="1" applyNumberFormat="1" applyFont="1"/>
    <xf numFmtId="165" fontId="2" fillId="4" borderId="0" xfId="1" applyNumberFormat="1" applyFont="1" applyFill="1"/>
    <xf numFmtId="165" fontId="3" fillId="0" borderId="0" xfId="1" applyNumberFormat="1" applyFont="1"/>
    <xf numFmtId="165" fontId="0" fillId="0" borderId="2" xfId="1" applyNumberFormat="1" applyFont="1" applyBorder="1"/>
    <xf numFmtId="165" fontId="3" fillId="0" borderId="3" xfId="1" applyNumberFormat="1" applyFont="1" applyBorder="1"/>
    <xf numFmtId="165" fontId="3" fillId="0" borderId="1" xfId="1" applyNumberFormat="1" applyFont="1" applyBorder="1"/>
    <xf numFmtId="165" fontId="7" fillId="0" borderId="0" xfId="1" applyNumberFormat="1" applyFont="1"/>
    <xf numFmtId="165" fontId="0" fillId="5" borderId="0" xfId="1" applyNumberFormat="1" applyFont="1" applyFill="1"/>
    <xf numFmtId="165" fontId="0" fillId="5" borderId="2" xfId="1" applyNumberFormat="1" applyFont="1" applyFill="1" applyBorder="1"/>
    <xf numFmtId="0" fontId="10" fillId="0" borderId="0" xfId="2"/>
    <xf numFmtId="9" fontId="0" fillId="0" borderId="0" xfId="0" applyNumberFormat="1"/>
    <xf numFmtId="0" fontId="0" fillId="0" borderId="0" xfId="0" applyAlignment="1">
      <alignment horizontal="right"/>
    </xf>
    <xf numFmtId="14" fontId="0" fillId="0" borderId="0" xfId="0" applyNumberFormat="1"/>
    <xf numFmtId="6" fontId="0" fillId="0" borderId="0" xfId="0" applyNumberFormat="1"/>
    <xf numFmtId="3" fontId="0" fillId="0" borderId="0" xfId="0" applyNumberFormat="1"/>
    <xf numFmtId="0" fontId="0" fillId="0" borderId="0" xfId="1" applyNumberFormat="1" applyFont="1"/>
    <xf numFmtId="164" fontId="0" fillId="5" borderId="0" xfId="1" applyNumberFormat="1" applyFont="1" applyFill="1"/>
    <xf numFmtId="14" fontId="0" fillId="5" borderId="0" xfId="0" applyNumberFormat="1" applyFill="1"/>
    <xf numFmtId="0" fontId="2" fillId="3" borderId="0" xfId="1" applyNumberFormat="1" applyFont="1" applyFill="1"/>
    <xf numFmtId="0" fontId="2" fillId="2" borderId="0" xfId="1" applyNumberFormat="1" applyFont="1" applyFill="1"/>
    <xf numFmtId="166" fontId="0" fillId="6" borderId="0" xfId="3" applyNumberFormat="1" applyFont="1" applyFill="1"/>
    <xf numFmtId="165" fontId="0" fillId="6" borderId="0" xfId="1" applyNumberFormat="1" applyFont="1" applyFill="1"/>
    <xf numFmtId="0" fontId="3" fillId="0" borderId="2" xfId="0" applyFont="1" applyBorder="1"/>
    <xf numFmtId="9" fontId="0" fillId="0" borderId="0" xfId="3" applyFont="1" applyAlignment="1">
      <alignment horizontal="center"/>
    </xf>
    <xf numFmtId="165" fontId="3" fillId="0" borderId="2" xfId="1" applyNumberFormat="1" applyFont="1" applyBorder="1"/>
    <xf numFmtId="165" fontId="0" fillId="0" borderId="0" xfId="0" applyNumberFormat="1"/>
    <xf numFmtId="0" fontId="2" fillId="2" borderId="4" xfId="0" applyFont="1" applyFill="1" applyBorder="1"/>
    <xf numFmtId="0" fontId="0" fillId="0" borderId="4" xfId="0" applyBorder="1"/>
    <xf numFmtId="0" fontId="0" fillId="0" borderId="4" xfId="0" quotePrefix="1" applyBorder="1"/>
    <xf numFmtId="165" fontId="0" fillId="6" borderId="2" xfId="1" applyNumberFormat="1" applyFont="1" applyFill="1" applyBorder="1"/>
    <xf numFmtId="165" fontId="0" fillId="0" borderId="2" xfId="0" applyNumberFormat="1" applyBorder="1"/>
    <xf numFmtId="43" fontId="0" fillId="0" borderId="0" xfId="1" applyFont="1"/>
    <xf numFmtId="167" fontId="0" fillId="0" borderId="0" xfId="1" applyNumberFormat="1" applyFont="1"/>
    <xf numFmtId="165" fontId="11" fillId="0" borderId="0" xfId="1" applyNumberFormat="1" applyFont="1"/>
    <xf numFmtId="44" fontId="0" fillId="0" borderId="0" xfId="4" applyFont="1"/>
    <xf numFmtId="22" fontId="0" fillId="0" borderId="0" xfId="0" applyNumberFormat="1"/>
    <xf numFmtId="0" fontId="13" fillId="0" borderId="0" xfId="0" applyFont="1"/>
    <xf numFmtId="166" fontId="0" fillId="5" borderId="0" xfId="3" applyNumberFormat="1" applyFont="1" applyFill="1"/>
    <xf numFmtId="165" fontId="0" fillId="0" borderId="0" xfId="1" applyNumberFormat="1" applyFont="1" applyFill="1"/>
    <xf numFmtId="0" fontId="2" fillId="7" borderId="0" xfId="0" applyFont="1" applyFill="1" applyAlignment="1">
      <alignment horizontal="center"/>
    </xf>
    <xf numFmtId="0" fontId="14" fillId="2" borderId="0" xfId="0" applyFont="1" applyFill="1" applyAlignment="1">
      <alignment horizontal="center" vertical="center"/>
    </xf>
    <xf numFmtId="0" fontId="0" fillId="8" borderId="0" xfId="0" applyFill="1"/>
    <xf numFmtId="0" fontId="3" fillId="5" borderId="1" xfId="0" applyFont="1" applyFill="1" applyBorder="1"/>
    <xf numFmtId="165" fontId="3" fillId="5" borderId="1" xfId="1" applyNumberFormat="1" applyFont="1" applyFill="1" applyBorder="1"/>
    <xf numFmtId="165" fontId="3" fillId="0" borderId="0" xfId="1" applyNumberFormat="1" applyFont="1" applyBorder="1"/>
    <xf numFmtId="0" fontId="16" fillId="0" borderId="0" xfId="0" applyFont="1"/>
    <xf numFmtId="0" fontId="3" fillId="0" borderId="7" xfId="0" applyFont="1" applyBorder="1"/>
    <xf numFmtId="165" fontId="3" fillId="0" borderId="7" xfId="1" applyNumberFormat="1" applyFont="1" applyBorder="1"/>
    <xf numFmtId="0" fontId="0" fillId="9" borderId="0" xfId="0" applyFill="1"/>
    <xf numFmtId="165" fontId="0" fillId="0" borderId="0" xfId="1" applyNumberFormat="1" applyFont="1" applyBorder="1"/>
    <xf numFmtId="165" fontId="0" fillId="9" borderId="0" xfId="1" applyNumberFormat="1" applyFont="1" applyFill="1" applyBorder="1"/>
    <xf numFmtId="0" fontId="3" fillId="9" borderId="0" xfId="0" applyFont="1" applyFill="1"/>
    <xf numFmtId="166" fontId="12" fillId="5" borderId="0" xfId="3" applyNumberFormat="1" applyFont="1" applyFill="1"/>
    <xf numFmtId="165" fontId="12" fillId="5" borderId="0" xfId="1" applyNumberFormat="1" applyFont="1" applyFill="1"/>
    <xf numFmtId="165" fontId="12" fillId="6" borderId="0" xfId="1" applyNumberFormat="1" applyFont="1" applyFill="1"/>
    <xf numFmtId="165" fontId="12" fillId="0" borderId="0" xfId="1" applyNumberFormat="1" applyFont="1"/>
    <xf numFmtId="165" fontId="12" fillId="0" borderId="0" xfId="1" applyNumberFormat="1" applyFont="1" applyFill="1"/>
    <xf numFmtId="0" fontId="12" fillId="0" borderId="0" xfId="0" applyFont="1"/>
    <xf numFmtId="166" fontId="16" fillId="5" borderId="0" xfId="3" applyNumberFormat="1" applyFont="1" applyFill="1"/>
    <xf numFmtId="14" fontId="16" fillId="0" borderId="0" xfId="0" applyNumberFormat="1" applyFont="1"/>
    <xf numFmtId="166" fontId="16" fillId="0" borderId="0" xfId="3" applyNumberFormat="1" applyFont="1"/>
    <xf numFmtId="8" fontId="16" fillId="0" borderId="0" xfId="0" applyNumberFormat="1" applyFont="1"/>
    <xf numFmtId="3" fontId="16" fillId="0" borderId="0" xfId="0" applyNumberFormat="1" applyFont="1"/>
    <xf numFmtId="165" fontId="0" fillId="5" borderId="0" xfId="1" applyNumberFormat="1" applyFont="1" applyFill="1" applyBorder="1"/>
    <xf numFmtId="0" fontId="0" fillId="0" borderId="8" xfId="0" applyBorder="1"/>
    <xf numFmtId="165" fontId="0" fillId="0" borderId="8" xfId="1" applyNumberFormat="1" applyFont="1" applyBorder="1"/>
    <xf numFmtId="43" fontId="0" fillId="0" borderId="0" xfId="0" applyNumberFormat="1"/>
    <xf numFmtId="0" fontId="17" fillId="0" borderId="0" xfId="0" applyFont="1"/>
    <xf numFmtId="166" fontId="0" fillId="0" borderId="0" xfId="3" applyNumberFormat="1" applyFont="1"/>
    <xf numFmtId="10" fontId="0" fillId="0" borderId="0" xfId="3" applyNumberFormat="1" applyFont="1"/>
    <xf numFmtId="0" fontId="0" fillId="0" borderId="0" xfId="0" applyAlignment="1">
      <alignment horizontal="center"/>
    </xf>
    <xf numFmtId="166" fontId="16" fillId="6" borderId="0" xfId="3" applyNumberFormat="1" applyFont="1" applyFill="1"/>
    <xf numFmtId="165" fontId="1" fillId="0" borderId="0" xfId="1" applyNumberFormat="1" applyFont="1"/>
    <xf numFmtId="164" fontId="16" fillId="6" borderId="0" xfId="1" applyNumberFormat="1" applyFont="1" applyFill="1"/>
    <xf numFmtId="168" fontId="0" fillId="0" borderId="0" xfId="1" applyNumberFormat="1" applyFont="1"/>
    <xf numFmtId="165" fontId="16" fillId="0" borderId="0" xfId="1" applyNumberFormat="1" applyFont="1"/>
    <xf numFmtId="169" fontId="0" fillId="0" borderId="0" xfId="0" applyNumberFormat="1"/>
    <xf numFmtId="165" fontId="12" fillId="5" borderId="0" xfId="1" applyNumberFormat="1" applyFont="1" applyFill="1" applyBorder="1"/>
    <xf numFmtId="165" fontId="19" fillId="0" borderId="7" xfId="1" applyNumberFormat="1" applyFont="1" applyBorder="1"/>
    <xf numFmtId="165" fontId="3" fillId="9" borderId="0" xfId="1" applyNumberFormat="1" applyFont="1" applyFill="1" applyBorder="1"/>
    <xf numFmtId="165" fontId="3" fillId="0" borderId="0" xfId="1" applyNumberFormat="1" applyFont="1" applyFill="1" applyBorder="1"/>
    <xf numFmtId="10" fontId="7" fillId="0" borderId="0" xfId="3" applyNumberFormat="1" applyFont="1"/>
    <xf numFmtId="10" fontId="3" fillId="0" borderId="0" xfId="3" applyNumberFormat="1" applyFont="1"/>
    <xf numFmtId="165" fontId="18" fillId="0" borderId="0" xfId="1" applyNumberFormat="1" applyFont="1"/>
    <xf numFmtId="165" fontId="16" fillId="0" borderId="0" xfId="1" applyNumberFormat="1" applyFont="1" applyBorder="1"/>
    <xf numFmtId="165" fontId="18" fillId="0" borderId="1" xfId="1" applyNumberFormat="1" applyFont="1" applyBorder="1"/>
    <xf numFmtId="165" fontId="18" fillId="5" borderId="1" xfId="1" applyNumberFormat="1" applyFont="1" applyFill="1" applyBorder="1"/>
    <xf numFmtId="165" fontId="18" fillId="0" borderId="0" xfId="1" applyNumberFormat="1" applyFont="1" applyFill="1" applyBorder="1"/>
    <xf numFmtId="10" fontId="20" fillId="0" borderId="0" xfId="3" applyNumberFormat="1" applyFont="1"/>
    <xf numFmtId="170" fontId="0" fillId="0" borderId="0" xfId="0" applyNumberFormat="1"/>
    <xf numFmtId="0" fontId="18" fillId="0" borderId="3" xfId="0" applyFont="1" applyBorder="1"/>
    <xf numFmtId="165" fontId="18" fillId="0" borderId="3" xfId="1" applyNumberFormat="1" applyFont="1" applyFill="1" applyBorder="1"/>
    <xf numFmtId="0" fontId="0" fillId="0" borderId="3" xfId="0" applyBorder="1"/>
    <xf numFmtId="165" fontId="0" fillId="0" borderId="3" xfId="1" applyNumberFormat="1" applyFont="1" applyBorder="1"/>
    <xf numFmtId="165" fontId="0" fillId="3" borderId="0" xfId="1" applyNumberFormat="1" applyFont="1" applyFill="1"/>
    <xf numFmtId="0" fontId="3" fillId="0" borderId="0" xfId="0" applyFont="1" applyAlignment="1">
      <alignment horizontal="right"/>
    </xf>
    <xf numFmtId="165" fontId="12" fillId="0" borderId="0" xfId="0" applyNumberFormat="1" applyFont="1"/>
    <xf numFmtId="165" fontId="21" fillId="0" borderId="0" xfId="1" applyNumberFormat="1" applyFont="1"/>
    <xf numFmtId="165" fontId="0" fillId="0" borderId="0" xfId="1" applyNumberFormat="1" applyFont="1" applyFill="1" applyBorder="1"/>
    <xf numFmtId="0" fontId="3" fillId="8" borderId="7" xfId="0" applyFont="1" applyFill="1" applyBorder="1"/>
    <xf numFmtId="165" fontId="3" fillId="8" borderId="7" xfId="1" applyNumberFormat="1" applyFont="1" applyFill="1" applyBorder="1"/>
    <xf numFmtId="165" fontId="16" fillId="0" borderId="0" xfId="1" applyNumberFormat="1" applyFont="1" applyFill="1" applyBorder="1"/>
    <xf numFmtId="165" fontId="19" fillId="0" borderId="0" xfId="1" applyNumberFormat="1" applyFont="1" applyBorder="1"/>
    <xf numFmtId="165" fontId="16" fillId="5" borderId="0" xfId="1" applyNumberFormat="1" applyFont="1" applyFill="1"/>
    <xf numFmtId="0" fontId="11" fillId="0" borderId="0" xfId="0" applyFont="1"/>
    <xf numFmtId="165" fontId="0" fillId="0" borderId="2" xfId="1" applyNumberFormat="1" applyFont="1" applyFill="1" applyBorder="1"/>
    <xf numFmtId="171" fontId="0" fillId="0" borderId="0" xfId="3" applyNumberFormat="1" applyFont="1"/>
    <xf numFmtId="0" fontId="18" fillId="11" borderId="0" xfId="0" applyFont="1" applyFill="1"/>
    <xf numFmtId="165" fontId="18" fillId="11" borderId="0" xfId="1" applyNumberFormat="1" applyFont="1" applyFill="1"/>
    <xf numFmtId="10" fontId="16" fillId="0" borderId="0" xfId="0" applyNumberFormat="1" applyFont="1"/>
    <xf numFmtId="0" fontId="2" fillId="12" borderId="0" xfId="1" applyNumberFormat="1" applyFont="1" applyFill="1"/>
    <xf numFmtId="0" fontId="22" fillId="0" borderId="0" xfId="0" applyFont="1"/>
    <xf numFmtId="0" fontId="22" fillId="0" borderId="0" xfId="0" applyFont="1" applyAlignment="1">
      <alignment wrapText="1"/>
    </xf>
    <xf numFmtId="169" fontId="12" fillId="8" borderId="0" xfId="0" applyNumberFormat="1" applyFont="1" applyFill="1" applyAlignment="1">
      <alignment horizontal="right"/>
    </xf>
    <xf numFmtId="1" fontId="0" fillId="0" borderId="0" xfId="1" applyNumberFormat="1" applyFont="1"/>
    <xf numFmtId="0" fontId="0" fillId="0" borderId="1" xfId="0" applyBorder="1"/>
    <xf numFmtId="165" fontId="12" fillId="0" borderId="1" xfId="1" applyNumberFormat="1" applyFont="1" applyFill="1" applyBorder="1"/>
    <xf numFmtId="165" fontId="0" fillId="0" borderId="1" xfId="1" applyNumberFormat="1" applyFont="1" applyFill="1" applyBorder="1"/>
    <xf numFmtId="165" fontId="0" fillId="0" borderId="1" xfId="1" applyNumberFormat="1" applyFont="1" applyBorder="1"/>
    <xf numFmtId="165" fontId="0" fillId="8" borderId="0" xfId="1" applyNumberFormat="1" applyFont="1" applyFill="1"/>
    <xf numFmtId="0" fontId="0" fillId="13" borderId="0" xfId="0" applyFill="1"/>
    <xf numFmtId="0" fontId="23" fillId="10" borderId="0" xfId="0" applyFont="1" applyFill="1"/>
    <xf numFmtId="166" fontId="16" fillId="14" borderId="0" xfId="3" applyNumberFormat="1" applyFont="1" applyFill="1"/>
    <xf numFmtId="165" fontId="1" fillId="0" borderId="0" xfId="1" applyNumberFormat="1" applyFont="1" applyBorder="1"/>
    <xf numFmtId="0" fontId="0" fillId="10" borderId="0" xfId="0" applyFill="1"/>
    <xf numFmtId="165" fontId="12" fillId="14" borderId="0" xfId="1" applyNumberFormat="1" applyFont="1" applyFill="1"/>
    <xf numFmtId="164" fontId="16" fillId="5" borderId="0" xfId="1" applyNumberFormat="1" applyFont="1" applyFill="1"/>
    <xf numFmtId="165" fontId="0" fillId="13" borderId="0" xfId="1" applyNumberFormat="1" applyFont="1" applyFill="1"/>
    <xf numFmtId="172" fontId="0" fillId="5" borderId="0" xfId="1" applyNumberFormat="1" applyFont="1" applyFill="1"/>
    <xf numFmtId="171" fontId="16" fillId="0" borderId="0" xfId="0" applyNumberFormat="1" applyFont="1"/>
    <xf numFmtId="166" fontId="0" fillId="0" borderId="0" xfId="3" applyNumberFormat="1" applyFont="1" applyFill="1"/>
    <xf numFmtId="167" fontId="0" fillId="0" borderId="0" xfId="1" applyNumberFormat="1" applyFont="1" applyFill="1"/>
    <xf numFmtId="166" fontId="0" fillId="0" borderId="0" xfId="3" applyNumberFormat="1" applyFont="1" applyFill="1" applyAlignment="1">
      <alignment horizontal="center"/>
    </xf>
    <xf numFmtId="165" fontId="11" fillId="0" borderId="0" xfId="1" applyNumberFormat="1" applyFont="1" applyFill="1"/>
    <xf numFmtId="44" fontId="0" fillId="0" borderId="0" xfId="4" applyFont="1" applyFill="1"/>
    <xf numFmtId="44" fontId="0" fillId="6" borderId="0" xfId="4" applyFont="1" applyFill="1"/>
    <xf numFmtId="167" fontId="12" fillId="8" borderId="0" xfId="1" applyNumberFormat="1" applyFont="1" applyFill="1"/>
    <xf numFmtId="0" fontId="7" fillId="11" borderId="0" xfId="0" applyFont="1" applyFill="1" applyAlignment="1">
      <alignment horizontal="right"/>
    </xf>
    <xf numFmtId="166" fontId="7" fillId="11" borderId="0" xfId="3" applyNumberFormat="1" applyFont="1" applyFill="1"/>
    <xf numFmtId="165" fontId="2" fillId="3" borderId="0" xfId="1" applyNumberFormat="1" applyFont="1" applyFill="1" applyAlignment="1">
      <alignment horizontal="center"/>
    </xf>
    <xf numFmtId="165" fontId="2" fillId="2" borderId="0" xfId="1" applyNumberFormat="1" applyFont="1" applyFill="1" applyAlignment="1">
      <alignment horizontal="center"/>
    </xf>
    <xf numFmtId="0" fontId="5" fillId="2" borderId="2" xfId="0" applyFont="1" applyFill="1" applyBorder="1" applyAlignment="1">
      <alignment horizontal="center"/>
    </xf>
    <xf numFmtId="0" fontId="15" fillId="6" borderId="5" xfId="0" applyFont="1" applyFill="1" applyBorder="1" applyAlignment="1">
      <alignment horizontal="center" vertical="center"/>
    </xf>
    <xf numFmtId="0" fontId="15" fillId="6" borderId="3" xfId="0" applyFont="1" applyFill="1" applyBorder="1" applyAlignment="1">
      <alignment horizontal="center" vertical="center"/>
    </xf>
    <xf numFmtId="0" fontId="15" fillId="6" borderId="6" xfId="0" applyFont="1" applyFill="1" applyBorder="1" applyAlignment="1">
      <alignment horizontal="center" vertical="center"/>
    </xf>
    <xf numFmtId="0" fontId="5" fillId="2" borderId="0" xfId="0" applyFont="1" applyFill="1" applyAlignment="1">
      <alignment horizontal="center"/>
    </xf>
    <xf numFmtId="0" fontId="0" fillId="0" borderId="0" xfId="0" applyNumberFormat="1"/>
    <xf numFmtId="43" fontId="0" fillId="0" borderId="0" xfId="1" applyNumberFormat="1" applyFont="1"/>
  </cellXfs>
  <cellStyles count="5">
    <cellStyle name="Comma" xfId="1" builtinId="3"/>
    <cellStyle name="Currency" xfId="4" builtinId="4"/>
    <cellStyle name="Hyperlink" xfId="2" builtinId="8"/>
    <cellStyle name="Normal" xfId="0" builtinId="0"/>
    <cellStyle name="Percent" xfId="3" builtinId="5"/>
  </cellStyles>
  <dxfs count="363">
    <dxf>
      <numFmt numFmtId="19" formatCode="m/d/yyyy"/>
    </dxf>
    <dxf>
      <numFmt numFmtId="19" formatCode="m/d/yyyy"/>
    </dxf>
    <dxf>
      <numFmt numFmtId="19" formatCode="m/d/yyyy"/>
    </dxf>
    <dxf>
      <numFmt numFmtId="19" formatCode="m/d/yyyy"/>
    </dxf>
    <dxf>
      <numFmt numFmtId="0" formatCode="General"/>
    </dxf>
    <dxf>
      <numFmt numFmtId="19" formatCode="m/d/yyyy"/>
    </dxf>
    <dxf>
      <numFmt numFmtId="0" formatCode="General"/>
    </dxf>
    <dxf>
      <numFmt numFmtId="19" formatCode="m/d/yyyy"/>
    </dxf>
    <dxf>
      <numFmt numFmtId="0" formatCode="General"/>
    </dxf>
    <dxf>
      <fill>
        <patternFill>
          <bgColor theme="9" tint="0.79998168889431442"/>
        </patternFill>
      </fill>
    </dxf>
    <dxf>
      <fill>
        <patternFill>
          <bgColor rgb="FFFFCCCC"/>
        </patternFill>
      </fill>
    </dxf>
    <dxf>
      <font>
        <color rgb="FF9C0006"/>
      </font>
      <fill>
        <patternFill>
          <bgColor rgb="FFFFC7CE"/>
        </patternFill>
      </fill>
    </dxf>
    <dxf>
      <font>
        <color rgb="FF006100"/>
      </font>
      <fill>
        <patternFill>
          <bgColor rgb="FFC6EFCE"/>
        </patternFill>
      </fill>
    </dxf>
    <dxf>
      <numFmt numFmtId="171" formatCode="0.000%"/>
    </dxf>
    <dxf>
      <numFmt numFmtId="171" formatCode="0.000%"/>
    </dxf>
    <dxf>
      <numFmt numFmtId="171" formatCode="0.000%"/>
    </dxf>
    <dxf>
      <numFmt numFmtId="171" formatCode="0.000%"/>
    </dxf>
    <dxf>
      <numFmt numFmtId="171" formatCode="0.000%"/>
    </dxf>
    <dxf>
      <numFmt numFmtId="19" formatCode="m/d/yyyy"/>
    </dxf>
    <dxf>
      <numFmt numFmtId="19" formatCode="m/d/yyyy"/>
    </dxf>
    <dxf>
      <numFmt numFmtId="19" formatCode="m/d/yyyy"/>
    </dxf>
    <dxf>
      <numFmt numFmtId="27" formatCode="m/d/yyyy\ h:mm"/>
    </dxf>
    <dxf>
      <numFmt numFmtId="27" formatCode="m/d/yyyy\ h:mm"/>
    </dxf>
    <dxf>
      <numFmt numFmtId="27" formatCode="m/d/yyyy\ h:mm"/>
    </dxf>
    <dxf>
      <numFmt numFmtId="165" formatCode="_(* #,##0_);_(* \(#,##0\);_(* &quot;-&quot;??_);_(@_)"/>
    </dxf>
    <dxf>
      <numFmt numFmtId="27" formatCode="m/d/yyyy\ h:mm"/>
    </dxf>
    <dxf>
      <numFmt numFmtId="166" formatCode="0.0%"/>
    </dxf>
    <dxf>
      <numFmt numFmtId="166" formatCode="0.0%"/>
    </dxf>
    <dxf>
      <numFmt numFmtId="165" formatCode="_(* #,##0_);_(* \(#,##0\);_(* &quot;-&quot;??_);_(@_)"/>
    </dxf>
    <dxf>
      <numFmt numFmtId="166" formatCode="0.0%"/>
    </dxf>
    <dxf>
      <numFmt numFmtId="166" formatCode="0.0%"/>
    </dxf>
    <dxf>
      <numFmt numFmtId="166" formatCode="0.0%"/>
    </dxf>
    <dxf>
      <numFmt numFmtId="166" formatCode="0.0%"/>
    </dxf>
    <dxf>
      <numFmt numFmtId="166" formatCode="0.0%"/>
    </dxf>
    <dxf>
      <numFmt numFmtId="19" formatCode="m/d/yyyy"/>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9" formatCode="m/d/yyyy"/>
    </dxf>
    <dxf>
      <numFmt numFmtId="0" formatCode="General"/>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numFmt numFmtId="0" formatCode="General"/>
    </dxf>
    <dxf>
      <numFmt numFmtId="19" formatCode="m/d/yyyy"/>
    </dxf>
    <dxf>
      <numFmt numFmtId="0" formatCode="General"/>
    </dxf>
    <dxf>
      <numFmt numFmtId="0" formatCode="General"/>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FFCCCC"/>
      <color rgb="FF009999"/>
      <color rgb="FF0C78C2"/>
      <color rgb="FF0030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1219200</xdr:colOff>
      <xdr:row>1</xdr:row>
      <xdr:rowOff>158750</xdr:rowOff>
    </xdr:from>
    <xdr:to>
      <xdr:col>5</xdr:col>
      <xdr:colOff>171450</xdr:colOff>
      <xdr:row>9</xdr:row>
      <xdr:rowOff>101600</xdr:rowOff>
    </xdr:to>
    <xdr:sp macro="" textlink="">
      <xdr:nvSpPr>
        <xdr:cNvPr id="2" name="Rectangle: Folded Corner 1">
          <a:extLst>
            <a:ext uri="{FF2B5EF4-FFF2-40B4-BE49-F238E27FC236}">
              <a16:creationId xmlns:a16="http://schemas.microsoft.com/office/drawing/2014/main" id="{A3DE1741-C796-B8E7-ED82-BA158D21AC55}"/>
            </a:ext>
          </a:extLst>
        </xdr:cNvPr>
        <xdr:cNvSpPr/>
      </xdr:nvSpPr>
      <xdr:spPr>
        <a:xfrm>
          <a:off x="2609850" y="342900"/>
          <a:ext cx="1689100" cy="1416050"/>
        </a:xfrm>
        <a:prstGeom prst="foldedCorner">
          <a:avLst>
            <a:gd name="adj" fmla="val 11734"/>
          </a:avLst>
        </a:prstGeom>
        <a:solidFill>
          <a:schemeClr val="accent4">
            <a:lumMod val="40000"/>
            <a:lumOff val="60000"/>
          </a:schemeClr>
        </a:solidFill>
        <a:ln>
          <a:solidFill>
            <a:schemeClr val="bg2">
              <a:lumMod val="9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Treasuries are already reflected</a:t>
          </a:r>
          <a:r>
            <a:rPr lang="en-US" sz="1100" baseline="0">
              <a:solidFill>
                <a:sysClr val="windowText" lastClr="000000"/>
              </a:solidFill>
            </a:rPr>
            <a:t> as annual rate returns, so no need to normalize for yearly return.</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9</xdr:col>
      <xdr:colOff>30124</xdr:colOff>
      <xdr:row>18</xdr:row>
      <xdr:rowOff>90374</xdr:rowOff>
    </xdr:to>
    <xdr:pic>
      <xdr:nvPicPr>
        <xdr:cNvPr id="2" name="Picture 1">
          <a:extLst>
            <a:ext uri="{FF2B5EF4-FFF2-40B4-BE49-F238E27FC236}">
              <a16:creationId xmlns:a16="http://schemas.microsoft.com/office/drawing/2014/main" id="{2EEB15A9-D2ED-48E1-97B1-A6613D8FA49C}"/>
            </a:ext>
          </a:extLst>
        </xdr:cNvPr>
        <xdr:cNvPicPr>
          <a:picLocks noChangeAspect="1"/>
        </xdr:cNvPicPr>
      </xdr:nvPicPr>
      <xdr:blipFill>
        <a:blip xmlns:r="http://schemas.openxmlformats.org/officeDocument/2006/relationships" r:embed="rId1"/>
        <a:stretch>
          <a:fillRect/>
        </a:stretch>
      </xdr:blipFill>
      <xdr:spPr>
        <a:xfrm>
          <a:off x="50800" y="0"/>
          <a:ext cx="5465724" cy="3405074"/>
        </a:xfrm>
        <a:prstGeom prst="rect">
          <a:avLst/>
        </a:prstGeom>
      </xdr:spPr>
    </xdr:pic>
    <xdr:clientData/>
  </xdr:twoCellAnchor>
  <xdr:twoCellAnchor editAs="oneCell">
    <xdr:from>
      <xdr:col>1</xdr:col>
      <xdr:colOff>44450</xdr:colOff>
      <xdr:row>5</xdr:row>
      <xdr:rowOff>101600</xdr:rowOff>
    </xdr:from>
    <xdr:to>
      <xdr:col>13</xdr:col>
      <xdr:colOff>338112</xdr:colOff>
      <xdr:row>16</xdr:row>
      <xdr:rowOff>125272</xdr:rowOff>
    </xdr:to>
    <xdr:pic>
      <xdr:nvPicPr>
        <xdr:cNvPr id="4" name="Picture 3">
          <a:extLst>
            <a:ext uri="{FF2B5EF4-FFF2-40B4-BE49-F238E27FC236}">
              <a16:creationId xmlns:a16="http://schemas.microsoft.com/office/drawing/2014/main" id="{641EFEF9-CF5C-4AAF-8B9B-EE9D0EBF693D}"/>
            </a:ext>
          </a:extLst>
        </xdr:cNvPr>
        <xdr:cNvPicPr>
          <a:picLocks noChangeAspect="1"/>
        </xdr:cNvPicPr>
      </xdr:nvPicPr>
      <xdr:blipFill>
        <a:blip xmlns:r="http://schemas.openxmlformats.org/officeDocument/2006/relationships" r:embed="rId2"/>
        <a:stretch>
          <a:fillRect/>
        </a:stretch>
      </xdr:blipFill>
      <xdr:spPr>
        <a:xfrm>
          <a:off x="654050" y="1022350"/>
          <a:ext cx="7608862" cy="2049322"/>
        </a:xfrm>
        <a:prstGeom prst="rect">
          <a:avLst/>
        </a:prstGeom>
      </xdr:spPr>
    </xdr:pic>
    <xdr:clientData/>
  </xdr:twoCellAnchor>
  <xdr:twoCellAnchor editAs="oneCell">
    <xdr:from>
      <xdr:col>3</xdr:col>
      <xdr:colOff>463550</xdr:colOff>
      <xdr:row>11</xdr:row>
      <xdr:rowOff>41479</xdr:rowOff>
    </xdr:from>
    <xdr:to>
      <xdr:col>13</xdr:col>
      <xdr:colOff>141238</xdr:colOff>
      <xdr:row>23</xdr:row>
      <xdr:rowOff>15183</xdr:rowOff>
    </xdr:to>
    <xdr:pic>
      <xdr:nvPicPr>
        <xdr:cNvPr id="3" name="Picture 2">
          <a:extLst>
            <a:ext uri="{FF2B5EF4-FFF2-40B4-BE49-F238E27FC236}">
              <a16:creationId xmlns:a16="http://schemas.microsoft.com/office/drawing/2014/main" id="{469883BB-79EF-4DE2-84AA-C2A5F6A9631F}"/>
            </a:ext>
          </a:extLst>
        </xdr:cNvPr>
        <xdr:cNvPicPr>
          <a:picLocks noChangeAspect="1"/>
        </xdr:cNvPicPr>
      </xdr:nvPicPr>
      <xdr:blipFill>
        <a:blip xmlns:r="http://schemas.openxmlformats.org/officeDocument/2006/relationships" r:embed="rId3"/>
        <a:stretch>
          <a:fillRect/>
        </a:stretch>
      </xdr:blipFill>
      <xdr:spPr>
        <a:xfrm>
          <a:off x="2292350" y="2067129"/>
          <a:ext cx="5773688" cy="2183504"/>
        </a:xfrm>
        <a:prstGeom prst="rect">
          <a:avLst/>
        </a:prstGeom>
      </xdr:spPr>
    </xdr:pic>
    <xdr:clientData/>
  </xdr:twoCellAnchor>
  <xdr:twoCellAnchor editAs="oneCell">
    <xdr:from>
      <xdr:col>5</xdr:col>
      <xdr:colOff>82550</xdr:colOff>
      <xdr:row>13</xdr:row>
      <xdr:rowOff>76200</xdr:rowOff>
    </xdr:from>
    <xdr:to>
      <xdr:col>16</xdr:col>
      <xdr:colOff>359367</xdr:colOff>
      <xdr:row>29</xdr:row>
      <xdr:rowOff>43762</xdr:rowOff>
    </xdr:to>
    <xdr:pic>
      <xdr:nvPicPr>
        <xdr:cNvPr id="5" name="Picture 4">
          <a:extLst>
            <a:ext uri="{FF2B5EF4-FFF2-40B4-BE49-F238E27FC236}">
              <a16:creationId xmlns:a16="http://schemas.microsoft.com/office/drawing/2014/main" id="{E4B35652-40FF-4D47-A602-490C8525FA28}"/>
            </a:ext>
          </a:extLst>
        </xdr:cNvPr>
        <xdr:cNvPicPr>
          <a:picLocks noChangeAspect="1"/>
        </xdr:cNvPicPr>
      </xdr:nvPicPr>
      <xdr:blipFill>
        <a:blip xmlns:r="http://schemas.openxmlformats.org/officeDocument/2006/relationships" r:embed="rId4"/>
        <a:stretch>
          <a:fillRect/>
        </a:stretch>
      </xdr:blipFill>
      <xdr:spPr>
        <a:xfrm>
          <a:off x="3130550" y="2470150"/>
          <a:ext cx="6982417" cy="2913962"/>
        </a:xfrm>
        <a:prstGeom prst="rect">
          <a:avLst/>
        </a:prstGeom>
      </xdr:spPr>
    </xdr:pic>
    <xdr:clientData/>
  </xdr:twoCellAnchor>
  <xdr:twoCellAnchor editAs="oneCell">
    <xdr:from>
      <xdr:col>6</xdr:col>
      <xdr:colOff>368300</xdr:colOff>
      <xdr:row>15</xdr:row>
      <xdr:rowOff>142185</xdr:rowOff>
    </xdr:from>
    <xdr:to>
      <xdr:col>18</xdr:col>
      <xdr:colOff>360286</xdr:colOff>
      <xdr:row>29</xdr:row>
      <xdr:rowOff>67763</xdr:rowOff>
    </xdr:to>
    <xdr:pic>
      <xdr:nvPicPr>
        <xdr:cNvPr id="6" name="Picture 5">
          <a:extLst>
            <a:ext uri="{FF2B5EF4-FFF2-40B4-BE49-F238E27FC236}">
              <a16:creationId xmlns:a16="http://schemas.microsoft.com/office/drawing/2014/main" id="{D5451A44-6DF1-4108-9303-E48CEE7A91A4}"/>
            </a:ext>
          </a:extLst>
        </xdr:cNvPr>
        <xdr:cNvPicPr>
          <a:picLocks noChangeAspect="1"/>
        </xdr:cNvPicPr>
      </xdr:nvPicPr>
      <xdr:blipFill>
        <a:blip xmlns:r="http://schemas.openxmlformats.org/officeDocument/2006/relationships" r:embed="rId5"/>
        <a:stretch>
          <a:fillRect/>
        </a:stretch>
      </xdr:blipFill>
      <xdr:spPr>
        <a:xfrm>
          <a:off x="4025900" y="2904435"/>
          <a:ext cx="7307186" cy="2503678"/>
        </a:xfrm>
        <a:prstGeom prst="rect">
          <a:avLst/>
        </a:prstGeom>
      </xdr:spPr>
    </xdr:pic>
    <xdr:clientData/>
  </xdr:twoCellAnchor>
  <xdr:twoCellAnchor editAs="oneCell">
    <xdr:from>
      <xdr:col>7</xdr:col>
      <xdr:colOff>431800</xdr:colOff>
      <xdr:row>19</xdr:row>
      <xdr:rowOff>19050</xdr:rowOff>
    </xdr:from>
    <xdr:to>
      <xdr:col>22</xdr:col>
      <xdr:colOff>190606</xdr:colOff>
      <xdr:row>45</xdr:row>
      <xdr:rowOff>149375</xdr:rowOff>
    </xdr:to>
    <xdr:pic>
      <xdr:nvPicPr>
        <xdr:cNvPr id="7" name="Picture 6">
          <a:extLst>
            <a:ext uri="{FF2B5EF4-FFF2-40B4-BE49-F238E27FC236}">
              <a16:creationId xmlns:a16="http://schemas.microsoft.com/office/drawing/2014/main" id="{6DA88D8E-15B4-4EED-8800-74424C9D0DBF}"/>
            </a:ext>
          </a:extLst>
        </xdr:cNvPr>
        <xdr:cNvPicPr>
          <a:picLocks noChangeAspect="1"/>
        </xdr:cNvPicPr>
      </xdr:nvPicPr>
      <xdr:blipFill>
        <a:blip xmlns:r="http://schemas.openxmlformats.org/officeDocument/2006/relationships" r:embed="rId6"/>
        <a:stretch>
          <a:fillRect/>
        </a:stretch>
      </xdr:blipFill>
      <xdr:spPr>
        <a:xfrm>
          <a:off x="4699000" y="3517900"/>
          <a:ext cx="8902806" cy="4918225"/>
        </a:xfrm>
        <a:prstGeom prst="rect">
          <a:avLst/>
        </a:prstGeom>
      </xdr:spPr>
    </xdr:pic>
    <xdr:clientData/>
  </xdr:twoCellAnchor>
  <xdr:twoCellAnchor editAs="oneCell">
    <xdr:from>
      <xdr:col>17</xdr:col>
      <xdr:colOff>0</xdr:colOff>
      <xdr:row>31</xdr:row>
      <xdr:rowOff>162770</xdr:rowOff>
    </xdr:from>
    <xdr:to>
      <xdr:col>29</xdr:col>
      <xdr:colOff>76483</xdr:colOff>
      <xdr:row>38</xdr:row>
      <xdr:rowOff>168953</xdr:rowOff>
    </xdr:to>
    <xdr:pic>
      <xdr:nvPicPr>
        <xdr:cNvPr id="8" name="Picture 7">
          <a:extLst>
            <a:ext uri="{FF2B5EF4-FFF2-40B4-BE49-F238E27FC236}">
              <a16:creationId xmlns:a16="http://schemas.microsoft.com/office/drawing/2014/main" id="{FD9EE252-A504-4C7D-94E8-B3E6CC939367}"/>
            </a:ext>
          </a:extLst>
        </xdr:cNvPr>
        <xdr:cNvPicPr>
          <a:picLocks noChangeAspect="1"/>
        </xdr:cNvPicPr>
      </xdr:nvPicPr>
      <xdr:blipFill>
        <a:blip xmlns:r="http://schemas.openxmlformats.org/officeDocument/2006/relationships" r:embed="rId7"/>
        <a:stretch>
          <a:fillRect/>
        </a:stretch>
      </xdr:blipFill>
      <xdr:spPr>
        <a:xfrm>
          <a:off x="10363200" y="5832050"/>
          <a:ext cx="7391683" cy="128634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795076A-FB03-45AA-81D0-944F0914ACEB}" autoFormatId="16" applyNumberFormats="0" applyBorderFormats="0" applyFontFormats="0" applyPatternFormats="0" applyAlignmentFormats="0" applyWidthHeightFormats="0">
  <queryTableRefresh nextId="379">
    <queryTableFields count="79">
      <queryTableField id="1" name="id" tableColumnId="1"/>
      <queryTableField id="2" name="asOfDate" tableColumnId="2"/>
      <queryTableField id="75" name="Year" tableColumnId="75"/>
      <queryTableField id="3" name="periodType" tableColumnId="3"/>
      <queryTableField id="4" name="currencyCode" tableColumnId="4"/>
      <queryTableField id="5" name="AverageDilutionEarnings" tableColumnId="5"/>
      <queryTableField id="6" name="BasicAverageShares" tableColumnId="6"/>
      <queryTableField id="7" name="BasicEPS" tableColumnId="7"/>
      <queryTableField id="8" name="CostOfRevenue" tableColumnId="8"/>
      <queryTableField id="9" name="DepreciationAmortizationDepletionIncomeStatement" tableColumnId="9"/>
      <queryTableField id="10" name="DepreciationAndAmortizationInIncomeStatement" tableColumnId="10"/>
      <queryTableField id="11" name="DilutedAverageShares" tableColumnId="11"/>
      <queryTableField id="12" name="DilutedEPS" tableColumnId="12"/>
      <queryTableField id="13" name="DilutedNIAvailtoComStockholders" tableColumnId="13"/>
      <queryTableField id="14" name="EBIT" tableColumnId="14"/>
      <queryTableField id="15" name="EBITDA" tableColumnId="15"/>
      <queryTableField id="16" name="EarningsFromEquityInterestNetOfTax" tableColumnId="16"/>
      <queryTableField id="17" name="GainOnSaleOfBusiness" tableColumnId="17"/>
      <queryTableField id="18" name="GainOnSaleOfSecurity" tableColumnId="18"/>
      <queryTableField id="19" name="GeneralAndAdministrativeExpense" tableColumnId="19"/>
      <queryTableField id="20" name="GrossProfit" tableColumnId="20"/>
      <queryTableField id="21" name="InterestExpense" tableColumnId="21"/>
      <queryTableField id="22" name="InterestExpenseNonOperating" tableColumnId="22"/>
      <queryTableField id="23" name="InterestIncome" tableColumnId="23"/>
      <queryTableField id="24" name="InterestIncomeNonOperating" tableColumnId="24"/>
      <queryTableField id="25" name="MinorityInterests" tableColumnId="25"/>
      <queryTableField id="26" name="NetIncome" tableColumnId="26"/>
      <queryTableField id="27" name="NetIncomeCommonStockholders" tableColumnId="27"/>
      <queryTableField id="28" name="NetIncomeContinuousOperations" tableColumnId="28"/>
      <queryTableField id="29" name="NetIncomeFromContinuingAndDiscontinuedOperation" tableColumnId="29"/>
      <queryTableField id="30" name="NetIncomeFromContinuingOperationNetMinorityInterest" tableColumnId="30"/>
      <queryTableField id="31" name="NetIncomeIncludingNoncontrollingInterests" tableColumnId="31"/>
      <queryTableField id="32" name="NetInterestIncome" tableColumnId="32"/>
      <queryTableField id="33" name="NetNonOperatingInterestIncomeExpense" tableColumnId="33"/>
      <queryTableField id="34" name="NormalizedEBITDA" tableColumnId="34"/>
      <queryTableField id="35" name="NormalizedIncome" tableColumnId="35"/>
      <queryTableField id="36" name="OperatingExpense" tableColumnId="36"/>
      <queryTableField id="37" name="OperatingIncome" tableColumnId="37"/>
      <queryTableField id="38" name="OperatingRevenue" tableColumnId="38"/>
      <queryTableField id="39" name="OtherGandA" tableColumnId="39"/>
      <queryTableField id="40" name="OtherIncomeExpense" tableColumnId="40"/>
      <queryTableField id="41" name="OtherNonOperatingIncomeExpenses" tableColumnId="41"/>
      <queryTableField id="42" name="OtherOperatingExpenses" tableColumnId="42"/>
      <queryTableField id="43" name="OtherunderPreferredStockDividend" tableColumnId="43"/>
      <queryTableField id="44" name="PretaxIncome" tableColumnId="44"/>
      <queryTableField id="45" name="ReconciledCostOfRevenue" tableColumnId="45"/>
      <queryTableField id="46" name="ReconciledDepreciation" tableColumnId="46"/>
      <queryTableField id="47" name="ResearchAndDevelopment" tableColumnId="47"/>
      <queryTableField id="48" name="SellingAndMarketingExpense" tableColumnId="48"/>
      <queryTableField id="49" name="SellingGeneralAndAdministration" tableColumnId="49"/>
      <queryTableField id="50" name="SpecialIncomeCharges" tableColumnId="50"/>
      <queryTableField id="51" name="TaxEffectOfUnusualItems" tableColumnId="51"/>
      <queryTableField id="52" name="TaxProvision" tableColumnId="52"/>
      <queryTableField id="53" name="TaxRateForCalcs" tableColumnId="53"/>
      <queryTableField id="81" name="TotalOtherFinanceCost" tableColumnId="78"/>
      <queryTableField id="54" name="TotalExpenses" tableColumnId="54"/>
      <queryTableField id="55" name="TotalOperatingIncomeAsReported" tableColumnId="55"/>
      <queryTableField id="56" name="TotalRevenue" tableColumnId="56"/>
      <queryTableField id="57" name="TotalUnusualItems" tableColumnId="57"/>
      <queryTableField id="58" name="TotalUnusualItemsExcludingGoodwill" tableColumnId="58"/>
      <queryTableField id="59" name="WriteOff" tableColumnId="59"/>
      <queryTableField id="60" name="NetIncomeDiscontinuousOperations" tableColumnId="60"/>
      <queryTableField id="367" name="DepreciationIncomeStatement" tableColumnId="77"/>
      <queryTableField id="61" name="EarningsFromEquityInterest" tableColumnId="61"/>
      <queryTableField id="62" name="ImpairmentOfCapitalAssets" tableColumnId="62"/>
      <queryTableField id="321" name="InsuranceAndClaims" tableColumnId="76"/>
      <queryTableField id="63" name="PreferredStockDividends" tableColumnId="63"/>
      <queryTableField id="94" name="asOfYear" tableColumnId="79"/>
      <queryTableField id="64" name="Amortization" tableColumnId="64"/>
      <queryTableField id="65" name="AmortizationOfIntangiblesIncomeStatement" tableColumnId="65"/>
      <queryTableField id="66" name="OtherSpecialCharges" tableColumnId="66"/>
      <queryTableField id="67" name="OtherTaxes" tableColumnId="67"/>
      <queryTableField id="68" name="RestructuringAndMergernAcquisition" tableColumnId="68"/>
      <queryTableField id="69" name="GainOnSaleOfPPE" tableColumnId="69"/>
      <queryTableField id="70" name="ProvisionForDoubtfulAccounts" tableColumnId="70"/>
      <queryTableField id="71" name="SalariesAndWages" tableColumnId="71"/>
      <queryTableField id="72" name="RentAndLandingFees" tableColumnId="72"/>
      <queryTableField id="73" name="RentExpenseSupplemental" tableColumnId="73"/>
      <queryTableField id="74" name="Ticker" tableColumnId="7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9" connectionId="9" xr16:uid="{9EEBB807-2C9A-4427-B9B7-43AFF5738DF3}" autoFormatId="16" applyNumberFormats="0" applyBorderFormats="0" applyFontFormats="0" applyPatternFormats="0" applyAlignmentFormats="0" applyWidthHeightFormats="0">
  <queryTableRefresh nextId="4">
    <queryTableFields count="3">
      <queryTableField id="1" name="Ticker" tableColumnId="1"/>
      <queryTableField id="2" name="AvgReturn" tableColumnId="2"/>
      <queryTableField id="3" name="Yearly Average Return"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8" connectionId="8" xr16:uid="{59C94676-6847-4D38-B9A4-D52B1B5A3EE6}" autoFormatId="16" applyNumberFormats="0" applyBorderFormats="0" applyFontFormats="0" applyPatternFormats="0" applyAlignmentFormats="0" applyWidthHeightFormats="0">
  <queryTableRefresh nextId="68">
    <queryTableFields count="18">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dividends" tableColumnId="11"/>
      <queryTableField id="13" name="change_in_price" tableColumnId="13"/>
      <queryTableField id="14" name="percent_return" tableColumnId="14"/>
      <queryTableField id="15" name="open_close_diff" tableColumnId="15"/>
      <queryTableField id="16" name="open_high_diff" tableColumnId="16"/>
      <queryTableField id="17" name="day_of_week" tableColumnId="17"/>
      <queryTableField id="18" name="price_date_year" tableColumnId="18"/>
      <queryTableField id="12" name="splits" tableColumnId="1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 connectionId="10" xr16:uid="{50366EC1-FCB6-46DD-B6AE-715C670F413A}"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5" connectionId="6" xr16:uid="{524516A8-4794-4862-95D7-E04BF323F6E2}"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52B8CD5-81BA-452A-8DEC-A243B48C8F49}" autoFormatId="16" applyNumberFormats="0" applyBorderFormats="0" applyFontFormats="0" applyPatternFormats="0" applyAlignmentFormats="0" applyWidthHeightFormats="0">
  <queryTableRefresh nextId="553">
    <queryTableFields count="133">
      <queryTableField id="1" name="id" tableColumnId="1"/>
      <queryTableField id="2" name="asOfDate" tableColumnId="2"/>
      <queryTableField id="128" name="Year" tableColumnId="128"/>
      <queryTableField id="3" name="periodType" tableColumnId="3"/>
      <queryTableField id="4" name="currencyCode" tableColumnId="4"/>
      <queryTableField id="5" name="AccountsPayable" tableColumnId="5"/>
      <queryTableField id="6" name="AccountsReceivable" tableColumnId="6"/>
      <queryTableField id="7" name="AccumulatedDepreciation" tableColumnId="7"/>
      <queryTableField id="8" name="AdditionalPaidInCapital" tableColumnId="8"/>
      <queryTableField id="9" name="AllowanceForDoubtfulAccountsReceivable" tableColumnId="9"/>
      <queryTableField id="10" name="AssetsHeldForSaleCurrent" tableColumnId="10"/>
      <queryTableField id="11" name="AvailableForSaleSecurities" tableColumnId="11"/>
      <queryTableField id="12" name="BuildingsAndImprovements" tableColumnId="12"/>
      <queryTableField id="13" name="CapitalLeaseObligations" tableColumnId="13"/>
      <queryTableField id="14" name="CapitalStock" tableColumnId="14"/>
      <queryTableField id="15" name="CashAndCashEquivalents" tableColumnId="15"/>
      <queryTableField id="16" name="CashCashEquivalentsAndShortTermInvestments" tableColumnId="16"/>
      <queryTableField id="17" name="CommonStock" tableColumnId="17"/>
      <queryTableField id="18" name="CommonStockEquity" tableColumnId="18"/>
      <queryTableField id="19" name="ConstructionInProgress" tableColumnId="19"/>
      <queryTableField id="20" name="CurrentAccruedExpenses" tableColumnId="20"/>
      <queryTableField id="21" name="CurrentAssets" tableColumnId="21"/>
      <queryTableField id="22" name="CurrentCapitalLeaseObligation" tableColumnId="22"/>
      <queryTableField id="23" name="CurrentDebt" tableColumnId="23"/>
      <queryTableField id="24" name="CurrentDebtAndCapitalLeaseObligation" tableColumnId="24"/>
      <queryTableField id="25" name="CurrentLiabilities" tableColumnId="25"/>
      <queryTableField id="26" name="CurrentProvisions" tableColumnId="26"/>
      <queryTableField id="27" name="GainsLossesNotAffectingRetainedEarnings" tableColumnId="27"/>
      <queryTableField id="28" name="Goodwill" tableColumnId="28"/>
      <queryTableField id="29" name="GoodwillAndOtherIntangibleAssets" tableColumnId="29"/>
      <queryTableField id="30" name="GrossAccountsReceivable" tableColumnId="30"/>
      <queryTableField id="31" name="GrossPPE" tableColumnId="31"/>
      <queryTableField id="32" name="HeldToMaturitySecurities" tableColumnId="32"/>
      <queryTableField id="33" name="IncomeTaxPayable" tableColumnId="33"/>
      <queryTableField id="34" name="InterestPayable" tableColumnId="34"/>
      <queryTableField id="35" name="InvestedCapital" tableColumnId="35"/>
      <queryTableField id="36" name="InvestmentinFinancialAssets" tableColumnId="36"/>
      <queryTableField id="37" name="InvestmentsAndAdvances" tableColumnId="37"/>
      <queryTableField id="38" name="LandAndImprovements" tableColumnId="38"/>
      <queryTableField id="39" name="Leases" tableColumnId="39"/>
      <queryTableField id="40" name="LongTermCapitalLeaseObligation" tableColumnId="40"/>
      <queryTableField id="41" name="LongTermDebt" tableColumnId="41"/>
      <queryTableField id="42" name="LongTermDebtAndCapitalLeaseObligation" tableColumnId="42"/>
      <queryTableField id="43" name="LongTermEquityInvestment" tableColumnId="43"/>
      <queryTableField id="44" name="LongTermProvisions" tableColumnId="44"/>
      <queryTableField id="45" name="MachineryFurnitureEquipment" tableColumnId="45"/>
      <queryTableField id="46" name="MinorityInterest" tableColumnId="46"/>
      <queryTableField id="47" name="NetDebt" tableColumnId="47"/>
      <queryTableField id="48" name="NetPPE" tableColumnId="48"/>
      <queryTableField id="49" name="NetTangibleAssets" tableColumnId="49"/>
      <queryTableField id="50" name="NonCurrentDeferredLiabilities" tableColumnId="50"/>
      <queryTableField id="51" name="NonCurrentDeferredTaxesLiabilities" tableColumnId="51"/>
      <queryTableField id="52" name="NonCurrentNoteReceivables" tableColumnId="52"/>
      <queryTableField id="53" name="OrdinarySharesNumber" tableColumnId="53"/>
      <queryTableField id="54" name="OtherCurrentAssets" tableColumnId="54"/>
      <queryTableField id="55" name="OtherCurrentBorrowings" tableColumnId="55"/>
      <queryTableField id="56" name="OtherCurrentLiabilities" tableColumnId="56"/>
      <queryTableField id="57" name="OtherEquityAdjustments" tableColumnId="57"/>
      <queryTableField id="58" name="OtherIntangibleAssets" tableColumnId="58"/>
      <queryTableField id="59" name="OtherNonCurrentAssets" tableColumnId="59"/>
      <queryTableField id="60" name="OtherNonCurrentLiabilities" tableColumnId="60"/>
      <queryTableField id="61" name="OtherPayable" tableColumnId="61"/>
      <queryTableField id="62" name="OtherProperties" tableColumnId="62"/>
      <queryTableField id="63" name="OtherReceivables" tableColumnId="63"/>
      <queryTableField id="64" name="OtherShortTermInvestments" tableColumnId="64"/>
      <queryTableField id="65" name="Payables" tableColumnId="65"/>
      <queryTableField id="66" name="PayablesAndAccruedExpenses" tableColumnId="66"/>
      <queryTableField id="67" name="PensionandOtherPostRetirementBenefitPlansCurrent" tableColumnId="67"/>
      <queryTableField id="68" name="PreferredSecuritiesOutsideStockEquity" tableColumnId="68"/>
      <queryTableField id="69" name="PrepaidAssets" tableColumnId="69"/>
      <queryTableField id="70" name="Properties" tableColumnId="70"/>
      <queryTableField id="71" name="Receivables" tableColumnId="71"/>
      <queryTableField id="72" name="RestrictedCash" tableColumnId="72"/>
      <queryTableField id="73" name="RetainedEarnings" tableColumnId="73"/>
      <queryTableField id="74" name="ShareIssued" tableColumnId="74"/>
      <queryTableField id="75" name="StockholdersEquity" tableColumnId="75"/>
      <queryTableField id="76" name="TangibleBookValue" tableColumnId="76"/>
      <queryTableField id="77" name="TotalAssets" tableColumnId="77"/>
      <queryTableField id="78" name="TotalCapitalization" tableColumnId="78"/>
      <queryTableField id="79" name="TotalDebt" tableColumnId="79"/>
      <queryTableField id="80" name="TotalEquityGrossMinorityInterest" tableColumnId="80"/>
      <queryTableField id="81" name="TotalLiabilitiesNetMinorityInterest" tableColumnId="81"/>
      <queryTableField id="82" name="TotalNonCurrentAssets" tableColumnId="82"/>
      <queryTableField id="83" name="TotalNonCurrentLiabilitiesNetMinorityInterest" tableColumnId="83"/>
      <queryTableField id="84" name="TotalTaxPayable" tableColumnId="84"/>
      <queryTableField id="85" name="TradeandOtherPayablesNonCurrent" tableColumnId="85"/>
      <queryTableField id="86" name="WorkingCapital" tableColumnId="86"/>
      <queryTableField id="87" name="CurrentDeferredLiabilities" tableColumnId="87"/>
      <queryTableField id="88" name="CurrentDeferredRevenue" tableColumnId="88"/>
      <queryTableField id="89" name="EmployeeBenefits" tableColumnId="89"/>
      <queryTableField id="90" name="FinishedGoods" tableColumnId="90"/>
      <queryTableField id="91" name="Inventory" tableColumnId="91"/>
      <queryTableField id="536" name="InvestmentProperties" tableColumnId="129"/>
      <queryTableField id="92" name="NonCurrentDeferredAssets" tableColumnId="92"/>
      <queryTableField id="93" name="NonCurrentDeferredTaxesAssets" tableColumnId="93"/>
      <queryTableField id="94" name="NonCurrentPensionAndOtherPostretirementBenefitPlans" tableColumnId="94"/>
      <queryTableField id="95" name="RawMaterials" tableColumnId="95"/>
      <queryTableField id="476" name="PreferredStockEquity" tableColumnId="130"/>
      <queryTableField id="96" name="WorkInProcess" tableColumnId="96"/>
      <queryTableField id="97" name="CashEquivalents" tableColumnId="97"/>
      <queryTableField id="524" name="DuefromRelatedPartiesCurrent" tableColumnId="137"/>
      <queryTableField id="98" name="CashFinancial" tableColumnId="98"/>
      <queryTableField id="525" name="DuefromRelatedPartiesNonCurrent" tableColumnId="138"/>
      <queryTableField id="99" name="HedgingAssetsCurrent" tableColumnId="99"/>
      <queryTableField id="100" name="NonCurrentDeferredRevenue" tableColumnId="100"/>
      <queryTableField id="101" name="CommercialPaper" tableColumnId="101"/>
      <queryTableField id="102" name="CurrentNotesPayable" tableColumnId="102"/>
      <queryTableField id="218" name="asOfYear" tableColumnId="144"/>
      <queryTableField id="103" name="DividendsPayable" tableColumnId="103"/>
      <queryTableField id="104" name="ForeignCurrencyTranslationAdjustments" tableColumnId="104"/>
      <queryTableField id="105" name="InvestmentsinAssociatesatCost" tableColumnId="105"/>
      <queryTableField id="106" name="LineOfCredit" tableColumnId="106"/>
      <queryTableField id="107" name="MinimumPensionLiabilities" tableColumnId="107"/>
      <queryTableField id="108" name="PreferredSharesNumber" tableColumnId="108"/>
      <queryTableField id="109" name="PreferredStock" tableColumnId="109"/>
      <queryTableField id="110" name="TreasurySharesNumber" tableColumnId="110"/>
      <queryTableField id="111" name="TreasuryStock" tableColumnId="111"/>
      <queryTableField id="112" name="UnrealizedGainLoss" tableColumnId="112"/>
      <queryTableField id="113" name="DefinedPensionBenefit" tableColumnId="113"/>
      <queryTableField id="114" name="NonCurrentAccountsReceivable" tableColumnId="114"/>
      <queryTableField id="115" name="OtherInventories" tableColumnId="115"/>
      <queryTableField id="116" name="OtherInvestments" tableColumnId="116"/>
      <queryTableField id="117" name="TaxesReceivable" tableColumnId="117"/>
      <queryTableField id="118" name="CurrentDeferredAssets" tableColumnId="118"/>
      <queryTableField id="119" name="DerivativeProductLiabilities" tableColumnId="119"/>
      <queryTableField id="120" name="FinancialAssets" tableColumnId="120"/>
      <queryTableField id="121" name="InvestmentsInOtherVenturesUnderEquityMethod" tableColumnId="121"/>
      <queryTableField id="122" name="LiabilitiesHeldforSaleNonCurrent" tableColumnId="122"/>
      <queryTableField id="123" name="NonCurrentAccruedExpenses" tableColumnId="123"/>
      <queryTableField id="124" name="NonCurrentPrepaidAssets" tableColumnId="124"/>
      <queryTableField id="125" name="OtherEquityInterest" tableColumnId="125"/>
      <queryTableField id="126" name="InventoriesAdjustmentsAllowances" tableColumnId="126"/>
      <queryTableField id="127" name="Ticker" tableColumnId="12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D7FE9735-03D2-41BF-851B-EF337C0502DB}" autoFormatId="16" applyNumberFormats="0" applyBorderFormats="0" applyFontFormats="0" applyPatternFormats="0" applyAlignmentFormats="0" applyWidthHeightFormats="0">
  <queryTableRefresh nextId="769">
    <queryTableFields count="102">
      <queryTableField id="1" name="id" tableColumnId="1"/>
      <queryTableField id="2" name="asOfDate" tableColumnId="2"/>
      <queryTableField id="96" name="Year" tableColumnId="96"/>
      <queryTableField id="3" name="periodType" tableColumnId="3"/>
      <queryTableField id="732" name="AmortizationOfSecurities" tableColumnId="107"/>
      <queryTableField id="4" name="currencyCode" tableColumnId="4"/>
      <queryTableField id="5" name="AssetImpairmentCharge" tableColumnId="5"/>
      <queryTableField id="6" name="BeginningCashPosition" tableColumnId="6"/>
      <queryTableField id="7" name="CapitalExpenditure" tableColumnId="7"/>
      <queryTableField id="8" name="CashFlowFromContinuingFinancingActivities" tableColumnId="8"/>
      <queryTableField id="9" name="CashFlowFromContinuingInvestingActivities" tableColumnId="9"/>
      <queryTableField id="10" name="CashFlowFromContinuingOperatingActivities" tableColumnId="10"/>
      <queryTableField id="11" name="ChangeInAccountPayable" tableColumnId="11"/>
      <queryTableField id="12" name="ChangeInAccruedExpense" tableColumnId="12"/>
      <queryTableField id="13" name="ChangeInCashSupplementalAsReported" tableColumnId="13"/>
      <queryTableField id="14" name="ChangeInOtherCurrentAssets" tableColumnId="14"/>
      <queryTableField id="15" name="ChangeInOtherCurrentLiabilities" tableColumnId="15"/>
      <queryTableField id="16" name="ChangeInOtherWorkingCapital" tableColumnId="16"/>
      <queryTableField id="17" name="ChangeInPayable" tableColumnId="17"/>
      <queryTableField id="18" name="ChangeInPayablesAndAccruedExpense" tableColumnId="18"/>
      <queryTableField id="19" name="ChangeInPrepaidAssets" tableColumnId="19"/>
      <queryTableField id="20" name="ChangeInReceivables" tableColumnId="20"/>
      <queryTableField id="21" name="ChangeInWorkingCapital" tableColumnId="21"/>
      <queryTableField id="22" name="ChangesInAccountReceivables" tableColumnId="22"/>
      <queryTableField id="23" name="ChangesInCash" tableColumnId="23"/>
      <queryTableField id="24" name="CommonStockIssuance" tableColumnId="24"/>
      <queryTableField id="25" name="CommonStockPayments" tableColumnId="25"/>
      <queryTableField id="26" name="DeferredIncomeTax" tableColumnId="26"/>
      <queryTableField id="27" name="DeferredTax" tableColumnId="27"/>
      <queryTableField id="28" name="DepreciationAmortizationDepletion" tableColumnId="28"/>
      <queryTableField id="29" name="DepreciationAndAmortization" tableColumnId="29"/>
      <queryTableField id="30" name="EarningsLossesFromEquityInvestments" tableColumnId="30"/>
      <queryTableField id="31" name="EffectOfExchangeRateChanges" tableColumnId="31"/>
      <queryTableField id="32" name="EndCashPosition" tableColumnId="32"/>
      <queryTableField id="33" name="FinancingCashFlow" tableColumnId="33"/>
      <queryTableField id="34" name="FreeCashFlow" tableColumnId="34"/>
      <queryTableField id="35" name="GainLossOnInvestmentSecurities" tableColumnId="35"/>
      <queryTableField id="36" name="GainLossOnSaleOfBusiness" tableColumnId="36"/>
      <queryTableField id="37" name="IncomeTaxPaidSupplementalData" tableColumnId="37"/>
      <queryTableField id="38" name="InterestPaidSupplementalData" tableColumnId="38"/>
      <queryTableField id="39" name="InvestingCashFlow" tableColumnId="39"/>
      <queryTableField id="40" name="IssuanceOfCapitalStock" tableColumnId="40"/>
      <queryTableField id="41" name="IssuanceOfDebt" tableColumnId="41"/>
      <queryTableField id="42" name="LongTermDebtIssuance" tableColumnId="42"/>
      <queryTableField id="43" name="LongTermDebtPayments" tableColumnId="43"/>
      <queryTableField id="44" name="NetBusinessPurchaseAndSale" tableColumnId="44"/>
      <queryTableField id="45" name="NetCommonStockIssuance" tableColumnId="45"/>
      <queryTableField id="46" name="NetForeignCurrencyExchangeGainLoss" tableColumnId="46"/>
      <queryTableField id="47" name="NetIncome" tableColumnId="47"/>
      <queryTableField id="48" name="NetIncomeFromContinuingOperations" tableColumnId="48"/>
      <queryTableField id="49" name="NetInvestmentPurchaseAndSale" tableColumnId="49"/>
      <queryTableField id="50" name="NetIssuancePaymentsOfDebt" tableColumnId="50"/>
      <queryTableField id="51" name="NetLongTermDebtIssuance" tableColumnId="51"/>
      <queryTableField id="52" name="NetOtherFinancingCharges" tableColumnId="52"/>
      <queryTableField id="53" name="NetOtherInvestingChanges" tableColumnId="53"/>
      <queryTableField id="54" name="NetPPEPurchaseAndSale" tableColumnId="54"/>
      <queryTableField id="55" name="NetPreferredStockIssuance" tableColumnId="55"/>
      <queryTableField id="56" name="OperatingCashFlow" tableColumnId="56"/>
      <queryTableField id="57" name="OperatingGainsLosses" tableColumnId="57"/>
      <queryTableField id="58" name="OtherCashAdjustmentOutsideChangeinCash" tableColumnId="58"/>
      <queryTableField id="59" name="OtherNonCashItems" tableColumnId="59"/>
      <queryTableField id="60" name="PreferredStockIssuance" tableColumnId="60"/>
      <queryTableField id="61" name="ProceedsFromStockOptionExercised" tableColumnId="61"/>
      <queryTableField id="62" name="PurchaseOfBusiness" tableColumnId="62"/>
      <queryTableField id="63" name="PurchaseOfInvestment" tableColumnId="63"/>
      <queryTableField id="64" name="PurchaseOfPPE" tableColumnId="64"/>
      <queryTableField id="65" name="RepaymentOfDebt" tableColumnId="65"/>
      <queryTableField id="66" name="RepurchaseOfCapitalStock" tableColumnId="66"/>
      <queryTableField id="67" name="SaleOfBusiness" tableColumnId="67"/>
      <queryTableField id="68" name="SaleOfInvestment" tableColumnId="68"/>
      <queryTableField id="69" name="SaleOfPPE" tableColumnId="69"/>
      <queryTableField id="731" name="ChangeInInterestPayable" tableColumnId="106"/>
      <queryTableField id="70" name="StockBasedCompensation" tableColumnId="70"/>
      <queryTableField id="71" name="UnrealizedGainLossOnInvestmentSecurities" tableColumnId="71"/>
      <queryTableField id="738" name="SaleOfIntangibles" tableColumnId="97"/>
      <queryTableField id="72" name="AmortizationCashFlow" tableColumnId="72"/>
      <queryTableField id="73" name="AmortizationOfIntangibles" tableColumnId="73"/>
      <queryTableField id="74" name="CapitalExpenditureReported" tableColumnId="74"/>
      <queryTableField id="75" name="CashDividendsPaid" tableColumnId="75"/>
      <queryTableField id="76" name="ChangeInIncomeTaxPayable" tableColumnId="76"/>
      <queryTableField id="77" name="ChangeInInventory" tableColumnId="77"/>
      <queryTableField id="78" name="ChangeInTaxPayable" tableColumnId="78"/>
      <queryTableField id="79" name="CommonStockDividendPaid" tableColumnId="79"/>
      <queryTableField id="80" name="Depreciation" tableColumnId="80"/>
      <queryTableField id="81" name="GainLossOnSaleOfPPE" tableColumnId="81"/>
      <queryTableField id="82" name="NetShortTermDebtIssuance" tableColumnId="82"/>
      <queryTableField id="83" name="PensionAndEmployeeBenefitExpense" tableColumnId="83"/>
      <queryTableField id="668" name="NetInvestmentPropertiesPurchaseAndSale" tableColumnId="98"/>
      <queryTableField id="670" name="SaleOfInvestmentProperties" tableColumnId="100"/>
      <queryTableField id="84" name="ShortTermDebtIssuance" tableColumnId="84"/>
      <queryTableField id="85" name="ShortTermDebtPayments" tableColumnId="85"/>
      <queryTableField id="86" name="CashFromDiscontinuedFinancingActivities" tableColumnId="86"/>
      <queryTableField id="138" name="asOfYear" tableColumnId="110"/>
      <queryTableField id="87" name="CashFromDiscontinuedInvestingActivities" tableColumnId="87"/>
      <queryTableField id="88" name="CashFromDiscontinuedOperatingActivities" tableColumnId="88"/>
      <queryTableField id="89" name="DividendsReceivedCFI" tableColumnId="89"/>
      <queryTableField id="90" name="PreferredStockDividendPaid" tableColumnId="90"/>
      <queryTableField id="91" name="PreferredStockPayments" tableColumnId="91"/>
      <queryTableField id="92" name="ProvisionandWriteOffofAssets" tableColumnId="92"/>
      <queryTableField id="93" name="NetIntangiblesPurchaseAndSale" tableColumnId="93"/>
      <queryTableField id="94" name="PurchaseOfIntangibles" tableColumnId="94"/>
      <queryTableField id="95" name="Ticker" tableColumnId="9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22547689-D4EB-4E95-BEB0-BBA3C4F81E6F}" autoFormatId="16" applyNumberFormats="0" applyBorderFormats="0" applyFontFormats="0" applyPatternFormats="0" applyAlignmentFormats="0" applyWidthHeightFormats="0">
  <queryTableRefresh nextId="50">
    <queryTableFields count="48">
      <queryTableField id="1" name="id" tableColumnId="1"/>
      <queryTableField id="2" name="fullTimeEmployees" tableColumnId="2"/>
      <queryTableField id="3" name="website" tableColumnId="3"/>
      <queryTableField id="4" name="industry" tableColumnId="4"/>
      <queryTableField id="5" name="sector" tableColumnId="5"/>
      <queryTableField id="6" name="longBusinessSummary" tableColumnId="6"/>
      <queryTableField id="7" name="Date" tableColumnId="7"/>
      <queryTableField id="8" name="debtToEquity" tableColumnId="8"/>
      <queryTableField id="9" name="totalDebt" tableColumnId="9"/>
      <queryTableField id="10" name="ebitda" tableColumnId="10"/>
      <queryTableField id="11" name="operatingMargins" tableColumnId="11"/>
      <queryTableField id="12" name="revenueGrowth" tableColumnId="12"/>
      <queryTableField id="13" name="totalCashPerShare" tableColumnId="13"/>
      <queryTableField id="14" name="revenuePerShare" tableColumnId="14"/>
      <queryTableField id="15" name="totalCash" tableColumnId="15"/>
      <queryTableField id="16" name="returnOnAssets" tableColumnId="16"/>
      <queryTableField id="17" name="profitMargins" tableColumnId="17"/>
      <queryTableField id="18" name="grossProfits" tableColumnId="18"/>
      <queryTableField id="19" name="earningsGrowth" tableColumnId="19"/>
      <queryTableField id="20" name="freeCashflow" tableColumnId="20"/>
      <queryTableField id="21" name="returnOnEquity" tableColumnId="21"/>
      <queryTableField id="22" name="quickRatio" tableColumnId="22"/>
      <queryTableField id="23" name="currentRatio" tableColumnId="23"/>
      <queryTableField id="24" name="operatingCashflow" tableColumnId="24"/>
      <queryTableField id="48" name="targetMeanPrice" tableColumnId="48"/>
      <queryTableField id="25" name="previousClose" tableColumnId="25"/>
      <queryTableField id="26" name="dividendRate" tableColumnId="26"/>
      <queryTableField id="27" name="dividendYield" tableColumnId="27"/>
      <queryTableField id="28" name="exDividendDate" tableColumnId="28"/>
      <queryTableField id="29" name="fiveYearAvgDividendYield" tableColumnId="29"/>
      <queryTableField id="30" name="beta" tableColumnId="30"/>
      <queryTableField id="31" name="trailingPE" tableColumnId="31"/>
      <queryTableField id="32" name="forwardPE" tableColumnId="32"/>
      <queryTableField id="33" name="averageVolume10days" tableColumnId="33"/>
      <queryTableField id="34" name="fiftyTwoWeekLow" tableColumnId="34"/>
      <queryTableField id="35" name="fiftyTwoWeekHigh" tableColumnId="35"/>
      <queryTableField id="36" name="priceToSalesTrailing12Months" tableColumnId="36"/>
      <queryTableField id="37" name="trailingAnnualDividendRate" tableColumnId="37"/>
      <queryTableField id="38" name="trailingAnnualDividendYield" tableColumnId="38"/>
      <queryTableField id="39" name="marketCap" tableColumnId="39"/>
      <queryTableField id="40" name="sharesOutstanding" tableColumnId="40"/>
      <queryTableField id="41" name="bookValue" tableColumnId="41"/>
      <queryTableField id="42" name="priceToBook" tableColumnId="42"/>
      <queryTableField id="43" name="lastFiscalYearEnd" tableColumnId="43"/>
      <queryTableField id="44" name="nextFiscalYearEnd" tableColumnId="44"/>
      <queryTableField id="45" name="mostRecentQuarter" tableColumnId="45"/>
      <queryTableField id="46" name="pegRatio" tableColumnId="46"/>
      <queryTableField id="47" name="Ticker" tableColumnId="4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2" xr16:uid="{B5686E67-314D-4EF7-A556-2BB8B8499AA2}" autoFormatId="16" applyNumberFormats="0" applyBorderFormats="0" applyFontFormats="0" applyPatternFormats="0" applyAlignmentFormats="0" applyWidthHeightFormats="0">
  <queryTableRefresh nextId="2">
    <queryTableFields count="1">
      <queryTableField id="1" name="Ticker"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3" xr16:uid="{260DA0D6-9285-4A9E-8BC3-B7F40131760B}" autoFormatId="16" applyNumberFormats="0" applyBorderFormats="0" applyFontFormats="0" applyPatternFormats="0" applyAlignmentFormats="0" applyWidthHeightFormats="0">
  <queryTableRefresh nextId="6">
    <queryTableFields count="5">
      <queryTableField id="1" name="Ticker" tableColumnId="1"/>
      <queryTableField id="2" name="asOfDate" tableColumnId="2"/>
      <queryTableField id="3" name="asOfDate_Min" tableColumnId="3"/>
      <queryTableField id="4" name="asOfDate_Max" tableColumnId="4"/>
      <queryTableField id="5" name="Year"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23674D13-011C-444F-A907-11D21D989326}" autoFormatId="16" applyNumberFormats="0" applyBorderFormats="0" applyFontFormats="0" applyPatternFormats="0" applyAlignmentFormats="0" applyWidthHeightFormats="0">
  <queryTableRefresh nextId="2">
    <queryTableFields count="1">
      <queryTableField id="1" name="avgInflation"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11" xr16:uid="{5AB1ED09-1E81-4CD6-BA01-109505E7246E}" autoFormatId="16" applyNumberFormats="0" applyBorderFormats="0" applyFontFormats="0" applyPatternFormats="0" applyAlignmentFormats="0" applyWidthHeightFormats="0">
  <queryTableRefresh nextId="4">
    <queryTableFields count="2">
      <queryTableField id="1" name="Ticker" tableColumnId="1"/>
      <queryTableField id="2" name="AvgReturn"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6" connectionId="7" xr16:uid="{D30B0C3E-1C4F-4FAC-BF11-2756A564A321}" autoFormatId="16" applyNumberFormats="0" applyBorderFormats="0" applyFontFormats="0" applyPatternFormats="0" applyAlignmentFormats="0" applyWidthHeightFormats="0">
  <queryTableRefresh nextId="5">
    <queryTableFields count="3">
      <queryTableField id="1" name="Ticker" tableColumnId="1"/>
      <queryTableField id="2" name="AvgReturn" tableColumnId="2"/>
      <queryTableField id="4" name="Yearly Average Return" tableColumnId="4"/>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20B4FC-A92E-4C19-8CED-84EDC2D48FD0}" name="Table7" displayName="Table7" ref="A1:C16" totalsRowShown="0">
  <autoFilter ref="A1:C16" xr:uid="{C220B4FC-A92E-4C19-8CED-84EDC2D48FD0}"/>
  <sortState xmlns:xlrd2="http://schemas.microsoft.com/office/spreadsheetml/2017/richdata2" ref="A2:C15">
    <sortCondition ref="A2:A15"/>
    <sortCondition ref="C2:C15"/>
  </sortState>
  <tableColumns count="3">
    <tableColumn id="1" xr3:uid="{112B079B-E411-4FD8-843D-7FE91ECF5F4D}" name="Version"/>
    <tableColumn id="2" xr3:uid="{8B94A2E0-7B56-41F0-80A8-4D444911805C}" name="Change Made"/>
    <tableColumn id="3" xr3:uid="{B43B9509-FEF2-47BF-953C-9BAFD6969207}" name="Statu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65579D-9862-40B8-8A03-541ACC176DC4}" name="PriceData_TNX_AvgRate" displayName="PriceData_TNX_AvgRate" ref="A1:B2" tableType="queryTable" totalsRowShown="0">
  <autoFilter ref="A1:B2" xr:uid="{F365579D-9862-40B8-8A03-541ACC176DC4}"/>
  <tableColumns count="2">
    <tableColumn id="1" xr3:uid="{8C3FBB6B-15BC-446F-B36D-9492B80905A1}" uniqueName="1" name="Ticker" queryTableFieldId="1" dataDxfId="349"/>
    <tableColumn id="2" xr3:uid="{EB65CE58-76AB-4221-BF81-3E949A8134B7}" uniqueName="2" name="AvgReturn" queryTableFieldId="2" dataDxfId="17" dataCellStyle="Percent"/>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D06DAF-448C-4009-9B15-07CFCD473134}" name="PriceData_GSPC_AvgRate" displayName="PriceData_GSPC_AvgRate" ref="A1:C2" tableType="queryTable" totalsRowShown="0">
  <autoFilter ref="A1:C2" xr:uid="{00D06DAF-448C-4009-9B15-07CFCD473134}"/>
  <tableColumns count="3">
    <tableColumn id="1" xr3:uid="{95B01681-1A2B-44F1-913A-EDE6BE697B1B}" uniqueName="1" name="Ticker" queryTableFieldId="1" dataDxfId="348"/>
    <tableColumn id="2" xr3:uid="{47C28AA4-9D08-45A2-8466-4412C70D8910}" uniqueName="2" name="AvgReturn" queryTableFieldId="2" dataDxfId="16" dataCellStyle="Percent"/>
    <tableColumn id="4" xr3:uid="{40F09CFD-F841-46AF-8C74-67B5625E5554}" uniqueName="4" name="Yearly Average Return" queryTableFieldId="4" dataDxfId="15" dataCellStyle="Percent"/>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9794AF-BD60-4CAB-8E89-E8B188B656C9}" name="PriceData_Ticker_AvgRate" displayName="PriceData_Ticker_AvgRate" ref="A1:C11" tableType="queryTable" totalsRowShown="0">
  <autoFilter ref="A1:C11" xr:uid="{629794AF-BD60-4CAB-8E89-E8B188B656C9}"/>
  <sortState xmlns:xlrd2="http://schemas.microsoft.com/office/spreadsheetml/2017/richdata2" ref="A2:C11">
    <sortCondition ref="A1:A11"/>
  </sortState>
  <tableColumns count="3">
    <tableColumn id="1" xr3:uid="{AB8A4B54-6FEA-4AE4-84F4-5128781E87DE}" uniqueName="1" name="Ticker" queryTableFieldId="1" dataDxfId="347"/>
    <tableColumn id="2" xr3:uid="{C6AF1529-F766-4811-82A9-BF2B2FCD5B84}" uniqueName="2" name="AvgReturn" queryTableFieldId="2" dataDxfId="14" dataCellStyle="Percent"/>
    <tableColumn id="3" xr3:uid="{70AE33BD-4908-4906-A18B-EC30AE22A38A}" uniqueName="3" name="Yearly Average Return" queryTableFieldId="3" dataDxfId="13" dataCellStyle="Percent"/>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C77C9E-B87D-43DA-862E-FC847C954ED2}" name="PriceData_Ticker" displayName="PriceData_Ticker" ref="A1:R544" tableType="queryTable" totalsRowShown="0">
  <autoFilter ref="A1:R544" xr:uid="{56C77C9E-B87D-43DA-862E-FC847C954ED2}">
    <filterColumn colId="0">
      <filters>
        <filter val="VLTO"/>
      </filters>
    </filterColumn>
  </autoFilter>
  <tableColumns count="18">
    <tableColumn id="1" xr3:uid="{35FBBFB3-9A1A-4B4E-B49E-95AA94B5B0D9}" uniqueName="1" name="Ticker" queryTableFieldId="1" dataDxfId="8"/>
    <tableColumn id="2" xr3:uid="{1E0BC823-5EA3-4186-8532-37FA306C5195}" uniqueName="2" name="price_date" queryTableFieldId="2" dataDxfId="7"/>
    <tableColumn id="3" xr3:uid="{74DF9E03-F29C-43C0-AADF-D1A267935FA1}" uniqueName="3" name="open" queryTableFieldId="3"/>
    <tableColumn id="4" xr3:uid="{573C41BC-6286-4470-8291-7583F76E3649}" uniqueName="4" name="high" queryTableFieldId="4"/>
    <tableColumn id="5" xr3:uid="{56DB6E30-1DF5-4583-972E-86A049713946}" uniqueName="5" name="low" queryTableFieldId="5"/>
    <tableColumn id="6" xr3:uid="{FFF2267D-6D6B-4CEF-9F04-ACB08421D2F9}" uniqueName="6" name="close" queryTableFieldId="6"/>
    <tableColumn id="7" xr3:uid="{9EDFE602-CB84-4319-8687-30BCDFDA30F0}" uniqueName="7" name="volume" queryTableFieldId="7"/>
    <tableColumn id="8" xr3:uid="{9A64D76E-18A6-4973-97F2-F2682AEB0841}" uniqueName="8" name="adjclose" queryTableFieldId="8"/>
    <tableColumn id="9" xr3:uid="{BA69500B-6E82-4F54-BFD9-C4CD7D140CEC}" uniqueName="9" name="id" queryTableFieldId="9" dataDxfId="6"/>
    <tableColumn id="10" xr3:uid="{7D3E080C-6433-4EA6-8D49-C343FF747A09}" uniqueName="10" name="Pull_Date" queryTableFieldId="10" dataDxfId="5"/>
    <tableColumn id="11" xr3:uid="{68FAB0EE-809F-4FE3-B4EF-D0EF690C7E0C}" uniqueName="11" name="dividends" queryTableFieldId="11"/>
    <tableColumn id="13" xr3:uid="{58BA5805-D8B7-462F-A18B-3C876C7F3091}" uniqueName="13" name="change_in_price" queryTableFieldId="13"/>
    <tableColumn id="14" xr3:uid="{5B4AF425-30A0-40AA-B191-1787B234BF55}" uniqueName="14" name="percent_return" queryTableFieldId="14"/>
    <tableColumn id="15" xr3:uid="{B447A333-E92A-44C2-9E41-1D2E77C1283E}" uniqueName="15" name="open_close_diff" queryTableFieldId="15"/>
    <tableColumn id="16" xr3:uid="{DF3C07F7-547E-4A74-92D5-1A6FBA9E3B4C}" uniqueName="16" name="open_high_diff" queryTableFieldId="16"/>
    <tableColumn id="17" xr3:uid="{63A13637-4C58-4BF4-9FD5-F7EFD2C7FEA2}" uniqueName="17" name="day_of_week" queryTableFieldId="17" dataDxfId="4"/>
    <tableColumn id="18" xr3:uid="{3842E5A3-1394-438E-BF4D-421DB35821E3}" uniqueName="18" name="price_date_year" queryTableFieldId="18"/>
    <tableColumn id="12" xr3:uid="{9CAEA129-F987-459C-BF10-A3ECAF1AB112}" uniqueName="12" name="splits" queryTableFieldId="1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286AD66-B3E4-46A4-B4BB-312819BFA693}" name="PriceData_TNX" displayName="PriceData_TNX" ref="A1:O49" tableType="queryTable" totalsRowShown="0">
  <autoFilter ref="A1:O49" xr:uid="{5286AD66-B3E4-46A4-B4BB-312819BFA693}"/>
  <tableColumns count="15">
    <tableColumn id="1" xr3:uid="{F03AFBF2-8E71-40FC-8C35-57635D854FD3}" uniqueName="1" name="Ticker" queryTableFieldId="1" dataDxfId="346"/>
    <tableColumn id="2" xr3:uid="{C832C61D-CB86-4953-9818-DCED0626074B}" uniqueName="2" name="price_date" queryTableFieldId="2" dataDxfId="3"/>
    <tableColumn id="3" xr3:uid="{E20867D5-59CA-4D0D-B68D-19271EF57081}" uniqueName="3" name="open" queryTableFieldId="3"/>
    <tableColumn id="4" xr3:uid="{1ACABFDA-FC94-4DAF-99FE-10C64FBA1D29}" uniqueName="4" name="high" queryTableFieldId="4"/>
    <tableColumn id="5" xr3:uid="{CC568CB7-871E-43EC-8B99-91CE33B6885D}" uniqueName="5" name="low" queryTableFieldId="5"/>
    <tableColumn id="6" xr3:uid="{87B900E3-F990-49AC-A6B4-F2906ADCA596}" uniqueName="6" name="close" queryTableFieldId="6"/>
    <tableColumn id="7" xr3:uid="{892929FF-49B8-4F85-BB03-AFB8E77CABAB}" uniqueName="7" name="volume" queryTableFieldId="7"/>
    <tableColumn id="8" xr3:uid="{09E309C2-C17C-422A-BEB0-A1591277370D}" uniqueName="8" name="adjclose" queryTableFieldId="8"/>
    <tableColumn id="9" xr3:uid="{67797AB9-6B6F-4E77-B627-F35722D20E8F}" uniqueName="9" name="id" queryTableFieldId="9" dataDxfId="345"/>
    <tableColumn id="10" xr3:uid="{3C8C4FB1-FE11-43AD-89E5-0E3B1353CC1A}" uniqueName="10" name="Pull_Date" queryTableFieldId="10" dataDxfId="2"/>
    <tableColumn id="11" xr3:uid="{4ABB603A-6620-47A7-82DB-39555B755B34}" uniqueName="11" name="percent_return" queryTableFieldId="11"/>
    <tableColumn id="12" xr3:uid="{5EA9EEC5-A6CF-4C51-92D3-4C36054B0A39}" uniqueName="12" name="open_close_diff" queryTableFieldId="12"/>
    <tableColumn id="13" xr3:uid="{9E4381F7-0AAA-422D-BC33-ECFBF734D64F}" uniqueName="13" name="open_high_diff" queryTableFieldId="13"/>
    <tableColumn id="14" xr3:uid="{617D4392-2DB1-408E-8632-CAB906E8C00D}" uniqueName="14" name="day_of_week" queryTableFieldId="14" dataDxfId="344"/>
    <tableColumn id="15" xr3:uid="{E7844A20-052D-4980-AB96-E4C8B179657A}" uniqueName="15" name="price_date_year" queryTableFieldId="1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95596E-35ED-4B0B-AF5E-1C29388352FA}" name="PriceData_GSPC" displayName="PriceData_GSPC" ref="A1:O49" tableType="queryTable" totalsRowShown="0">
  <autoFilter ref="A1:O49" xr:uid="{5695596E-35ED-4B0B-AF5E-1C29388352FA}"/>
  <tableColumns count="15">
    <tableColumn id="1" xr3:uid="{476EC5B9-A384-45D0-AB38-988EC2FA4763}" uniqueName="1" name="Ticker" queryTableFieldId="1" dataDxfId="343"/>
    <tableColumn id="2" xr3:uid="{59C9CE97-E0C9-4F8F-8947-D10E81E32854}" uniqueName="2" name="price_date" queryTableFieldId="2" dataDxfId="1"/>
    <tableColumn id="3" xr3:uid="{C2150377-0143-452F-9765-DC42A50A10E4}" uniqueName="3" name="open" queryTableFieldId="3"/>
    <tableColumn id="4" xr3:uid="{EE55D843-75B7-427E-AE6B-FEF024555FBB}" uniqueName="4" name="high" queryTableFieldId="4"/>
    <tableColumn id="5" xr3:uid="{ACEDC5AA-B799-4F6E-8544-A0EFC6ED3E45}" uniqueName="5" name="low" queryTableFieldId="5"/>
    <tableColumn id="6" xr3:uid="{379C6F9E-2F99-4CC5-B9DE-76CE560516B0}" uniqueName="6" name="close" queryTableFieldId="6"/>
    <tableColumn id="7" xr3:uid="{16623B10-1C80-47CE-AF91-FFEBE632D9C7}" uniqueName="7" name="volume" queryTableFieldId="7"/>
    <tableColumn id="8" xr3:uid="{C49DBE65-3B38-4404-9785-99C0D4F0EFE2}" uniqueName="8" name="adjclose" queryTableFieldId="8"/>
    <tableColumn id="9" xr3:uid="{9B75DB78-580A-43A1-8FAA-32407C1E68ED}" uniqueName="9" name="id" queryTableFieldId="9" dataDxfId="342"/>
    <tableColumn id="10" xr3:uid="{FB90863A-225C-454D-A772-F435B90710A6}" uniqueName="10" name="Pull_Date" queryTableFieldId="10" dataDxfId="0"/>
    <tableColumn id="11" xr3:uid="{12E70A42-6A71-4DFA-9C56-D6E6755B9C90}" uniqueName="11" name="percent_return" queryTableFieldId="11"/>
    <tableColumn id="12" xr3:uid="{F647C59F-07C9-4CAB-BA79-F95C6D787522}" uniqueName="12" name="open_close_diff" queryTableFieldId="12"/>
    <tableColumn id="13" xr3:uid="{CF515FB3-B241-4B07-A277-CD1CE9F5788F}" uniqueName="13" name="open_high_diff" queryTableFieldId="13"/>
    <tableColumn id="14" xr3:uid="{B7C3F0C2-15BB-476F-84F0-3C296BF1FA04}" uniqueName="14" name="day_of_week" queryTableFieldId="14" dataDxfId="341"/>
    <tableColumn id="15" xr3:uid="{3852E20C-3595-45DF-A441-9F426EEEA405}" uniqueName="15" name="price_date_year"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D284A8-1370-4A2F-B382-6D9782DC6DA8}" name="Table8" displayName="Table8" ref="E1:F4" totalsRowShown="0">
  <autoFilter ref="E1:F4" xr:uid="{21D284A8-1370-4A2F-B382-6D9782DC6DA8}"/>
  <tableColumns count="2">
    <tableColumn id="1" xr3:uid="{7820A706-A586-4ABA-ADAE-5091AF7F78EA}" name="#" dataDxfId="362"/>
    <tableColumn id="2" xr3:uid="{879532C5-9FC3-416C-B1A0-596EC4E5F040}" name="Ide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E61F55-C9D6-474F-9932-7DF1D592F1B3}" name="IncomeStatement" displayName="IncomeStatement" ref="A1:CA93" tableType="queryTable" totalsRowShown="0">
  <autoFilter ref="A1:CA93" xr:uid="{96E61F55-C9D6-474F-9932-7DF1D592F1B3}">
    <filterColumn colId="0">
      <filters>
        <filter val="L20240826"/>
      </filters>
    </filterColumn>
    <filterColumn colId="3">
      <filters>
        <filter val="12M"/>
      </filters>
    </filterColumn>
  </autoFilter>
  <tableColumns count="79">
    <tableColumn id="1" xr3:uid="{17854FD5-DA44-4BBC-B637-C893F020EF95}" uniqueName="1" name="id" queryTableFieldId="1" dataDxfId="340"/>
    <tableColumn id="2" xr3:uid="{A31D2101-F390-4F70-BBAA-BDC4C684BAC3}" uniqueName="2" name="asOfDate" queryTableFieldId="2" dataDxfId="339"/>
    <tableColumn id="75" xr3:uid="{0BE83C99-E5E5-4E6F-8936-15373194439E}" uniqueName="75" name="Year" queryTableFieldId="75"/>
    <tableColumn id="3" xr3:uid="{FE7EAECF-9660-4115-9E1B-DE22802F35F7}" uniqueName="3" name="periodType" queryTableFieldId="3" dataDxfId="338"/>
    <tableColumn id="4" xr3:uid="{EED1BAC0-A38A-4B28-A7BA-33C9E570D384}" uniqueName="4" name="currencyCode" queryTableFieldId="4" dataDxfId="337"/>
    <tableColumn id="5" xr3:uid="{74AEDA20-0BBC-47DC-8932-457185418876}" uniqueName="5" name="AverageDilutionEarnings" queryTableFieldId="5" dataDxfId="336" dataCellStyle="Comma"/>
    <tableColumn id="6" xr3:uid="{81E828FF-AC8E-4DFD-AD74-0D9E3C221630}" uniqueName="6" name="BasicAverageShares" queryTableFieldId="6" dataDxfId="335" dataCellStyle="Comma"/>
    <tableColumn id="7" xr3:uid="{A6765C95-D5A4-4787-88DA-D17AFE7C2A7D}" uniqueName="7" name="BasicEPS" queryTableFieldId="7" dataDxfId="334" dataCellStyle="Comma"/>
    <tableColumn id="8" xr3:uid="{0162BF3A-125A-4E86-A784-C889C4F38CBD}" uniqueName="8" name="CostOfRevenue" queryTableFieldId="8" dataDxfId="333" dataCellStyle="Comma"/>
    <tableColumn id="9" xr3:uid="{EA42CB82-08EC-4452-AD7E-8B52D7DE3C57}" uniqueName="9" name="DepreciationAmortizationDepletionIncomeStatement" queryTableFieldId="9" dataDxfId="332" dataCellStyle="Comma"/>
    <tableColumn id="10" xr3:uid="{544FF0BA-B15C-42EF-9376-D8836A8B8ED0}" uniqueName="10" name="DepreciationAndAmortizationInIncomeStatement" queryTableFieldId="10" dataDxfId="331" dataCellStyle="Comma"/>
    <tableColumn id="11" xr3:uid="{8E85930D-BB84-451B-A83C-B8D97E41F737}" uniqueName="11" name="DilutedAverageShares" queryTableFieldId="11" dataDxfId="330" dataCellStyle="Comma"/>
    <tableColumn id="12" xr3:uid="{495157F7-2E56-4F82-93A5-743251DA51F7}" uniqueName="12" name="DilutedEPS" queryTableFieldId="12" dataDxfId="329" dataCellStyle="Comma"/>
    <tableColumn id="13" xr3:uid="{714D63CA-2983-4EC0-8454-63567C9D8860}" uniqueName="13" name="DilutedNIAvailtoComStockholders" queryTableFieldId="13" dataDxfId="328" dataCellStyle="Comma"/>
    <tableColumn id="14" xr3:uid="{C262F41E-BBB7-4B32-ACAD-882D22024DDB}" uniqueName="14" name="EBIT" queryTableFieldId="14" dataDxfId="327" dataCellStyle="Comma"/>
    <tableColumn id="15" xr3:uid="{38106D96-12D3-4C3D-9468-5CFADE77577A}" uniqueName="15" name="EBITDA" queryTableFieldId="15" dataDxfId="326" dataCellStyle="Comma"/>
    <tableColumn id="16" xr3:uid="{CAAED31E-D0BA-476E-AF24-327A274D8BFD}" uniqueName="16" name="EarningsFromEquityInterestNetOfTax" queryTableFieldId="16" dataDxfId="325" dataCellStyle="Comma"/>
    <tableColumn id="17" xr3:uid="{699059D6-2673-4242-9CE2-7F45EB12AB34}" uniqueName="17" name="GainOnSaleOfBusiness" queryTableFieldId="17" dataDxfId="324" dataCellStyle="Comma"/>
    <tableColumn id="18" xr3:uid="{97CF692C-E10A-44CF-BCEE-641FB14BD22F}" uniqueName="18" name="GainOnSaleOfSecurity" queryTableFieldId="18" dataDxfId="323" dataCellStyle="Comma"/>
    <tableColumn id="19" xr3:uid="{DE67067D-7ACD-406A-996A-3C9702233B39}" uniqueName="19" name="GeneralAndAdministrativeExpense" queryTableFieldId="19" dataDxfId="322" dataCellStyle="Comma"/>
    <tableColumn id="20" xr3:uid="{FD74E4FC-9814-47EF-8F69-E2F1E74A4014}" uniqueName="20" name="GrossProfit" queryTableFieldId="20" dataDxfId="321" dataCellStyle="Comma"/>
    <tableColumn id="21" xr3:uid="{316D7B18-7CE5-4A0C-BC82-A74582A65BFD}" uniqueName="21" name="InterestExpense" queryTableFieldId="21" dataDxfId="320" dataCellStyle="Comma"/>
    <tableColumn id="22" xr3:uid="{8A85C14F-BA03-4195-A0A8-AC962EF5CC8E}" uniqueName="22" name="InterestExpenseNonOperating" queryTableFieldId="22" dataDxfId="319" dataCellStyle="Comma"/>
    <tableColumn id="23" xr3:uid="{5FCCD228-BB7D-49A6-8318-580D7B569B31}" uniqueName="23" name="InterestIncome" queryTableFieldId="23" dataDxfId="318" dataCellStyle="Comma"/>
    <tableColumn id="24" xr3:uid="{BC2E2514-748B-4348-B055-8B8830E00F0F}" uniqueName="24" name="InterestIncomeNonOperating" queryTableFieldId="24" dataDxfId="317" dataCellStyle="Comma"/>
    <tableColumn id="25" xr3:uid="{71ED8086-C6F2-4472-9FE1-6D2A300A0A68}" uniqueName="25" name="MinorityInterests" queryTableFieldId="25" dataDxfId="316" dataCellStyle="Comma"/>
    <tableColumn id="26" xr3:uid="{CF5706E8-DA3B-4B85-AD9C-5EF45FAA1BBC}" uniqueName="26" name="NetIncome" queryTableFieldId="26" dataDxfId="315" dataCellStyle="Comma"/>
    <tableColumn id="27" xr3:uid="{14260D7D-2222-4A11-9558-45BC8E546D67}" uniqueName="27" name="NetIncomeCommonStockholders" queryTableFieldId="27" dataDxfId="314" dataCellStyle="Comma"/>
    <tableColumn id="28" xr3:uid="{67EFF183-BA7E-45B6-880B-8D7B5B558481}" uniqueName="28" name="NetIncomeContinuousOperations" queryTableFieldId="28" dataDxfId="313" dataCellStyle="Comma"/>
    <tableColumn id="29" xr3:uid="{B1F0D07A-CBD1-407E-886B-C9BB1E213A76}" uniqueName="29" name="NetIncomeFromContinuingAndDiscontinuedOperation" queryTableFieldId="29" dataDxfId="312" dataCellStyle="Comma"/>
    <tableColumn id="30" xr3:uid="{7C076902-BFC3-48A4-A004-5496088FFC1D}" uniqueName="30" name="NetIncomeFromContinuingOperationNetMinorityInterest" queryTableFieldId="30" dataDxfId="311" dataCellStyle="Comma"/>
    <tableColumn id="31" xr3:uid="{BC5C9E26-848F-42BF-A1ED-A9178351C71E}" uniqueName="31" name="NetIncomeIncludingNoncontrollingInterests" queryTableFieldId="31" dataDxfId="310" dataCellStyle="Comma"/>
    <tableColumn id="32" xr3:uid="{832A07CD-380D-454E-9193-A7B13E1329E4}" uniqueName="32" name="NetInterestIncome" queryTableFieldId="32" dataDxfId="309" dataCellStyle="Comma"/>
    <tableColumn id="33" xr3:uid="{326F97B8-CAAA-43DB-BAA6-988C0DCC8B17}" uniqueName="33" name="NetNonOperatingInterestIncomeExpense" queryTableFieldId="33" dataDxfId="308" dataCellStyle="Comma"/>
    <tableColumn id="34" xr3:uid="{D1CD8E56-E57E-4A7A-8012-69940D742B87}" uniqueName="34" name="NormalizedEBITDA" queryTableFieldId="34" dataDxfId="307" dataCellStyle="Comma"/>
    <tableColumn id="35" xr3:uid="{E5992184-22AD-4F6E-9185-DF2FB3759434}" uniqueName="35" name="NormalizedIncome" queryTableFieldId="35" dataDxfId="306" dataCellStyle="Comma"/>
    <tableColumn id="36" xr3:uid="{D073B15F-F677-49A8-8E36-843CAE9653C2}" uniqueName="36" name="OperatingExpense" queryTableFieldId="36" dataDxfId="305" dataCellStyle="Comma"/>
    <tableColumn id="37" xr3:uid="{9D3A348A-8564-49FD-9AC2-1399686DF6A4}" uniqueName="37" name="OperatingIncome" queryTableFieldId="37" dataDxfId="304" dataCellStyle="Comma"/>
    <tableColumn id="38" xr3:uid="{2C65600A-4FFF-4D31-AEA7-3A586C958442}" uniqueName="38" name="OperatingRevenue" queryTableFieldId="38" dataDxfId="303" dataCellStyle="Comma"/>
    <tableColumn id="39" xr3:uid="{0EDE01F4-1B2D-40E4-8806-580B41F76FE3}" uniqueName="39" name="OtherGandA" queryTableFieldId="39" dataDxfId="302" dataCellStyle="Comma"/>
    <tableColumn id="40" xr3:uid="{48879E45-9E3C-43C9-A5E4-B401FB1E8B61}" uniqueName="40" name="OtherIncomeExpense" queryTableFieldId="40" dataDxfId="301" dataCellStyle="Comma"/>
    <tableColumn id="41" xr3:uid="{8AD577D8-FAD6-4AE8-8982-95A11C2A3511}" uniqueName="41" name="OtherNonOperatingIncomeExpenses" queryTableFieldId="41" dataDxfId="300" dataCellStyle="Comma"/>
    <tableColumn id="42" xr3:uid="{C1287357-3406-4567-9830-FDB7BBE37FE3}" uniqueName="42" name="OtherOperatingExpenses" queryTableFieldId="42" dataDxfId="299" dataCellStyle="Comma"/>
    <tableColumn id="43" xr3:uid="{9581FC6F-7124-4C26-8F1D-23B0A64597FD}" uniqueName="43" name="OtherunderPreferredStockDividend" queryTableFieldId="43" dataDxfId="298" dataCellStyle="Comma"/>
    <tableColumn id="44" xr3:uid="{1A083BE6-BDA6-497B-836E-02AA73AFD669}" uniqueName="44" name="PretaxIncome" queryTableFieldId="44" dataDxfId="297" dataCellStyle="Comma"/>
    <tableColumn id="45" xr3:uid="{8657D94E-D4DC-4628-BA23-725F969C9D84}" uniqueName="45" name="ReconciledCostOfRevenue" queryTableFieldId="45" dataDxfId="296" dataCellStyle="Comma"/>
    <tableColumn id="46" xr3:uid="{0876F679-F31F-4F89-8579-D3564693B480}" uniqueName="46" name="ReconciledDepreciation" queryTableFieldId="46" dataDxfId="295" dataCellStyle="Comma"/>
    <tableColumn id="47" xr3:uid="{737DB7C7-E154-456F-87D8-1361A8022D63}" uniqueName="47" name="ResearchAndDevelopment" queryTableFieldId="47" dataDxfId="294" dataCellStyle="Comma"/>
    <tableColumn id="48" xr3:uid="{9B13C0E6-52D0-454C-9A3E-9DC8A68F07C0}" uniqueName="48" name="SellingAndMarketingExpense" queryTableFieldId="48" dataDxfId="293" dataCellStyle="Comma"/>
    <tableColumn id="49" xr3:uid="{4978A1D1-1BD9-49A9-B88A-2856444FF097}" uniqueName="49" name="SellingGeneralAndAdministration" queryTableFieldId="49" dataDxfId="292" dataCellStyle="Comma"/>
    <tableColumn id="50" xr3:uid="{D76E409A-98F8-4235-AE4C-20EB99ACB674}" uniqueName="50" name="SpecialIncomeCharges" queryTableFieldId="50" dataDxfId="291" dataCellStyle="Comma"/>
    <tableColumn id="51" xr3:uid="{F66B3855-C985-49A5-BB40-529B4C92BC7A}" uniqueName="51" name="TaxEffectOfUnusualItems" queryTableFieldId="51" dataDxfId="290" dataCellStyle="Comma"/>
    <tableColumn id="52" xr3:uid="{88F2F258-D1F1-42A3-A5D1-78C72A21843F}" uniqueName="52" name="TaxProvision" queryTableFieldId="52" dataDxfId="289" dataCellStyle="Comma"/>
    <tableColumn id="53" xr3:uid="{8EED3DD2-A136-41DC-9B8E-8460F0BE1521}" uniqueName="53" name="TaxRateForCalcs" queryTableFieldId="53" dataDxfId="288" dataCellStyle="Comma"/>
    <tableColumn id="78" xr3:uid="{4EDA061D-F616-4F4C-9C3A-6FB6CF9BFF35}" uniqueName="78" name="TotalOtherFinanceCost" queryTableFieldId="81" dataDxfId="287" dataCellStyle="Comma"/>
    <tableColumn id="54" xr3:uid="{BF361207-AF43-4B8D-AFD3-AE6F43E85F19}" uniqueName="54" name="TotalExpenses" queryTableFieldId="54" dataDxfId="286" dataCellStyle="Comma"/>
    <tableColumn id="55" xr3:uid="{57AC524C-0B13-4E67-9FD8-10B0CDDC43AB}" uniqueName="55" name="TotalOperatingIncomeAsReported" queryTableFieldId="55" dataDxfId="285" dataCellStyle="Comma"/>
    <tableColumn id="56" xr3:uid="{49D9ECB6-0498-4AE2-8229-42ABC41B1578}" uniqueName="56" name="TotalRevenue" queryTableFieldId="56" dataDxfId="284" dataCellStyle="Comma"/>
    <tableColumn id="57" xr3:uid="{ED3EBE08-BA8B-4A10-B654-32DA5428EFF6}" uniqueName="57" name="TotalUnusualItems" queryTableFieldId="57" dataDxfId="283" dataCellStyle="Comma"/>
    <tableColumn id="58" xr3:uid="{1E05DF99-61C1-47BB-905F-74250EC8B494}" uniqueName="58" name="TotalUnusualItemsExcludingGoodwill" queryTableFieldId="58" dataDxfId="282" dataCellStyle="Comma"/>
    <tableColumn id="59" xr3:uid="{81FF75E0-0AF2-48C4-9841-F98F83FA909A}" uniqueName="59" name="WriteOff" queryTableFieldId="59" dataDxfId="281" dataCellStyle="Comma"/>
    <tableColumn id="60" xr3:uid="{1C511495-0568-4CAE-AC19-DB16E328C12C}" uniqueName="60" name="NetIncomeDiscontinuousOperations" queryTableFieldId="60" dataDxfId="280" dataCellStyle="Comma"/>
    <tableColumn id="77" xr3:uid="{B58826C0-652D-468F-A2AB-DDBF5281267E}" uniqueName="77" name="DepreciationIncomeStatement" queryTableFieldId="367" dataDxfId="279" dataCellStyle="Comma"/>
    <tableColumn id="61" xr3:uid="{2AE2FF8D-D67C-4CDC-B1E5-6DD7DD088EF9}" uniqueName="61" name="EarningsFromEquityInterest" queryTableFieldId="61" dataDxfId="278" dataCellStyle="Comma"/>
    <tableColumn id="62" xr3:uid="{0012014D-CA85-46D9-A066-428937D47E7F}" uniqueName="62" name="ImpairmentOfCapitalAssets" queryTableFieldId="62" dataDxfId="277" dataCellStyle="Comma"/>
    <tableColumn id="76" xr3:uid="{A8F215D2-8262-472C-9723-2E805B957008}" uniqueName="76" name="InsuranceAndClaims" queryTableFieldId="321" dataDxfId="276" dataCellStyle="Comma"/>
    <tableColumn id="63" xr3:uid="{2DAA508E-B92C-426F-AF80-C50AB6B8649F}" uniqueName="63" name="PreferredStockDividends" queryTableFieldId="63" dataDxfId="275" dataCellStyle="Comma"/>
    <tableColumn id="79" xr3:uid="{293494E8-5E53-411F-975A-1CB3E9FE36BF}" uniqueName="79" name="asOfYear" queryTableFieldId="94" dataDxfId="274" dataCellStyle="Comma"/>
    <tableColumn id="64" xr3:uid="{9D8A887E-0AE1-4B17-A126-571351DE9966}" uniqueName="64" name="Amortization" queryTableFieldId="64" dataDxfId="273" dataCellStyle="Comma"/>
    <tableColumn id="65" xr3:uid="{38A61CCE-7A39-41DB-B111-3581E107EEA9}" uniqueName="65" name="AmortizationOfIntangiblesIncomeStatement" queryTableFieldId="65" dataDxfId="272" dataCellStyle="Comma"/>
    <tableColumn id="66" xr3:uid="{2BF617EF-DC94-40CF-882F-91A4150D4476}" uniqueName="66" name="OtherSpecialCharges" queryTableFieldId="66" dataDxfId="271" dataCellStyle="Comma"/>
    <tableColumn id="67" xr3:uid="{95B83D96-6BD5-438B-925F-5D0FC21C557A}" uniqueName="67" name="OtherTaxes" queryTableFieldId="67" dataDxfId="270" dataCellStyle="Comma"/>
    <tableColumn id="68" xr3:uid="{94A7F6EE-AADA-45C1-9B84-779BE2F20636}" uniqueName="68" name="RestructuringAndMergernAcquisition" queryTableFieldId="68" dataDxfId="269" dataCellStyle="Comma"/>
    <tableColumn id="69" xr3:uid="{EBC1560D-2450-4001-A237-A0B68BC06556}" uniqueName="69" name="GainOnSaleOfPPE" queryTableFieldId="69" dataDxfId="268" dataCellStyle="Comma"/>
    <tableColumn id="70" xr3:uid="{756E3A56-235A-4E75-A3C9-4B223AE05B25}" uniqueName="70" name="ProvisionForDoubtfulAccounts" queryTableFieldId="70" dataDxfId="267" dataCellStyle="Comma"/>
    <tableColumn id="71" xr3:uid="{A3637E10-0C0A-4030-AB6C-5FFF6D9FFF6C}" uniqueName="71" name="SalariesAndWages" queryTableFieldId="71" dataDxfId="266" dataCellStyle="Comma"/>
    <tableColumn id="72" xr3:uid="{8FD72E85-CD81-4042-B1D8-1AED3141EC9C}" uniqueName="72" name="RentAndLandingFees" queryTableFieldId="72" dataDxfId="265" dataCellStyle="Comma"/>
    <tableColumn id="73" xr3:uid="{0923D9B2-1F71-4784-BB8B-F2B8DC2DC9B3}" uniqueName="73" name="RentExpenseSupplemental" queryTableFieldId="73" dataDxfId="264" dataCellStyle="Comma"/>
    <tableColumn id="74" xr3:uid="{01070C76-4E03-4DE5-9126-74865A675E46}" uniqueName="74" name="Ticker" queryTableFieldId="74" dataDxfId="26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0AAE30-54DE-4F69-9092-57C42745D75D}" name="BalanceSheet" displayName="BalanceSheet" ref="A1:EC51" tableType="queryTable" totalsRowShown="0">
  <autoFilter ref="A1:EC51" xr:uid="{4A0AAE30-54DE-4F69-9092-57C42745D75D}"/>
  <tableColumns count="133">
    <tableColumn id="1" xr3:uid="{383908E0-5C86-4DE7-8B3C-32159D5F2E68}" uniqueName="1" name="id" queryTableFieldId="1" dataDxfId="262"/>
    <tableColumn id="2" xr3:uid="{FE76E6C4-D38C-4ABE-A2BE-0197746D560A}" uniqueName="2" name="asOfDate" queryTableFieldId="2" dataDxfId="261"/>
    <tableColumn id="128" xr3:uid="{268DC9F9-27F1-4540-AA7B-9B42422C8E6F}" uniqueName="128" name="Year" queryTableFieldId="128"/>
    <tableColumn id="3" xr3:uid="{2E271D49-92D3-4E01-95FF-C930C77321DF}" uniqueName="3" name="periodType" queryTableFieldId="3" dataDxfId="260"/>
    <tableColumn id="4" xr3:uid="{78B17CD5-D105-4C8A-BE64-39D9582BE232}" uniqueName="4" name="currencyCode" queryTableFieldId="4" dataDxfId="259"/>
    <tableColumn id="5" xr3:uid="{D96ADEFC-64CD-4226-93CB-67F9F9A00732}" uniqueName="5" name="AccountsPayable" queryTableFieldId="5" dataDxfId="258" dataCellStyle="Comma"/>
    <tableColumn id="6" xr3:uid="{739130AE-A335-459A-BE4F-6C45F47DC0D0}" uniqueName="6" name="AccountsReceivable" queryTableFieldId="6" dataDxfId="257" dataCellStyle="Comma"/>
    <tableColumn id="7" xr3:uid="{F1A9FE73-65BC-472B-A6EB-78F3B4CB090C}" uniqueName="7" name="AccumulatedDepreciation" queryTableFieldId="7" dataDxfId="256" dataCellStyle="Comma"/>
    <tableColumn id="8" xr3:uid="{4F268656-DCF3-4147-B549-0A65361D25CC}" uniqueName="8" name="AdditionalPaidInCapital" queryTableFieldId="8" dataDxfId="255" dataCellStyle="Comma"/>
    <tableColumn id="9" xr3:uid="{8AD25D0D-1242-4D76-ADDD-E696357D49CD}" uniqueName="9" name="AllowanceForDoubtfulAccountsReceivable" queryTableFieldId="9" dataDxfId="254" dataCellStyle="Comma"/>
    <tableColumn id="10" xr3:uid="{6C926260-76DD-4F60-A21F-E47FB90B40BC}" uniqueName="10" name="AssetsHeldForSaleCurrent" queryTableFieldId="10" dataDxfId="253" dataCellStyle="Comma"/>
    <tableColumn id="11" xr3:uid="{FF3C59D0-DE82-4D02-A34A-2D3E0F9702D9}" uniqueName="11" name="AvailableForSaleSecurities" queryTableFieldId="11" dataDxfId="252" dataCellStyle="Comma"/>
    <tableColumn id="12" xr3:uid="{5DB039D3-A1B6-470A-BED2-B9D27697B596}" uniqueName="12" name="BuildingsAndImprovements" queryTableFieldId="12" dataDxfId="251" dataCellStyle="Comma"/>
    <tableColumn id="13" xr3:uid="{F471DAF1-C2E3-4219-897E-26506419EA0B}" uniqueName="13" name="CapitalLeaseObligations" queryTableFieldId="13" dataDxfId="250" dataCellStyle="Comma"/>
    <tableColumn id="14" xr3:uid="{42E8AA2A-F12F-43C7-AB53-2B9D26641A23}" uniqueName="14" name="CapitalStock" queryTableFieldId="14" dataDxfId="249" dataCellStyle="Comma"/>
    <tableColumn id="15" xr3:uid="{A8B4C8C1-98B7-4F7F-8716-49D5F970DA96}" uniqueName="15" name="CashAndCashEquivalents" queryTableFieldId="15" dataDxfId="248" dataCellStyle="Comma"/>
    <tableColumn id="16" xr3:uid="{22D177B8-61B2-425D-8D9D-47EFF8F141A6}" uniqueName="16" name="CashCashEquivalentsAndShortTermInvestments" queryTableFieldId="16" dataDxfId="247" dataCellStyle="Comma"/>
    <tableColumn id="17" xr3:uid="{E4ED69F4-72C9-4348-BBDF-95E09374641F}" uniqueName="17" name="CommonStock" queryTableFieldId="17" dataDxfId="246" dataCellStyle="Comma"/>
    <tableColumn id="18" xr3:uid="{86E0D939-3812-4496-95DA-580817E2E89F}" uniqueName="18" name="CommonStockEquity" queryTableFieldId="18" dataDxfId="245" dataCellStyle="Comma"/>
    <tableColumn id="19" xr3:uid="{1FE0BCE6-31AA-409A-9012-CEC13F6F536E}" uniqueName="19" name="ConstructionInProgress" queryTableFieldId="19" dataDxfId="244" dataCellStyle="Comma"/>
    <tableColumn id="20" xr3:uid="{1A41E694-3D91-40C0-83E0-C185562D70F1}" uniqueName="20" name="CurrentAccruedExpenses" queryTableFieldId="20" dataDxfId="243" dataCellStyle="Comma"/>
    <tableColumn id="21" xr3:uid="{423BAA8C-D2FB-4726-8195-2052CAECD96B}" uniqueName="21" name="CurrentAssets" queryTableFieldId="21" dataDxfId="242" dataCellStyle="Comma"/>
    <tableColumn id="22" xr3:uid="{3B778A1C-4E54-4CB2-B050-528682D18AD4}" uniqueName="22" name="CurrentCapitalLeaseObligation" queryTableFieldId="22" dataDxfId="241" dataCellStyle="Comma"/>
    <tableColumn id="23" xr3:uid="{70E82074-1D5E-4645-95DC-1C6619C78FB4}" uniqueName="23" name="CurrentDebt" queryTableFieldId="23" dataDxfId="240" dataCellStyle="Comma"/>
    <tableColumn id="24" xr3:uid="{2ECD8D16-C334-44F5-AAC6-234FE9E1C9A6}" uniqueName="24" name="CurrentDebtAndCapitalLeaseObligation" queryTableFieldId="24" dataDxfId="239" dataCellStyle="Comma"/>
    <tableColumn id="25" xr3:uid="{DFB0D430-E327-4DA3-9A20-1D9633725B45}" uniqueName="25" name="CurrentLiabilities" queryTableFieldId="25" dataDxfId="238" dataCellStyle="Comma"/>
    <tableColumn id="26" xr3:uid="{CC99F84C-BB3E-4260-AA8F-21D0C5E9AD89}" uniqueName="26" name="CurrentProvisions" queryTableFieldId="26" dataDxfId="237" dataCellStyle="Comma"/>
    <tableColumn id="27" xr3:uid="{D0693702-6389-451F-9466-0BDE1CF4BA2D}" uniqueName="27" name="GainsLossesNotAffectingRetainedEarnings" queryTableFieldId="27" dataDxfId="236" dataCellStyle="Comma"/>
    <tableColumn id="28" xr3:uid="{09D346AE-9FFC-4373-A83C-2A00BF714756}" uniqueName="28" name="Goodwill" queryTableFieldId="28" dataDxfId="235" dataCellStyle="Comma"/>
    <tableColumn id="29" xr3:uid="{8C0172A0-4313-4A71-9A52-F29DD72D6111}" uniqueName="29" name="GoodwillAndOtherIntangibleAssets" queryTableFieldId="29" dataDxfId="234" dataCellStyle="Comma"/>
    <tableColumn id="30" xr3:uid="{D68BA846-5AA3-43CF-867A-3CD0F735D82C}" uniqueName="30" name="GrossAccountsReceivable" queryTableFieldId="30" dataDxfId="233" dataCellStyle="Comma"/>
    <tableColumn id="31" xr3:uid="{B2E8F715-3C79-4BD9-B86B-11C1AA2BC520}" uniqueName="31" name="GrossPPE" queryTableFieldId="31" dataDxfId="232" dataCellStyle="Comma"/>
    <tableColumn id="32" xr3:uid="{6EB36139-CF58-4622-8241-665F107FF430}" uniqueName="32" name="HeldToMaturitySecurities" queryTableFieldId="32" dataDxfId="231" dataCellStyle="Comma"/>
    <tableColumn id="33" xr3:uid="{10269F05-9688-4E00-A0E0-BCD50FC5BCBA}" uniqueName="33" name="IncomeTaxPayable" queryTableFieldId="33" dataDxfId="230" dataCellStyle="Comma"/>
    <tableColumn id="34" xr3:uid="{C813BCA6-ED67-4909-940E-B6965CCA1F5E}" uniqueName="34" name="InterestPayable" queryTableFieldId="34" dataDxfId="229" dataCellStyle="Comma"/>
    <tableColumn id="35" xr3:uid="{5A467038-676F-4461-93C7-EA79C7060FE7}" uniqueName="35" name="InvestedCapital" queryTableFieldId="35" dataDxfId="228" dataCellStyle="Comma"/>
    <tableColumn id="36" xr3:uid="{179ACBB6-3AFB-4AA8-A305-2D239A23DD81}" uniqueName="36" name="InvestmentinFinancialAssets" queryTableFieldId="36" dataDxfId="227" dataCellStyle="Comma"/>
    <tableColumn id="37" xr3:uid="{0003EE80-7699-436B-B481-6C98662AEF45}" uniqueName="37" name="InvestmentsAndAdvances" queryTableFieldId="37" dataDxfId="226" dataCellStyle="Comma"/>
    <tableColumn id="38" xr3:uid="{1F4BB90F-C843-4337-BBDD-0AF28BAE78AD}" uniqueName="38" name="LandAndImprovements" queryTableFieldId="38" dataDxfId="225" dataCellStyle="Comma"/>
    <tableColumn id="39" xr3:uid="{B020CB3A-1151-42E1-A485-7CC7A15A3D5D}" uniqueName="39" name="Leases" queryTableFieldId="39" dataDxfId="224" dataCellStyle="Comma"/>
    <tableColumn id="40" xr3:uid="{19AE3BFB-7FC2-44C5-A6C0-EA4F94B74DDC}" uniqueName="40" name="LongTermCapitalLeaseObligation" queryTableFieldId="40" dataDxfId="223" dataCellStyle="Comma"/>
    <tableColumn id="41" xr3:uid="{AE04631C-E476-4769-A2C1-D35307BA95D5}" uniqueName="41" name="LongTermDebt" queryTableFieldId="41" dataDxfId="222" dataCellStyle="Comma"/>
    <tableColumn id="42" xr3:uid="{0DEE45DA-F244-4148-8F36-49A8D818B73F}" uniqueName="42" name="LongTermDebtAndCapitalLeaseObligation" queryTableFieldId="42" dataDxfId="221" dataCellStyle="Comma"/>
    <tableColumn id="43" xr3:uid="{42DC334B-C738-4440-966F-161364527851}" uniqueName="43" name="LongTermEquityInvestment" queryTableFieldId="43" dataDxfId="220" dataCellStyle="Comma"/>
    <tableColumn id="44" xr3:uid="{B9CC8145-C041-4285-A423-01A4E18CCD44}" uniqueName="44" name="LongTermProvisions" queryTableFieldId="44" dataDxfId="219" dataCellStyle="Comma"/>
    <tableColumn id="45" xr3:uid="{E1C0DE46-026D-424C-AFE1-2159E377DA5F}" uniqueName="45" name="MachineryFurnitureEquipment" queryTableFieldId="45" dataDxfId="218" dataCellStyle="Comma"/>
    <tableColumn id="46" xr3:uid="{2EFD1E92-3E48-465E-8DF8-86CD1A9A14CC}" uniqueName="46" name="MinorityInterest" queryTableFieldId="46" dataDxfId="217" dataCellStyle="Comma"/>
    <tableColumn id="47" xr3:uid="{6B26AC3F-BDF5-4D91-8015-C821990EFCAD}" uniqueName="47" name="NetDebt" queryTableFieldId="47" dataDxfId="216" dataCellStyle="Comma"/>
    <tableColumn id="48" xr3:uid="{1AE21F8C-7FCC-4D7D-9043-24394FED9E5C}" uniqueName="48" name="NetPPE" queryTableFieldId="48" dataDxfId="215" dataCellStyle="Comma"/>
    <tableColumn id="49" xr3:uid="{152E771F-3B10-42D7-A94F-E4025FEB331B}" uniqueName="49" name="NetTangibleAssets" queryTableFieldId="49" dataDxfId="214" dataCellStyle="Comma"/>
    <tableColumn id="50" xr3:uid="{268E826F-DA36-428B-8272-BAAE42C8FBCA}" uniqueName="50" name="NonCurrentDeferredLiabilities" queryTableFieldId="50" dataDxfId="213" dataCellStyle="Comma"/>
    <tableColumn id="51" xr3:uid="{6EF60AA9-9B73-4C10-BA14-7CC337B7D071}" uniqueName="51" name="NonCurrentDeferredTaxesLiabilities" queryTableFieldId="51" dataDxfId="212" dataCellStyle="Comma"/>
    <tableColumn id="52" xr3:uid="{E50ABCB3-1B34-4648-ADB1-A116078F6C5A}" uniqueName="52" name="NonCurrentNoteReceivables" queryTableFieldId="52" dataDxfId="211" dataCellStyle="Comma"/>
    <tableColumn id="53" xr3:uid="{27AF6432-3A49-4F2B-862D-0BCA7980BB81}" uniqueName="53" name="OrdinarySharesNumber" queryTableFieldId="53" dataDxfId="210" dataCellStyle="Comma"/>
    <tableColumn id="54" xr3:uid="{C5F587BE-EFB7-4583-82B1-B3D240E445D0}" uniqueName="54" name="OtherCurrentAssets" queryTableFieldId="54" dataDxfId="209" dataCellStyle="Comma"/>
    <tableColumn id="55" xr3:uid="{7A0BF615-00FF-473F-B527-6955593A2A86}" uniqueName="55" name="OtherCurrentBorrowings" queryTableFieldId="55" dataDxfId="208" dataCellStyle="Comma"/>
    <tableColumn id="56" xr3:uid="{EE124F8C-5E7C-4629-A8D4-D9CC453078DC}" uniqueName="56" name="OtherCurrentLiabilities" queryTableFieldId="56" dataDxfId="207" dataCellStyle="Comma"/>
    <tableColumn id="57" xr3:uid="{4908F086-486F-4A49-9B06-820004CC0375}" uniqueName="57" name="OtherEquityAdjustments" queryTableFieldId="57" dataDxfId="206" dataCellStyle="Comma"/>
    <tableColumn id="58" xr3:uid="{68C810E3-D7A5-4427-865E-6D63B9B12ABE}" uniqueName="58" name="OtherIntangibleAssets" queryTableFieldId="58" dataDxfId="205" dataCellStyle="Comma"/>
    <tableColumn id="59" xr3:uid="{F4AEE738-0DCA-4B6C-BA37-30589CF0B8AC}" uniqueName="59" name="OtherNonCurrentAssets" queryTableFieldId="59" dataDxfId="204" dataCellStyle="Comma"/>
    <tableColumn id="60" xr3:uid="{2B193244-E50D-48D9-992F-419DE35DEC67}" uniqueName="60" name="OtherNonCurrentLiabilities" queryTableFieldId="60" dataDxfId="203" dataCellStyle="Comma"/>
    <tableColumn id="61" xr3:uid="{6418AE7D-1E6F-4B4D-AB13-028C0049E630}" uniqueName="61" name="OtherPayable" queryTableFieldId="61" dataDxfId="202" dataCellStyle="Comma"/>
    <tableColumn id="62" xr3:uid="{D06A183D-B7A3-4693-BD22-F8F239104B81}" uniqueName="62" name="OtherProperties" queryTableFieldId="62" dataDxfId="201" dataCellStyle="Comma"/>
    <tableColumn id="63" xr3:uid="{F47B4742-3529-4884-9D26-BBF498F94AA2}" uniqueName="63" name="OtherReceivables" queryTableFieldId="63" dataDxfId="200" dataCellStyle="Comma"/>
    <tableColumn id="64" xr3:uid="{A18EA19B-09A4-460A-9DC6-87F32DEC6966}" uniqueName="64" name="OtherShortTermInvestments" queryTableFieldId="64" dataDxfId="199" dataCellStyle="Comma"/>
    <tableColumn id="65" xr3:uid="{A6257908-3749-46D2-90DE-7B4188104966}" uniqueName="65" name="Payables" queryTableFieldId="65" dataDxfId="198" dataCellStyle="Comma"/>
    <tableColumn id="66" xr3:uid="{A7C0025C-1ADA-40F6-BBE0-B446112F092E}" uniqueName="66" name="PayablesAndAccruedExpenses" queryTableFieldId="66" dataDxfId="197" dataCellStyle="Comma"/>
    <tableColumn id="67" xr3:uid="{48E05C2B-DBBA-4003-A712-FA665CA7E2D1}" uniqueName="67" name="PensionandOtherPostRetirementBenefitPlansCurrent" queryTableFieldId="67" dataDxfId="196" dataCellStyle="Comma"/>
    <tableColumn id="68" xr3:uid="{71B618F8-EE13-43FD-A496-82AEBCBFEC1F}" uniqueName="68" name="PreferredSecuritiesOutsideStockEquity" queryTableFieldId="68" dataDxfId="195" dataCellStyle="Comma"/>
    <tableColumn id="69" xr3:uid="{FC93D5F9-02EF-40A3-8A72-3F20FFA94F3F}" uniqueName="69" name="PrepaidAssets" queryTableFieldId="69" dataDxfId="194" dataCellStyle="Comma"/>
    <tableColumn id="70" xr3:uid="{27ED1D0E-25F8-4636-96B5-8CD7D27CDFC0}" uniqueName="70" name="Properties" queryTableFieldId="70" dataDxfId="193" dataCellStyle="Comma"/>
    <tableColumn id="71" xr3:uid="{91E19194-4C02-400D-94FF-36BFCA0C7B5E}" uniqueName="71" name="Receivables" queryTableFieldId="71" dataDxfId="192" dataCellStyle="Comma"/>
    <tableColumn id="72" xr3:uid="{0C8183E2-BC9C-429D-A356-0EDA809C8F6B}" uniqueName="72" name="RestrictedCash" queryTableFieldId="72" dataDxfId="191" dataCellStyle="Comma"/>
    <tableColumn id="73" xr3:uid="{EDCC3E21-7D8B-4630-99F6-4ED5D1E8A402}" uniqueName="73" name="RetainedEarnings" queryTableFieldId="73" dataDxfId="190" dataCellStyle="Comma"/>
    <tableColumn id="74" xr3:uid="{F5F76A68-C4FA-4E58-9A27-AB391F5E913C}" uniqueName="74" name="ShareIssued" queryTableFieldId="74" dataDxfId="189" dataCellStyle="Comma"/>
    <tableColumn id="75" xr3:uid="{53B6A974-CDB7-49EE-873F-31BA8078362A}" uniqueName="75" name="StockholdersEquity" queryTableFieldId="75" dataDxfId="188" dataCellStyle="Comma"/>
    <tableColumn id="76" xr3:uid="{5BCDF760-D06A-4132-8C27-2CC4D47A6434}" uniqueName="76" name="TangibleBookValue" queryTableFieldId="76" dataDxfId="187" dataCellStyle="Comma"/>
    <tableColumn id="77" xr3:uid="{0A9BA68E-3FB0-4105-B3D4-0BD8EBC46393}" uniqueName="77" name="TotalAssets" queryTableFieldId="77" dataDxfId="186" dataCellStyle="Comma"/>
    <tableColumn id="78" xr3:uid="{A78B749B-17B2-452A-B276-8EF171D359D4}" uniqueName="78" name="TotalCapitalization" queryTableFieldId="78" dataDxfId="185" dataCellStyle="Comma"/>
    <tableColumn id="79" xr3:uid="{ECC4B922-8C81-4FD8-B0E8-8E91D3DCCC47}" uniqueName="79" name="TotalDebt" queryTableFieldId="79" dataDxfId="184" dataCellStyle="Comma"/>
    <tableColumn id="80" xr3:uid="{60541088-3C2C-4190-9D56-501CAB8F06FD}" uniqueName="80" name="TotalEquityGrossMinorityInterest" queryTableFieldId="80" dataDxfId="183" dataCellStyle="Comma"/>
    <tableColumn id="81" xr3:uid="{BF7E39A7-A233-47CE-9CCF-CDF96B193D47}" uniqueName="81" name="TotalLiabilitiesNetMinorityInterest" queryTableFieldId="81" dataDxfId="182" dataCellStyle="Comma"/>
    <tableColumn id="82" xr3:uid="{73378F92-61A3-46F3-9E79-9A1850959F49}" uniqueName="82" name="TotalNonCurrentAssets" queryTableFieldId="82" dataDxfId="181" dataCellStyle="Comma"/>
    <tableColumn id="83" xr3:uid="{29289CD8-E464-42FD-AA0C-0AFAB9D118C7}" uniqueName="83" name="TotalNonCurrentLiabilitiesNetMinorityInterest" queryTableFieldId="83" dataDxfId="180" dataCellStyle="Comma"/>
    <tableColumn id="84" xr3:uid="{0B830C16-0BB0-44D1-871E-376D7EF5D343}" uniqueName="84" name="TotalTaxPayable" queryTableFieldId="84" dataDxfId="179" dataCellStyle="Comma"/>
    <tableColumn id="85" xr3:uid="{25D94377-1591-4115-80A5-33B157E23FBC}" uniqueName="85" name="TradeandOtherPayablesNonCurrent" queryTableFieldId="85" dataDxfId="178" dataCellStyle="Comma"/>
    <tableColumn id="86" xr3:uid="{6CD0F523-9432-4E89-B075-C395810DC62A}" uniqueName="86" name="WorkingCapital" queryTableFieldId="86" dataDxfId="177" dataCellStyle="Comma"/>
    <tableColumn id="87" xr3:uid="{A11BF10C-5F3C-4E67-8873-87212265AD94}" uniqueName="87" name="CurrentDeferredLiabilities" queryTableFieldId="87" dataDxfId="176" dataCellStyle="Comma"/>
    <tableColumn id="88" xr3:uid="{CEB2CB74-1A7D-47CC-8222-2B0B88E6E7FC}" uniqueName="88" name="CurrentDeferredRevenue" queryTableFieldId="88" dataDxfId="175" dataCellStyle="Comma"/>
    <tableColumn id="89" xr3:uid="{9D640CE1-0FCA-42D4-B218-60D0F37D4EA6}" uniqueName="89" name="EmployeeBenefits" queryTableFieldId="89" dataDxfId="174" dataCellStyle="Comma"/>
    <tableColumn id="90" xr3:uid="{B17F4F41-E651-46BB-8A1D-F26661B12878}" uniqueName="90" name="FinishedGoods" queryTableFieldId="90" dataDxfId="173" dataCellStyle="Comma"/>
    <tableColumn id="91" xr3:uid="{EAC22387-B9AE-4F5E-BC29-EC53C1839662}" uniqueName="91" name="Inventory" queryTableFieldId="91" dataDxfId="172" dataCellStyle="Comma"/>
    <tableColumn id="129" xr3:uid="{356C7656-0515-40CA-8A11-418D473D7772}" uniqueName="129" name="InvestmentProperties" queryTableFieldId="536" dataDxfId="171" dataCellStyle="Comma"/>
    <tableColumn id="92" xr3:uid="{0027253D-3B8E-4E31-A094-A27D41039BE9}" uniqueName="92" name="NonCurrentDeferredAssets" queryTableFieldId="92" dataDxfId="170" dataCellStyle="Comma"/>
    <tableColumn id="93" xr3:uid="{91D9E8D5-EF59-47D5-9FAE-39FEA5AFEAEC}" uniqueName="93" name="NonCurrentDeferredTaxesAssets" queryTableFieldId="93" dataDxfId="169" dataCellStyle="Comma"/>
    <tableColumn id="94" xr3:uid="{B60AFEC0-2EE6-4399-9570-DFD4D8F1170C}" uniqueName="94" name="NonCurrentPensionAndOtherPostretirementBenefitPlans" queryTableFieldId="94" dataDxfId="168" dataCellStyle="Comma"/>
    <tableColumn id="95" xr3:uid="{E80C3A48-D785-409C-A5EC-7B498BA5EE04}" uniqueName="95" name="RawMaterials" queryTableFieldId="95" dataDxfId="167" dataCellStyle="Comma"/>
    <tableColumn id="130" xr3:uid="{92F5A60D-7FB6-4ABC-B8C1-D600BEAD123A}" uniqueName="130" name="PreferredStockEquity" queryTableFieldId="476" dataDxfId="166" dataCellStyle="Comma"/>
    <tableColumn id="96" xr3:uid="{534AA247-30EC-4376-AF94-11868172DFE6}" uniqueName="96" name="WorkInProcess" queryTableFieldId="96" dataDxfId="165" dataCellStyle="Comma"/>
    <tableColumn id="97" xr3:uid="{46124FF4-21B2-4090-B3B8-AFA85E4912AE}" uniqueName="97" name="CashEquivalents" queryTableFieldId="97" dataDxfId="164" dataCellStyle="Comma"/>
    <tableColumn id="137" xr3:uid="{6B7392E2-318D-493D-85D2-0C2E66BBF717}" uniqueName="137" name="DuefromRelatedPartiesCurrent" queryTableFieldId="524" dataDxfId="163" dataCellStyle="Comma"/>
    <tableColumn id="98" xr3:uid="{91853371-D8B5-48C4-BEE2-013A6CEA2A34}" uniqueName="98" name="CashFinancial" queryTableFieldId="98" dataDxfId="162" dataCellStyle="Comma"/>
    <tableColumn id="138" xr3:uid="{976063BD-0487-4200-B8C7-387A6C728710}" uniqueName="138" name="DuefromRelatedPartiesNonCurrent" queryTableFieldId="525" dataDxfId="161" dataCellStyle="Comma"/>
    <tableColumn id="99" xr3:uid="{A37D914E-7FCD-4C91-8CB0-FFAD1610D187}" uniqueName="99" name="HedgingAssetsCurrent" queryTableFieldId="99" dataDxfId="160" dataCellStyle="Comma"/>
    <tableColumn id="100" xr3:uid="{527A63B0-09B1-4F45-A21C-B875B8F4D8A2}" uniqueName="100" name="NonCurrentDeferredRevenue" queryTableFieldId="100" dataDxfId="159" dataCellStyle="Comma"/>
    <tableColumn id="101" xr3:uid="{04B7A1CC-688B-4942-A455-03FBF48FEECC}" uniqueName="101" name="CommercialPaper" queryTableFieldId="101" dataDxfId="158" dataCellStyle="Comma"/>
    <tableColumn id="102" xr3:uid="{855FADA2-2B84-42C3-AA31-792FF45499D7}" uniqueName="102" name="CurrentNotesPayable" queryTableFieldId="102" dataDxfId="157" dataCellStyle="Comma"/>
    <tableColumn id="144" xr3:uid="{817CA8DB-C8DB-49E0-AF9F-37D64D858B85}" uniqueName="144" name="asOfYear" queryTableFieldId="218" dataDxfId="156" dataCellStyle="Comma"/>
    <tableColumn id="103" xr3:uid="{D79CB9D6-F60D-48EA-B2DE-0A93230955D7}" uniqueName="103" name="DividendsPayable" queryTableFieldId="103" dataDxfId="155" dataCellStyle="Comma"/>
    <tableColumn id="104" xr3:uid="{D6D06C67-6C94-4110-8519-5DDF460A2E89}" uniqueName="104" name="ForeignCurrencyTranslationAdjustments" queryTableFieldId="104" dataDxfId="154" dataCellStyle="Comma"/>
    <tableColumn id="105" xr3:uid="{2112D982-EB06-412E-86AB-42CCAD0CDCC0}" uniqueName="105" name="InvestmentsinAssociatesatCost" queryTableFieldId="105" dataDxfId="153" dataCellStyle="Comma"/>
    <tableColumn id="106" xr3:uid="{DDE5FEEF-437B-4CAB-A96E-930D580A4081}" uniqueName="106" name="LineOfCredit" queryTableFieldId="106" dataDxfId="152" dataCellStyle="Comma"/>
    <tableColumn id="107" xr3:uid="{ECAABDFA-13DA-481F-BCB6-FCD5471A37E2}" uniqueName="107" name="MinimumPensionLiabilities" queryTableFieldId="107" dataDxfId="151" dataCellStyle="Comma"/>
    <tableColumn id="108" xr3:uid="{4F816C06-1972-4DD1-88F6-045DDD815737}" uniqueName="108" name="PreferredSharesNumber" queryTableFieldId="108" dataDxfId="150" dataCellStyle="Comma"/>
    <tableColumn id="109" xr3:uid="{192C10B5-0ADA-4A76-A798-E94A4F3E9CA6}" uniqueName="109" name="PreferredStock" queryTableFieldId="109" dataDxfId="149" dataCellStyle="Comma"/>
    <tableColumn id="110" xr3:uid="{1DD966AD-3B6B-4C89-BF68-1101B290D526}" uniqueName="110" name="TreasurySharesNumber" queryTableFieldId="110" dataDxfId="148" dataCellStyle="Comma"/>
    <tableColumn id="111" xr3:uid="{6F09F17F-8F9C-46DC-8ADA-40D91075E97A}" uniqueName="111" name="TreasuryStock" queryTableFieldId="111" dataDxfId="147" dataCellStyle="Comma"/>
    <tableColumn id="112" xr3:uid="{704FB385-77BB-435B-8623-02BCC0A20DC7}" uniqueName="112" name="UnrealizedGainLoss" queryTableFieldId="112" dataDxfId="146" dataCellStyle="Comma"/>
    <tableColumn id="113" xr3:uid="{104B34EB-01A2-4C87-AB83-608DFA198B2F}" uniqueName="113" name="DefinedPensionBenefit" queryTableFieldId="113" dataDxfId="145" dataCellStyle="Comma"/>
    <tableColumn id="114" xr3:uid="{4FE355A7-9D47-4DE8-9283-4ECE88502B29}" uniqueName="114" name="NonCurrentAccountsReceivable" queryTableFieldId="114" dataDxfId="144" dataCellStyle="Comma"/>
    <tableColumn id="115" xr3:uid="{41317E99-1BC8-4074-AF35-F9C9DCCC2642}" uniqueName="115" name="OtherInventories" queryTableFieldId="115" dataDxfId="143" dataCellStyle="Comma"/>
    <tableColumn id="116" xr3:uid="{C10044EE-1C97-47FD-A715-62B6AF568874}" uniqueName="116" name="OtherInvestments" queryTableFieldId="116" dataDxfId="142" dataCellStyle="Comma"/>
    <tableColumn id="117" xr3:uid="{ED0364C0-2215-4A4A-8A9B-01535D031D4B}" uniqueName="117" name="TaxesReceivable" queryTableFieldId="117" dataDxfId="141" dataCellStyle="Comma"/>
    <tableColumn id="118" xr3:uid="{0E97011D-5394-4E71-A9E4-A0E0C0A0C064}" uniqueName="118" name="CurrentDeferredAssets" queryTableFieldId="118" dataDxfId="140" dataCellStyle="Comma"/>
    <tableColumn id="119" xr3:uid="{E013E1D7-4C38-42C4-B871-56C635922350}" uniqueName="119" name="DerivativeProductLiabilities" queryTableFieldId="119" dataDxfId="139" dataCellStyle="Comma"/>
    <tableColumn id="120" xr3:uid="{4F8FF7BD-B8BC-41B4-9DAD-339364738E96}" uniqueName="120" name="FinancialAssets" queryTableFieldId="120" dataDxfId="138" dataCellStyle="Comma"/>
    <tableColumn id="121" xr3:uid="{A8F9B25C-3346-4B80-977E-10D222B27636}" uniqueName="121" name="InvestmentsInOtherVenturesUnderEquityMethod" queryTableFieldId="121" dataDxfId="137" dataCellStyle="Comma"/>
    <tableColumn id="122" xr3:uid="{67563250-9DB6-4F58-837E-5EFFE7BA83C8}" uniqueName="122" name="LiabilitiesHeldforSaleNonCurrent" queryTableFieldId="122" dataDxfId="136" dataCellStyle="Comma"/>
    <tableColumn id="123" xr3:uid="{A840766E-1F2C-4D1F-B016-330F1C69350A}" uniqueName="123" name="NonCurrentAccruedExpenses" queryTableFieldId="123" dataDxfId="135" dataCellStyle="Comma"/>
    <tableColumn id="124" xr3:uid="{F5D75B30-C285-493C-9B76-AD7B82D2C97E}" uniqueName="124" name="NonCurrentPrepaidAssets" queryTableFieldId="124" dataDxfId="134" dataCellStyle="Comma"/>
    <tableColumn id="125" xr3:uid="{FF203212-4EC8-4203-B32A-27B8794C1F3E}" uniqueName="125" name="OtherEquityInterest" queryTableFieldId="125" dataDxfId="133" dataCellStyle="Comma"/>
    <tableColumn id="126" xr3:uid="{401D0338-B441-40B5-A7EA-706EF07DE2AF}" uniqueName="126" name="InventoriesAdjustmentsAllowances" queryTableFieldId="126" dataDxfId="132" dataCellStyle="Comma"/>
    <tableColumn id="127" xr3:uid="{B883B980-6205-466A-98AC-51B5A07AD3C7}" uniqueName="127" name="Ticker" queryTableFieldId="127"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2826AA-B0CA-4588-885E-FA6A28C5B227}" name="CashFlow" displayName="CashFlow" ref="A1:CX64" tableType="queryTable" totalsRowShown="0">
  <autoFilter ref="A1:CX64" xr:uid="{FF2826AA-B0CA-4588-885E-FA6A28C5B227}"/>
  <tableColumns count="102">
    <tableColumn id="1" xr3:uid="{8B871FFD-99CF-4D73-8629-A95B95F037FA}" uniqueName="1" name="id" queryTableFieldId="1" dataDxfId="361"/>
    <tableColumn id="2" xr3:uid="{510B7206-BE54-45F7-A54A-7AC5CB9C8E74}" uniqueName="2" name="asOfDate" queryTableFieldId="2" dataDxfId="130"/>
    <tableColumn id="96" xr3:uid="{FF2DE0D8-527F-4D21-97BA-BE5937F5F517}" uniqueName="96" name="Year" queryTableFieldId="96"/>
    <tableColumn id="3" xr3:uid="{EC71A983-7408-46BC-8157-2261A0C4A4EB}" uniqueName="3" name="periodType" queryTableFieldId="3" dataDxfId="360"/>
    <tableColumn id="107" xr3:uid="{C634B7FA-861B-4BC6-A206-237C981E9438}" uniqueName="107" name="AmortizationOfSecurities" queryTableFieldId="732" dataDxfId="129" dataCellStyle="Comma"/>
    <tableColumn id="4" xr3:uid="{2F7CE576-BEC7-4AB2-A87E-0517CA54D039}" uniqueName="4" name="currencyCode" queryTableFieldId="4" dataDxfId="359"/>
    <tableColumn id="5" xr3:uid="{15A2AD42-6697-45DB-B56A-F3BAE90B5F64}" uniqueName="5" name="AssetImpairmentCharge" queryTableFieldId="5" dataDxfId="128" dataCellStyle="Comma"/>
    <tableColumn id="6" xr3:uid="{DA992776-E129-4093-BF96-6F95380FC920}" uniqueName="6" name="BeginningCashPosition" queryTableFieldId="6" dataDxfId="127" dataCellStyle="Comma"/>
    <tableColumn id="7" xr3:uid="{2541234D-9D2C-47D4-A0B8-8E77DCD8AE9A}" uniqueName="7" name="CapitalExpenditure" queryTableFieldId="7" dataDxfId="126" dataCellStyle="Comma"/>
    <tableColumn id="8" xr3:uid="{B62571A0-EEFD-48CD-BB1D-E9D844955F15}" uniqueName="8" name="CashFlowFromContinuingFinancingActivities" queryTableFieldId="8" dataDxfId="125" dataCellStyle="Comma"/>
    <tableColumn id="9" xr3:uid="{A2EF96D4-9626-4FD0-AE84-2357B1EBC26C}" uniqueName="9" name="CashFlowFromContinuingInvestingActivities" queryTableFieldId="9" dataDxfId="124" dataCellStyle="Comma"/>
    <tableColumn id="10" xr3:uid="{764E67C2-3698-4919-A43F-3670EC89FBB7}" uniqueName="10" name="CashFlowFromContinuingOperatingActivities" queryTableFieldId="10" dataDxfId="123" dataCellStyle="Comma"/>
    <tableColumn id="11" xr3:uid="{B40BFC36-932F-4BFF-8B3E-CF8F402AA482}" uniqueName="11" name="ChangeInAccountPayable" queryTableFieldId="11" dataDxfId="122" dataCellStyle="Comma"/>
    <tableColumn id="12" xr3:uid="{B3A0F674-0FC1-4176-B20B-E110AD2FF882}" uniqueName="12" name="ChangeInAccruedExpense" queryTableFieldId="12" dataDxfId="121" dataCellStyle="Comma"/>
    <tableColumn id="13" xr3:uid="{822D6D73-2FC3-46B1-B4A4-5228374F047F}" uniqueName="13" name="ChangeInCashSupplementalAsReported" queryTableFieldId="13" dataDxfId="120" dataCellStyle="Comma"/>
    <tableColumn id="14" xr3:uid="{86B7DC1B-7BFB-4293-B4B2-FEC1DC87D54D}" uniqueName="14" name="ChangeInOtherCurrentAssets" queryTableFieldId="14" dataDxfId="119" dataCellStyle="Comma"/>
    <tableColumn id="15" xr3:uid="{BA4ED4AA-6AD4-40D6-9EF9-D9BDCC2A3930}" uniqueName="15" name="ChangeInOtherCurrentLiabilities" queryTableFieldId="15" dataDxfId="118" dataCellStyle="Comma"/>
    <tableColumn id="16" xr3:uid="{0DEF3D12-9A42-47DC-97E1-DA5923B433CA}" uniqueName="16" name="ChangeInOtherWorkingCapital" queryTableFieldId="16" dataDxfId="117" dataCellStyle="Comma"/>
    <tableColumn id="17" xr3:uid="{ADF19EBF-8CA6-4ECA-8E4C-AD0F6EF52638}" uniqueName="17" name="ChangeInPayable" queryTableFieldId="17" dataDxfId="116" dataCellStyle="Comma"/>
    <tableColumn id="18" xr3:uid="{25728BA7-9C39-4D5D-971D-10F39E41AC2E}" uniqueName="18" name="ChangeInPayablesAndAccruedExpense" queryTableFieldId="18" dataDxfId="115" dataCellStyle="Comma"/>
    <tableColumn id="19" xr3:uid="{8392CC21-048B-46CA-AEC9-EDAF9666CAB5}" uniqueName="19" name="ChangeInPrepaidAssets" queryTableFieldId="19" dataDxfId="114" dataCellStyle="Comma"/>
    <tableColumn id="20" xr3:uid="{285379D0-299E-4226-A2F0-F672E7278E81}" uniqueName="20" name="ChangeInReceivables" queryTableFieldId="20" dataDxfId="113" dataCellStyle="Comma"/>
    <tableColumn id="21" xr3:uid="{EB5B9072-3C45-4E3D-9B69-B2D3FF692FEE}" uniqueName="21" name="ChangeInWorkingCapital" queryTableFieldId="21" dataDxfId="112" dataCellStyle="Comma"/>
    <tableColumn id="22" xr3:uid="{286DCA2D-07F1-4886-AAD4-5451D15A73F2}" uniqueName="22" name="ChangesInAccountReceivables" queryTableFieldId="22" dataDxfId="111" dataCellStyle="Comma"/>
    <tableColumn id="23" xr3:uid="{A8B0890B-72C1-4092-AC65-A0A7F3AB6E95}" uniqueName="23" name="ChangesInCash" queryTableFieldId="23" dataDxfId="110" dataCellStyle="Comma"/>
    <tableColumn id="24" xr3:uid="{5329B720-527C-477F-9E11-4F3789474608}" uniqueName="24" name="CommonStockIssuance" queryTableFieldId="24" dataDxfId="109" dataCellStyle="Comma"/>
    <tableColumn id="25" xr3:uid="{72DF4089-112C-477E-88EF-14914C2415CE}" uniqueName="25" name="CommonStockPayments" queryTableFieldId="25" dataDxfId="108" dataCellStyle="Comma"/>
    <tableColumn id="26" xr3:uid="{3936887A-3978-42D5-ABE7-FD745353409B}" uniqueName="26" name="DeferredIncomeTax" queryTableFieldId="26" dataDxfId="107" dataCellStyle="Comma"/>
    <tableColumn id="27" xr3:uid="{C778C993-3365-46CF-AE5D-F61981C2DF50}" uniqueName="27" name="DeferredTax" queryTableFieldId="27" dataDxfId="106" dataCellStyle="Comma"/>
    <tableColumn id="28" xr3:uid="{F88DD6D2-FA5C-4AA5-B469-38CC59CB9320}" uniqueName="28" name="DepreciationAmortizationDepletion" queryTableFieldId="28" dataDxfId="105" dataCellStyle="Comma"/>
    <tableColumn id="29" xr3:uid="{7EE015E8-5453-4FD8-85EF-010C23879BBD}" uniqueName="29" name="DepreciationAndAmortization" queryTableFieldId="29" dataDxfId="104" dataCellStyle="Comma"/>
    <tableColumn id="30" xr3:uid="{B302CF58-1085-47F1-B218-CD18E32782E4}" uniqueName="30" name="EarningsLossesFromEquityInvestments" queryTableFieldId="30" dataDxfId="103" dataCellStyle="Comma"/>
    <tableColumn id="31" xr3:uid="{E80D12C9-3FAE-4120-8DAC-2876BBB4817D}" uniqueName="31" name="EffectOfExchangeRateChanges" queryTableFieldId="31" dataDxfId="102" dataCellStyle="Comma"/>
    <tableColumn id="32" xr3:uid="{1F6640DB-090B-4918-AC1F-BDFB085BDE1C}" uniqueName="32" name="EndCashPosition" queryTableFieldId="32" dataDxfId="101" dataCellStyle="Comma"/>
    <tableColumn id="33" xr3:uid="{29A017C0-0C3B-4169-A883-B0331111B90E}" uniqueName="33" name="FinancingCashFlow" queryTableFieldId="33" dataDxfId="100" dataCellStyle="Comma"/>
    <tableColumn id="34" xr3:uid="{2B40506B-42F3-4090-AD7C-75284302D99A}" uniqueName="34" name="FreeCashFlow" queryTableFieldId="34" dataDxfId="99" dataCellStyle="Comma"/>
    <tableColumn id="35" xr3:uid="{BE84B275-65C2-4F37-BFCE-4143E9DE741F}" uniqueName="35" name="GainLossOnInvestmentSecurities" queryTableFieldId="35" dataDxfId="98" dataCellStyle="Comma"/>
    <tableColumn id="36" xr3:uid="{F53B1DBF-5109-4EE1-A139-90B631E32320}" uniqueName="36" name="GainLossOnSaleOfBusiness" queryTableFieldId="36" dataDxfId="97" dataCellStyle="Comma"/>
    <tableColumn id="37" xr3:uid="{E52C8D01-77B9-41E3-8B36-C2B7793D68D4}" uniqueName="37" name="IncomeTaxPaidSupplementalData" queryTableFieldId="37" dataDxfId="96" dataCellStyle="Comma"/>
    <tableColumn id="38" xr3:uid="{68F5F80E-4F73-450B-8562-5C96C027A69E}" uniqueName="38" name="InterestPaidSupplementalData" queryTableFieldId="38" dataDxfId="95" dataCellStyle="Comma"/>
    <tableColumn id="39" xr3:uid="{AF2EFA3A-596D-42D8-8D8F-C72DF8757BC8}" uniqueName="39" name="InvestingCashFlow" queryTableFieldId="39" dataDxfId="94" dataCellStyle="Comma"/>
    <tableColumn id="40" xr3:uid="{0C7F2614-1881-4808-A635-FAF4A3A95517}" uniqueName="40" name="IssuanceOfCapitalStock" queryTableFieldId="40" dataDxfId="93" dataCellStyle="Comma"/>
    <tableColumn id="41" xr3:uid="{0ABD42AB-0854-4919-ACE3-E488043D65E0}" uniqueName="41" name="IssuanceOfDebt" queryTableFieldId="41" dataDxfId="92" dataCellStyle="Comma"/>
    <tableColumn id="42" xr3:uid="{93D757CD-AC20-472D-A629-19FEF1459DE6}" uniqueName="42" name="LongTermDebtIssuance" queryTableFieldId="42" dataDxfId="91" dataCellStyle="Comma"/>
    <tableColumn id="43" xr3:uid="{7326C604-698D-40D5-A8E3-6F1F3A29B9C3}" uniqueName="43" name="LongTermDebtPayments" queryTableFieldId="43" dataDxfId="90" dataCellStyle="Comma"/>
    <tableColumn id="44" xr3:uid="{5A36D6EE-6C10-4B92-A4C9-0C1DFD2D8992}" uniqueName="44" name="NetBusinessPurchaseAndSale" queryTableFieldId="44" dataDxfId="89" dataCellStyle="Comma"/>
    <tableColumn id="45" xr3:uid="{F994966D-07C6-443C-9C90-62A48646F5D6}" uniqueName="45" name="NetCommonStockIssuance" queryTableFieldId="45" dataDxfId="88" dataCellStyle="Comma"/>
    <tableColumn id="46" xr3:uid="{196279F0-188E-40A9-BBD0-18203013A4DF}" uniqueName="46" name="NetForeignCurrencyExchangeGainLoss" queryTableFieldId="46" dataDxfId="87" dataCellStyle="Comma"/>
    <tableColumn id="47" xr3:uid="{B8097107-97EB-405D-8D4F-FF377F66295C}" uniqueName="47" name="NetIncome" queryTableFieldId="47" dataDxfId="86" dataCellStyle="Comma"/>
    <tableColumn id="48" xr3:uid="{0EDD0450-121D-48FC-8EA0-FC9DC34A7C7C}" uniqueName="48" name="NetIncomeFromContinuingOperations" queryTableFieldId="48" dataDxfId="85" dataCellStyle="Comma"/>
    <tableColumn id="49" xr3:uid="{6E19CA9F-34F7-4EA6-940B-49E3643C5555}" uniqueName="49" name="NetInvestmentPurchaseAndSale" queryTableFieldId="49" dataDxfId="84" dataCellStyle="Comma"/>
    <tableColumn id="50" xr3:uid="{E60EF7E5-F688-4C7E-8B1F-10FF92A76DDC}" uniqueName="50" name="NetIssuancePaymentsOfDebt" queryTableFieldId="50" dataDxfId="83" dataCellStyle="Comma"/>
    <tableColumn id="51" xr3:uid="{A7DEA2D4-15B8-4766-B7D4-236243BDEEB1}" uniqueName="51" name="NetLongTermDebtIssuance" queryTableFieldId="51" dataDxfId="82" dataCellStyle="Comma"/>
    <tableColumn id="52" xr3:uid="{F5BBA2EB-0A9E-4DE3-93E0-DF4AA6BCF4D0}" uniqueName="52" name="NetOtherFinancingCharges" queryTableFieldId="52" dataDxfId="81" dataCellStyle="Comma"/>
    <tableColumn id="53" xr3:uid="{5AD797A7-2B64-40D7-9422-A71F7659A96D}" uniqueName="53" name="NetOtherInvestingChanges" queryTableFieldId="53" dataDxfId="80" dataCellStyle="Comma"/>
    <tableColumn id="54" xr3:uid="{A9B2F33C-4F85-4478-B809-42054B95A3AD}" uniqueName="54" name="NetPPEPurchaseAndSale" queryTableFieldId="54" dataDxfId="79" dataCellStyle="Comma"/>
    <tableColumn id="55" xr3:uid="{5C2AE14C-EC95-4901-9A79-345EA75C5A61}" uniqueName="55" name="NetPreferredStockIssuance" queryTableFieldId="55" dataDxfId="78" dataCellStyle="Comma"/>
    <tableColumn id="56" xr3:uid="{E10B3276-FEAF-44F8-89E9-F8D66FF55D81}" uniqueName="56" name="OperatingCashFlow" queryTableFieldId="56" dataDxfId="77" dataCellStyle="Comma"/>
    <tableColumn id="57" xr3:uid="{F8E2F713-C99E-4998-9E62-802B4419EBBF}" uniqueName="57" name="OperatingGainsLosses" queryTableFieldId="57" dataDxfId="76" dataCellStyle="Comma"/>
    <tableColumn id="58" xr3:uid="{E5B38297-4D30-49F4-929C-D6C35BF56CBE}" uniqueName="58" name="OtherCashAdjustmentOutsideChangeinCash" queryTableFieldId="58" dataDxfId="75" dataCellStyle="Comma"/>
    <tableColumn id="59" xr3:uid="{2F50C140-64AF-46E0-824A-07FB3AA8EC52}" uniqueName="59" name="OtherNonCashItems" queryTableFieldId="59" dataDxfId="74" dataCellStyle="Comma"/>
    <tableColumn id="60" xr3:uid="{DB42474C-3D9A-4BCE-8FF4-0A079C95DFA5}" uniqueName="60" name="PreferredStockIssuance" queryTableFieldId="60" dataDxfId="73" dataCellStyle="Comma"/>
    <tableColumn id="61" xr3:uid="{795C54AE-29F4-4474-BF2B-8927D02EB9F4}" uniqueName="61" name="ProceedsFromStockOptionExercised" queryTableFieldId="61" dataDxfId="72" dataCellStyle="Comma"/>
    <tableColumn id="62" xr3:uid="{853F2737-EAF4-42E7-934E-1E9262F546DD}" uniqueName="62" name="PurchaseOfBusiness" queryTableFieldId="62" dataDxfId="71" dataCellStyle="Comma"/>
    <tableColumn id="63" xr3:uid="{8DFC3BDA-5912-4799-A5BF-5120834CFEA2}" uniqueName="63" name="PurchaseOfInvestment" queryTableFieldId="63" dataDxfId="70" dataCellStyle="Comma"/>
    <tableColumn id="64" xr3:uid="{7F844C34-849C-48C8-B23A-A565ADC3B55F}" uniqueName="64" name="PurchaseOfPPE" queryTableFieldId="64" dataDxfId="69" dataCellStyle="Comma"/>
    <tableColumn id="65" xr3:uid="{3F2E5621-85AB-49AB-B211-4CD39273277B}" uniqueName="65" name="RepaymentOfDebt" queryTableFieldId="65" dataDxfId="68" dataCellStyle="Comma"/>
    <tableColumn id="66" xr3:uid="{26D27BC5-D37E-41CA-8EE1-62AEB85EF3A5}" uniqueName="66" name="RepurchaseOfCapitalStock" queryTableFieldId="66" dataDxfId="67" dataCellStyle="Comma"/>
    <tableColumn id="67" xr3:uid="{D6D7E2CB-8075-4E18-8019-5630D91D0A12}" uniqueName="67" name="SaleOfBusiness" queryTableFieldId="67" dataDxfId="66" dataCellStyle="Comma"/>
    <tableColumn id="68" xr3:uid="{AE0DAD2F-30ED-41E7-89D7-15D642330AB1}" uniqueName="68" name="SaleOfInvestment" queryTableFieldId="68" dataDxfId="65" dataCellStyle="Comma"/>
    <tableColumn id="69" xr3:uid="{7E927533-62E0-4512-B49C-52EAD65A1ECB}" uniqueName="69" name="SaleOfPPE" queryTableFieldId="69" dataDxfId="64" dataCellStyle="Comma"/>
    <tableColumn id="106" xr3:uid="{FB13049A-A4F1-405A-9AD7-B7B1BA38899F}" uniqueName="106" name="ChangeInInterestPayable" queryTableFieldId="731" dataDxfId="63" dataCellStyle="Comma"/>
    <tableColumn id="70" xr3:uid="{98D8D2C9-A6B3-43AB-B705-EF1F117679CF}" uniqueName="70" name="StockBasedCompensation" queryTableFieldId="70" dataDxfId="62" dataCellStyle="Comma"/>
    <tableColumn id="71" xr3:uid="{68F76320-E08A-493A-AC3C-3C832FD1BE0A}" uniqueName="71" name="UnrealizedGainLossOnInvestmentSecurities" queryTableFieldId="71" dataDxfId="61" dataCellStyle="Comma"/>
    <tableColumn id="97" xr3:uid="{3BC045FA-AB69-4D54-A980-1F6D84D92E0D}" uniqueName="97" name="SaleOfIntangibles" queryTableFieldId="738" dataCellStyle="Comma"/>
    <tableColumn id="72" xr3:uid="{55A457A2-C2F4-4CEB-B941-B781DA2AF5CF}" uniqueName="72" name="AmortizationCashFlow" queryTableFieldId="72" dataDxfId="60" dataCellStyle="Comma"/>
    <tableColumn id="73" xr3:uid="{1295F989-A037-4D7C-9A79-A858FD040E5C}" uniqueName="73" name="AmortizationOfIntangibles" queryTableFieldId="73" dataDxfId="59" dataCellStyle="Comma"/>
    <tableColumn id="74" xr3:uid="{221A9CD7-599C-4A49-9B0E-EB32211E50B4}" uniqueName="74" name="CapitalExpenditureReported" queryTableFieldId="74" dataDxfId="58" dataCellStyle="Comma"/>
    <tableColumn id="75" xr3:uid="{17AED7A9-A6DC-4576-A393-5211B8EDC0A7}" uniqueName="75" name="CashDividendsPaid" queryTableFieldId="75" dataDxfId="57" dataCellStyle="Comma"/>
    <tableColumn id="76" xr3:uid="{14516081-C08B-43FB-A1E5-DE0D45497148}" uniqueName="76" name="ChangeInIncomeTaxPayable" queryTableFieldId="76" dataDxfId="56" dataCellStyle="Comma"/>
    <tableColumn id="77" xr3:uid="{E66EA05C-B533-4A6F-8E5D-B2BC97D5F875}" uniqueName="77" name="ChangeInInventory" queryTableFieldId="77" dataDxfId="55" dataCellStyle="Comma"/>
    <tableColumn id="78" xr3:uid="{6DEF7E22-F008-46E9-8DD7-C9CD343859A6}" uniqueName="78" name="ChangeInTaxPayable" queryTableFieldId="78" dataDxfId="54" dataCellStyle="Comma"/>
    <tableColumn id="79" xr3:uid="{3D397321-1E2C-468B-9F77-8D32ED4587E5}" uniqueName="79" name="CommonStockDividendPaid" queryTableFieldId="79" dataDxfId="53" dataCellStyle="Comma"/>
    <tableColumn id="80" xr3:uid="{6F5181A1-62A0-44ED-9902-9D6A18038CD8}" uniqueName="80" name="Depreciation" queryTableFieldId="80" dataDxfId="52" dataCellStyle="Comma"/>
    <tableColumn id="81" xr3:uid="{40716AF3-6E18-4CE9-9F4A-4E0FB72D7D08}" uniqueName="81" name="GainLossOnSaleOfPPE" queryTableFieldId="81" dataDxfId="51" dataCellStyle="Comma"/>
    <tableColumn id="82" xr3:uid="{EFD71E46-72CE-4B8A-B0EE-C93E8D15042F}" uniqueName="82" name="NetShortTermDebtIssuance" queryTableFieldId="82" dataDxfId="50" dataCellStyle="Comma"/>
    <tableColumn id="83" xr3:uid="{D98F8E3C-4FC6-40AF-91FF-273273EBFC9A}" uniqueName="83" name="PensionAndEmployeeBenefitExpense" queryTableFieldId="83" dataDxfId="49" dataCellStyle="Comma"/>
    <tableColumn id="98" xr3:uid="{1482F1AC-E0A7-42C3-AEF2-04D7807B29E7}" uniqueName="98" name="NetInvestmentPropertiesPurchaseAndSale" queryTableFieldId="668" dataDxfId="48" dataCellStyle="Comma"/>
    <tableColumn id="100" xr3:uid="{B7912769-9A95-4287-8C84-A021967AF20C}" uniqueName="100" name="SaleOfInvestmentProperties" queryTableFieldId="670" dataDxfId="47" dataCellStyle="Comma"/>
    <tableColumn id="84" xr3:uid="{E7D44DC6-AB85-4178-B735-9D4B89CE72EF}" uniqueName="84" name="ShortTermDebtIssuance" queryTableFieldId="84" dataDxfId="46" dataCellStyle="Comma"/>
    <tableColumn id="85" xr3:uid="{0E1D80F4-5E6D-419E-9668-3062B1A5A88A}" uniqueName="85" name="ShortTermDebtPayments" queryTableFieldId="85" dataDxfId="45" dataCellStyle="Comma"/>
    <tableColumn id="86" xr3:uid="{758BEDB2-9930-4101-9A68-20655F480011}" uniqueName="86" name="CashFromDiscontinuedFinancingActivities" queryTableFieldId="86" dataDxfId="44" dataCellStyle="Comma"/>
    <tableColumn id="110" xr3:uid="{A9F6FB11-7C91-4080-93E3-45DBFB50EF42}" uniqueName="110" name="asOfYear" queryTableFieldId="138" dataDxfId="43" dataCellStyle="Comma"/>
    <tableColumn id="87" xr3:uid="{F25C84C0-8187-41DB-AF48-C8B722980CC8}" uniqueName="87" name="CashFromDiscontinuedInvestingActivities" queryTableFieldId="87" dataDxfId="42" dataCellStyle="Comma"/>
    <tableColumn id="88" xr3:uid="{958C9FB9-D4FF-4669-993A-52233B200335}" uniqueName="88" name="CashFromDiscontinuedOperatingActivities" queryTableFieldId="88" dataDxfId="41" dataCellStyle="Comma"/>
    <tableColumn id="89" xr3:uid="{FA782042-D090-4518-A7C5-C05DBADF7EC9}" uniqueName="89" name="DividendsReceivedCFI" queryTableFieldId="89" dataDxfId="40" dataCellStyle="Comma"/>
    <tableColumn id="90" xr3:uid="{8CA48E9D-F191-4744-8278-C6626F90A394}" uniqueName="90" name="PreferredStockDividendPaid" queryTableFieldId="90" dataDxfId="39" dataCellStyle="Comma"/>
    <tableColumn id="91" xr3:uid="{F04B3958-EF7D-41D6-AF9B-FA13D369170C}" uniqueName="91" name="PreferredStockPayments" queryTableFieldId="91" dataDxfId="38" dataCellStyle="Comma"/>
    <tableColumn id="92" xr3:uid="{C6E273FC-B776-4DBB-9AC6-A8CD7FCAE795}" uniqueName="92" name="ProvisionandWriteOffofAssets" queryTableFieldId="92" dataDxfId="37" dataCellStyle="Comma"/>
    <tableColumn id="93" xr3:uid="{23EB33CC-2CFB-4EE6-92E8-9E1C9EB733FB}" uniqueName="93" name="NetIntangiblesPurchaseAndSale" queryTableFieldId="93" dataDxfId="36" dataCellStyle="Comma"/>
    <tableColumn id="94" xr3:uid="{8EF45EC5-E6C4-4E79-A5D5-28EC7BF0FFA3}" uniqueName="94" name="PurchaseOfIntangibles" queryTableFieldId="94" dataDxfId="35" dataCellStyle="Comma"/>
    <tableColumn id="95" xr3:uid="{82E0A9F2-D609-40B5-86C5-E53C524AB8B2}" uniqueName="95" name="Ticker" queryTableFieldId="95" dataDxfId="3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B8DD92-4909-48EC-94EC-7945C9860563}" name="MetaData" displayName="MetaData" ref="A1:AV11" tableType="queryTable" totalsRowShown="0">
  <autoFilter ref="A1:AV11" xr:uid="{5BB8DD92-4909-48EC-94EC-7945C9860563}"/>
  <tableColumns count="48">
    <tableColumn id="1" xr3:uid="{4DB8B83C-05C7-4090-84A5-F35C79D61969}" uniqueName="1" name="id" queryTableFieldId="1" dataDxfId="357"/>
    <tableColumn id="2" xr3:uid="{0B954B7D-8406-4E3E-9030-A24017993F34}" uniqueName="2" name="fullTimeEmployees" queryTableFieldId="2"/>
    <tableColumn id="3" xr3:uid="{35895AED-878A-4506-B98D-05EDF898FA33}" uniqueName="3" name="website" queryTableFieldId="3" dataDxfId="356"/>
    <tableColumn id="4" xr3:uid="{C2CD21A8-4ADE-4B73-9BD1-825506C64399}" uniqueName="4" name="industry" queryTableFieldId="4" dataDxfId="355"/>
    <tableColumn id="5" xr3:uid="{944B54AD-7106-4217-8FA0-18CD8C892732}" uniqueName="5" name="sector" queryTableFieldId="5" dataDxfId="354"/>
    <tableColumn id="6" xr3:uid="{4A9D074F-7F51-44ED-A452-78B45D6C6655}" uniqueName="6" name="longBusinessSummary" queryTableFieldId="6" dataDxfId="353"/>
    <tableColumn id="7" xr3:uid="{436366D3-FB6B-47B7-A923-A3750537914B}" uniqueName="7" name="Date" queryTableFieldId="7" dataDxfId="34"/>
    <tableColumn id="8" xr3:uid="{008D9DBE-D75D-43FE-9E4D-85A282114375}" uniqueName="8" name="debtToEquity" queryTableFieldId="8"/>
    <tableColumn id="9" xr3:uid="{770CBF9A-BF21-4842-B192-1898BF155843}" uniqueName="9" name="totalDebt" queryTableFieldId="9"/>
    <tableColumn id="10" xr3:uid="{2FAA4D8B-2FC3-4276-BF61-F3F49D94C766}" uniqueName="10" name="ebitda" queryTableFieldId="10"/>
    <tableColumn id="11" xr3:uid="{7239576C-45C3-42DE-A83C-04CF80C48989}" uniqueName="11" name="operatingMargins" queryTableFieldId="11" dataDxfId="33" dataCellStyle="Percent"/>
    <tableColumn id="12" xr3:uid="{5399BCD7-CEF1-44BE-8634-8BD246F081F9}" uniqueName="12" name="revenueGrowth" queryTableFieldId="12" dataDxfId="32" dataCellStyle="Percent"/>
    <tableColumn id="13" xr3:uid="{90517785-D25B-4752-BF59-0D6D0926A1F3}" uniqueName="13" name="totalCashPerShare" queryTableFieldId="13"/>
    <tableColumn id="14" xr3:uid="{C82AFB3A-3006-4374-8517-B38FE0B1396C}" uniqueName="14" name="revenuePerShare" queryTableFieldId="14"/>
    <tableColumn id="15" xr3:uid="{4B1BC341-7075-4154-8910-4B2C433A40A3}" uniqueName="15" name="totalCash" queryTableFieldId="15"/>
    <tableColumn id="16" xr3:uid="{A3D866C4-552F-4893-A030-1CC9272449A9}" uniqueName="16" name="returnOnAssets" queryTableFieldId="16" dataDxfId="31" dataCellStyle="Percent"/>
    <tableColumn id="17" xr3:uid="{BB47794C-4BA6-4FFA-A3D3-959E1D762539}" uniqueName="17" name="profitMargins" queryTableFieldId="17" dataDxfId="30" dataCellStyle="Percent"/>
    <tableColumn id="18" xr3:uid="{F1AA8561-E4E3-4201-9F45-A34B6B6D844E}" uniqueName="18" name="grossProfits" queryTableFieldId="18"/>
    <tableColumn id="19" xr3:uid="{16FBA768-FEF2-44A8-86E7-AD7A5AD941AA}" uniqueName="19" name="earningsGrowth" queryTableFieldId="19" dataDxfId="29" dataCellStyle="Percent"/>
    <tableColumn id="20" xr3:uid="{DB504ACA-C1E1-4DCC-A717-02913DA86771}" uniqueName="20" name="freeCashflow" queryTableFieldId="20" dataDxfId="28" dataCellStyle="Comma"/>
    <tableColumn id="21" xr3:uid="{D0872EDA-DD38-4CB3-BC48-4B5435F59213}" uniqueName="21" name="returnOnEquity" queryTableFieldId="21" dataDxfId="27" dataCellStyle="Percent"/>
    <tableColumn id="22" xr3:uid="{72AF2A40-CA7B-498A-9BF9-76B36C0FE03A}" uniqueName="22" name="quickRatio" queryTableFieldId="22"/>
    <tableColumn id="23" xr3:uid="{F12773DC-B069-42C7-8170-274A7610A833}" uniqueName="23" name="currentRatio" queryTableFieldId="23"/>
    <tableColumn id="24" xr3:uid="{31F9C959-4728-4E51-BDD5-4CB63E390820}" uniqueName="24" name="operatingCashflow" queryTableFieldId="24"/>
    <tableColumn id="48" xr3:uid="{4C704E6B-6440-4546-907F-550D76214DCD}" uniqueName="48" name="targetMeanPrice" queryTableFieldId="48"/>
    <tableColumn id="25" xr3:uid="{2B823698-0948-4532-8F1C-03C7698A75E9}" uniqueName="25" name="previousClose" queryTableFieldId="25"/>
    <tableColumn id="26" xr3:uid="{3CB5D0D8-D9D2-4790-94E9-1A1FE870A28D}" uniqueName="26" name="dividendRate" queryTableFieldId="26"/>
    <tableColumn id="27" xr3:uid="{CD3BDABD-E19D-4219-96B4-4DC137DA6D59}" uniqueName="27" name="dividendYield" queryTableFieldId="27" dataDxfId="26" dataCellStyle="Percent"/>
    <tableColumn id="28" xr3:uid="{1E7369E7-B023-43E6-BE09-4F76789D993F}" uniqueName="28" name="exDividendDate" queryTableFieldId="28" dataDxfId="25"/>
    <tableColumn id="29" xr3:uid="{CE8D62D0-E411-4172-91FE-D6F748153A5D}" uniqueName="29" name="fiveYearAvgDividendYield" queryTableFieldId="29"/>
    <tableColumn id="30" xr3:uid="{13FC1B71-8713-4C5C-A24A-4BE4C35CED1C}" uniqueName="30" name="beta" queryTableFieldId="30"/>
    <tableColumn id="31" xr3:uid="{3BA590AB-AD52-4B74-927B-C63C513BF33A}" uniqueName="31" name="trailingPE" queryTableFieldId="31"/>
    <tableColumn id="32" xr3:uid="{B97567FF-A006-43BC-8944-D64A4A001494}" uniqueName="32" name="forwardPE" queryTableFieldId="32"/>
    <tableColumn id="33" xr3:uid="{8CCE4393-5A30-495F-97A3-A81E975A7DDC}" uniqueName="33" name="averageVolume10days" queryTableFieldId="33"/>
    <tableColumn id="34" xr3:uid="{5E775107-7420-4CD3-BF76-35FD9FED278B}" uniqueName="34" name="fiftyTwoWeekLow" queryTableFieldId="34"/>
    <tableColumn id="35" xr3:uid="{576C51BA-93E0-4E49-9EFE-0001916B532F}" uniqueName="35" name="fiftyTwoWeekHigh" queryTableFieldId="35"/>
    <tableColumn id="36" xr3:uid="{DE33DEC6-B7D6-4B03-9169-31FE0A470AEB}" uniqueName="36" name="priceToSalesTrailing12Months" queryTableFieldId="36"/>
    <tableColumn id="37" xr3:uid="{8CEF160B-8F8A-42D0-823C-6ED3E5B2CD7C}" uniqueName="37" name="trailingAnnualDividendRate" queryTableFieldId="37"/>
    <tableColumn id="38" xr3:uid="{D6916E75-8C27-45D1-9E5D-1F213E367BEF}" uniqueName="38" name="trailingAnnualDividendYield" queryTableFieldId="38"/>
    <tableColumn id="39" xr3:uid="{0E512277-80B2-48DF-B975-9F1025DB98FF}" uniqueName="39" name="marketCap" queryTableFieldId="39" dataDxfId="24" dataCellStyle="Comma"/>
    <tableColumn id="40" xr3:uid="{51F4EF60-F0CF-44A6-9E48-1EAF961F9ABC}" uniqueName="40" name="sharesOutstanding" queryTableFieldId="40"/>
    <tableColumn id="41" xr3:uid="{EB3DE234-15B3-4852-A6E6-57C4C41F6031}" uniqueName="41" name="bookValue" queryTableFieldId="41"/>
    <tableColumn id="42" xr3:uid="{D33388E6-AAE2-41E6-AE18-110EAF7EB958}" uniqueName="42" name="priceToBook" queryTableFieldId="42"/>
    <tableColumn id="43" xr3:uid="{8456416F-4D68-45EE-98D1-DBEA5A5A6FFC}" uniqueName="43" name="lastFiscalYearEnd" queryTableFieldId="43" dataDxfId="23"/>
    <tableColumn id="44" xr3:uid="{869C6A57-F8B3-4810-AEFB-7632B4FAA303}" uniqueName="44" name="nextFiscalYearEnd" queryTableFieldId="44" dataDxfId="22"/>
    <tableColumn id="45" xr3:uid="{CE07C36E-5EF3-4198-9E82-30514F1597F4}" uniqueName="45" name="mostRecentQuarter" queryTableFieldId="45" dataDxfId="21"/>
    <tableColumn id="46" xr3:uid="{36DADD0B-BE3B-440B-8652-4B744193EC68}" uniqueName="46" name="pegRatio" queryTableFieldId="46"/>
    <tableColumn id="47" xr3:uid="{8EDC8F4F-0D80-40AD-8A9C-93C04C900039}" uniqueName="47" name="Ticker" queryTableFieldId="47" dataDxfId="35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E63ABA-FEF5-4857-936C-5BE63AF1B607}" name="Tickers" displayName="Tickers" ref="A1:A11" tableType="queryTable" totalsRowShown="0">
  <autoFilter ref="A1:A11" xr:uid="{9EE63ABA-FEF5-4857-936C-5BE63AF1B607}"/>
  <tableColumns count="1">
    <tableColumn id="1" xr3:uid="{251449B9-A1CC-422E-857A-B9872C120818}" uniqueName="1" name="Ticker" queryTableFieldId="1" dataDxfId="351"/>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7B1C6C-3542-4085-8F25-42E51D8999C2}" name="TickerYears" displayName="TickerYears" ref="A1:E41" tableType="queryTable" totalsRowShown="0">
  <autoFilter ref="A1:E41" xr:uid="{F47B1C6C-3542-4085-8F25-42E51D8999C2}"/>
  <tableColumns count="5">
    <tableColumn id="1" xr3:uid="{2E6A0171-814B-4426-B3C6-418A76477222}" uniqueName="1" name="Ticker" queryTableFieldId="1" dataDxfId="350"/>
    <tableColumn id="2" xr3:uid="{F83708D1-E6A7-41FA-BF0C-1969F2DC3C26}" uniqueName="2" name="asOfDate" queryTableFieldId="2" dataDxfId="20"/>
    <tableColumn id="3" xr3:uid="{D3A18E6A-0B63-441F-87E0-CED7E3CE752E}" uniqueName="3" name="asOfDate_Min" queryTableFieldId="3" dataDxfId="19"/>
    <tableColumn id="4" xr3:uid="{CEE1390B-DFB1-4095-B569-4EA00C880A2B}" uniqueName="4" name="asOfDate_Max" queryTableFieldId="4" dataDxfId="18"/>
    <tableColumn id="5" xr3:uid="{B36730AF-0BCE-43ED-B5F4-D090E5018891}" uniqueName="5" name="Year" queryTableFieldId="5"/>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3AB2B1-635D-4765-B1EE-548442F1BE61}" name="AverageInflation" displayName="AverageInflation" ref="A1:A2" tableType="queryTable" totalsRowShown="0">
  <autoFilter ref="A1:A2" xr:uid="{F13AB2B1-635D-4765-B1EE-548442F1BE61}"/>
  <tableColumns count="1">
    <tableColumn id="1" xr3:uid="{23DBE8E0-C6AA-4335-A4A6-31833A876FC8}" uniqueName="1" name="avgInflation" queryTableField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watch?v=M8cuAJYYn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8185-8205-4431-89BB-AA57B4E26146}">
  <sheetPr>
    <tabColor rgb="FFC00000"/>
  </sheetPr>
  <dimension ref="A1:F17"/>
  <sheetViews>
    <sheetView showGridLines="0" zoomScale="115" zoomScaleNormal="115" workbookViewId="0">
      <selection activeCell="B16" sqref="B16"/>
    </sheetView>
  </sheetViews>
  <sheetFormatPr defaultRowHeight="14.5" x14ac:dyDescent="0.35"/>
  <cols>
    <col min="1" max="1" width="9.08984375" customWidth="1"/>
    <col min="2" max="2" width="81.26953125" bestFit="1" customWidth="1"/>
    <col min="3" max="3" width="10.54296875" bestFit="1" customWidth="1"/>
    <col min="4" max="4" width="2.453125" customWidth="1"/>
    <col min="6" max="6" width="89.453125" bestFit="1" customWidth="1"/>
  </cols>
  <sheetData>
    <row r="1" spans="1:6" x14ac:dyDescent="0.35">
      <c r="A1" t="s">
        <v>495</v>
      </c>
      <c r="B1" t="s">
        <v>496</v>
      </c>
      <c r="C1" t="s">
        <v>471</v>
      </c>
      <c r="E1" s="80" t="s">
        <v>503</v>
      </c>
      <c r="F1" t="s">
        <v>502</v>
      </c>
    </row>
    <row r="2" spans="1:6" x14ac:dyDescent="0.35">
      <c r="A2" t="s">
        <v>497</v>
      </c>
      <c r="B2" t="s">
        <v>498</v>
      </c>
      <c r="C2" t="s">
        <v>616</v>
      </c>
      <c r="E2" s="80">
        <v>1</v>
      </c>
      <c r="F2" t="s">
        <v>504</v>
      </c>
    </row>
    <row r="3" spans="1:6" x14ac:dyDescent="0.35">
      <c r="A3" t="s">
        <v>499</v>
      </c>
      <c r="B3" t="s">
        <v>500</v>
      </c>
      <c r="C3" t="s">
        <v>616</v>
      </c>
      <c r="E3" s="80">
        <v>2</v>
      </c>
      <c r="F3" t="s">
        <v>506</v>
      </c>
    </row>
    <row r="4" spans="1:6" x14ac:dyDescent="0.35">
      <c r="A4" t="s">
        <v>556</v>
      </c>
      <c r="B4" t="s">
        <v>557</v>
      </c>
      <c r="C4" t="s">
        <v>616</v>
      </c>
      <c r="E4" s="80">
        <f>E3+1</f>
        <v>3</v>
      </c>
      <c r="F4" t="s">
        <v>601</v>
      </c>
    </row>
    <row r="5" spans="1:6" x14ac:dyDescent="0.35">
      <c r="A5" t="s">
        <v>602</v>
      </c>
      <c r="B5" t="s">
        <v>603</v>
      </c>
      <c r="C5" t="s">
        <v>616</v>
      </c>
    </row>
    <row r="6" spans="1:6" x14ac:dyDescent="0.35">
      <c r="A6" t="s">
        <v>602</v>
      </c>
      <c r="B6" s="121" t="s">
        <v>558</v>
      </c>
      <c r="C6" t="s">
        <v>616</v>
      </c>
    </row>
    <row r="7" spans="1:6" x14ac:dyDescent="0.35">
      <c r="A7" t="s">
        <v>602</v>
      </c>
      <c r="B7" t="s">
        <v>565</v>
      </c>
      <c r="C7" t="s">
        <v>616</v>
      </c>
    </row>
    <row r="8" spans="1:6" ht="29" x14ac:dyDescent="0.35">
      <c r="A8" t="s">
        <v>602</v>
      </c>
      <c r="B8" s="122" t="s">
        <v>592</v>
      </c>
      <c r="C8" t="s">
        <v>616</v>
      </c>
    </row>
    <row r="9" spans="1:6" x14ac:dyDescent="0.35">
      <c r="A9" t="s">
        <v>607</v>
      </c>
      <c r="B9" t="s">
        <v>608</v>
      </c>
      <c r="C9" t="s">
        <v>616</v>
      </c>
    </row>
    <row r="10" spans="1:6" x14ac:dyDescent="0.35">
      <c r="A10" t="s">
        <v>610</v>
      </c>
      <c r="B10" t="s">
        <v>611</v>
      </c>
      <c r="C10" t="s">
        <v>616</v>
      </c>
    </row>
    <row r="11" spans="1:6" x14ac:dyDescent="0.35">
      <c r="A11" t="s">
        <v>612</v>
      </c>
      <c r="B11" t="s">
        <v>617</v>
      </c>
      <c r="C11" t="s">
        <v>616</v>
      </c>
    </row>
    <row r="12" spans="1:6" x14ac:dyDescent="0.35">
      <c r="A12" t="s">
        <v>622</v>
      </c>
      <c r="B12" t="s">
        <v>621</v>
      </c>
      <c r="C12" t="s">
        <v>616</v>
      </c>
    </row>
    <row r="13" spans="1:6" x14ac:dyDescent="0.35">
      <c r="B13" t="s">
        <v>613</v>
      </c>
    </row>
    <row r="14" spans="1:6" x14ac:dyDescent="0.35">
      <c r="B14" t="s">
        <v>615</v>
      </c>
    </row>
    <row r="15" spans="1:6" x14ac:dyDescent="0.35">
      <c r="B15" t="s">
        <v>619</v>
      </c>
    </row>
    <row r="16" spans="1:6" x14ac:dyDescent="0.35">
      <c r="A16" t="s">
        <v>622</v>
      </c>
      <c r="B16" t="s">
        <v>625</v>
      </c>
    </row>
    <row r="17" spans="3:3" x14ac:dyDescent="0.35">
      <c r="C17" s="130"/>
    </row>
  </sheetData>
  <phoneticPr fontId="4" type="noConversion"/>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31B1-D31F-4339-9F63-17171E22E4BB}">
  <sheetPr>
    <tabColor theme="6" tint="0.79998168889431442"/>
  </sheetPr>
  <dimension ref="A1:A2"/>
  <sheetViews>
    <sheetView showGridLines="0" workbookViewId="0">
      <selection activeCell="F7" sqref="F7"/>
    </sheetView>
  </sheetViews>
  <sheetFormatPr defaultRowHeight="14.5" x14ac:dyDescent="0.35"/>
  <cols>
    <col min="1" max="1" width="13.36328125" bestFit="1" customWidth="1"/>
  </cols>
  <sheetData>
    <row r="1" spans="1:1" x14ac:dyDescent="0.35">
      <c r="A1" t="s">
        <v>599</v>
      </c>
    </row>
    <row r="2" spans="1:1" x14ac:dyDescent="0.35">
      <c r="A2">
        <v>2.9327393646170048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4A6A-71A7-4B0E-AFBC-751849AAD4D7}">
  <sheetPr>
    <tabColor theme="6" tint="0.79998168889431442"/>
  </sheetPr>
  <dimension ref="A1:B2"/>
  <sheetViews>
    <sheetView showGridLines="0" workbookViewId="0"/>
  </sheetViews>
  <sheetFormatPr defaultRowHeight="14.5" x14ac:dyDescent="0.35"/>
  <cols>
    <col min="1" max="1" width="8.26953125" bestFit="1" customWidth="1"/>
    <col min="2" max="2" width="12.08984375" bestFit="1" customWidth="1"/>
    <col min="3" max="3" width="21.7265625" bestFit="1" customWidth="1"/>
  </cols>
  <sheetData>
    <row r="1" spans="1:2" x14ac:dyDescent="0.35">
      <c r="A1" t="s">
        <v>211</v>
      </c>
      <c r="B1" t="s">
        <v>588</v>
      </c>
    </row>
    <row r="2" spans="1:2" x14ac:dyDescent="0.35">
      <c r="A2" t="s">
        <v>590</v>
      </c>
      <c r="B2" s="116">
        <v>3.0808086940557311E-2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D2D53-4DE6-4179-93E0-64760EB7F878}">
  <sheetPr>
    <tabColor theme="6" tint="0.79998168889431442"/>
  </sheetPr>
  <dimension ref="A1:C2"/>
  <sheetViews>
    <sheetView showGridLines="0" workbookViewId="0"/>
  </sheetViews>
  <sheetFormatPr defaultRowHeight="14.5" x14ac:dyDescent="0.35"/>
  <cols>
    <col min="1" max="1" width="8.26953125" bestFit="1" customWidth="1"/>
    <col min="2" max="2" width="12.08984375" bestFit="1" customWidth="1"/>
    <col min="3" max="3" width="22.36328125" bestFit="1" customWidth="1"/>
  </cols>
  <sheetData>
    <row r="1" spans="1:3" x14ac:dyDescent="0.35">
      <c r="A1" t="s">
        <v>211</v>
      </c>
      <c r="B1" t="s">
        <v>588</v>
      </c>
      <c r="C1" t="s">
        <v>589</v>
      </c>
    </row>
    <row r="2" spans="1:3" x14ac:dyDescent="0.35">
      <c r="A2" t="s">
        <v>580</v>
      </c>
      <c r="B2" s="116">
        <v>9.9774689760302598E-3</v>
      </c>
      <c r="C2" s="116">
        <v>0.12652342133612526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EC25-09EF-4998-9499-515440487AB8}">
  <sheetPr>
    <tabColor theme="6" tint="0.79998168889431442"/>
  </sheetPr>
  <dimension ref="A1:C11"/>
  <sheetViews>
    <sheetView showGridLines="0" workbookViewId="0">
      <selection activeCell="C3" sqref="C3"/>
    </sheetView>
  </sheetViews>
  <sheetFormatPr defaultRowHeight="14.5" x14ac:dyDescent="0.35"/>
  <cols>
    <col min="1" max="1" width="8.26953125" bestFit="1" customWidth="1"/>
    <col min="2" max="2" width="12.08984375" bestFit="1" customWidth="1"/>
    <col min="3" max="3" width="22.36328125" bestFit="1" customWidth="1"/>
  </cols>
  <sheetData>
    <row r="1" spans="1:3" x14ac:dyDescent="0.35">
      <c r="A1" t="s">
        <v>211</v>
      </c>
      <c r="B1" t="s">
        <v>588</v>
      </c>
      <c r="C1" t="s">
        <v>589</v>
      </c>
    </row>
    <row r="2" spans="1:3" x14ac:dyDescent="0.35">
      <c r="A2" t="s">
        <v>650</v>
      </c>
      <c r="B2" s="116">
        <v>1.5262187023382889E-2</v>
      </c>
      <c r="C2" s="116">
        <v>0.19932955644890438</v>
      </c>
    </row>
    <row r="3" spans="1:3" x14ac:dyDescent="0.35">
      <c r="A3" t="s">
        <v>658</v>
      </c>
      <c r="B3" s="116">
        <v>3.7404091370524833E-2</v>
      </c>
      <c r="C3" s="116">
        <v>0.55372973569484851</v>
      </c>
    </row>
    <row r="4" spans="1:3" x14ac:dyDescent="0.35">
      <c r="A4" t="s">
        <v>660</v>
      </c>
      <c r="B4" s="116">
        <v>8.5383452102134241E-3</v>
      </c>
      <c r="C4" s="116">
        <v>0.10741137432019099</v>
      </c>
    </row>
    <row r="5" spans="1:3" x14ac:dyDescent="0.35">
      <c r="A5" t="s">
        <v>656</v>
      </c>
      <c r="B5" s="116">
        <v>8.1644301335867409E-3</v>
      </c>
      <c r="C5" s="116">
        <v>0.10249454197710417</v>
      </c>
    </row>
    <row r="6" spans="1:3" x14ac:dyDescent="0.35">
      <c r="A6" t="s">
        <v>666</v>
      </c>
      <c r="B6" s="116">
        <v>1.3278850934804437E-2</v>
      </c>
      <c r="C6" s="116">
        <v>0.17151468881732512</v>
      </c>
    </row>
    <row r="7" spans="1:3" x14ac:dyDescent="0.35">
      <c r="A7" t="s">
        <v>652</v>
      </c>
      <c r="B7" s="116">
        <v>5.6425820399458718E-2</v>
      </c>
      <c r="C7" s="116">
        <v>0.93227123405949697</v>
      </c>
    </row>
    <row r="8" spans="1:3" x14ac:dyDescent="0.35">
      <c r="A8" t="s">
        <v>664</v>
      </c>
      <c r="B8" s="116">
        <v>1.1569652587428245E-2</v>
      </c>
      <c r="C8" s="116">
        <v>0.14802012855996649</v>
      </c>
    </row>
    <row r="9" spans="1:3" x14ac:dyDescent="0.35">
      <c r="A9" t="s">
        <v>662</v>
      </c>
      <c r="B9" s="116">
        <v>4.7068139011136045E-4</v>
      </c>
      <c r="C9" s="116">
        <v>5.6628213502825098E-3</v>
      </c>
    </row>
    <row r="10" spans="1:3" x14ac:dyDescent="0.35">
      <c r="A10" t="s">
        <v>654</v>
      </c>
      <c r="B10" s="116">
        <v>1.1844267647089013E-2</v>
      </c>
      <c r="C10" s="116">
        <v>0.15176561179980297</v>
      </c>
    </row>
    <row r="11" spans="1:3" x14ac:dyDescent="0.35">
      <c r="A11" t="s">
        <v>648</v>
      </c>
      <c r="B11" s="116">
        <v>4.7347035522020409E-2</v>
      </c>
      <c r="C11" s="116">
        <v>0.74215701298964976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EA85-0E4C-4B18-B1A1-C9B01FB75FBE}">
  <sheetPr>
    <tabColor theme="6" tint="0.79998168889431442"/>
  </sheetPr>
  <dimension ref="A1:R544"/>
  <sheetViews>
    <sheetView workbookViewId="0">
      <selection activeCell="M426" sqref="M426"/>
    </sheetView>
  </sheetViews>
  <sheetFormatPr defaultRowHeight="14.5" x14ac:dyDescent="0.35"/>
  <cols>
    <col min="1" max="1" width="8.26953125" bestFit="1" customWidth="1"/>
    <col min="2" max="2" width="12.26953125" bestFit="1" customWidth="1"/>
    <col min="3" max="6" width="11.81640625" bestFit="1" customWidth="1"/>
    <col min="7" max="7" width="9.81640625" bestFit="1" customWidth="1"/>
    <col min="8" max="8" width="11.81640625" bestFit="1" customWidth="1"/>
    <col min="9" max="9" width="14" bestFit="1" customWidth="1"/>
    <col min="10" max="10" width="11.453125" bestFit="1" customWidth="1"/>
    <col min="11" max="11" width="11.54296875" bestFit="1" customWidth="1"/>
    <col min="12" max="12" width="17.1796875" bestFit="1" customWidth="1"/>
    <col min="13" max="13" width="16.1796875" bestFit="1" customWidth="1"/>
    <col min="14" max="14" width="17" bestFit="1" customWidth="1"/>
    <col min="15" max="15" width="16.36328125" bestFit="1" customWidth="1"/>
    <col min="16" max="16" width="14.54296875" bestFit="1" customWidth="1"/>
    <col min="17" max="17" width="17" bestFit="1" customWidth="1"/>
    <col min="18" max="18" width="7.7265625" bestFit="1" customWidth="1"/>
  </cols>
  <sheetData>
    <row r="1" spans="1:18" x14ac:dyDescent="0.35">
      <c r="A1" t="s">
        <v>211</v>
      </c>
      <c r="B1" t="s">
        <v>567</v>
      </c>
      <c r="C1" t="s">
        <v>568</v>
      </c>
      <c r="D1" t="s">
        <v>569</v>
      </c>
      <c r="E1" t="s">
        <v>570</v>
      </c>
      <c r="F1" t="s">
        <v>571</v>
      </c>
      <c r="G1" t="s">
        <v>572</v>
      </c>
      <c r="H1" t="s">
        <v>573</v>
      </c>
      <c r="I1" t="s">
        <v>139</v>
      </c>
      <c r="J1" t="s">
        <v>574</v>
      </c>
      <c r="K1" t="s">
        <v>593</v>
      </c>
      <c r="L1" t="s">
        <v>595</v>
      </c>
      <c r="M1" t="s">
        <v>575</v>
      </c>
      <c r="N1" t="s">
        <v>576</v>
      </c>
      <c r="O1" t="s">
        <v>577</v>
      </c>
      <c r="P1" t="s">
        <v>578</v>
      </c>
      <c r="Q1" t="s">
        <v>579</v>
      </c>
      <c r="R1" t="s">
        <v>594</v>
      </c>
    </row>
    <row r="2" spans="1:18" hidden="1" x14ac:dyDescent="0.35">
      <c r="A2" s="156" t="s">
        <v>648</v>
      </c>
      <c r="B2" s="22">
        <v>43617</v>
      </c>
      <c r="C2">
        <v>26.89999961853027</v>
      </c>
      <c r="D2">
        <v>29.70000076293945</v>
      </c>
      <c r="E2">
        <v>24.610000610351559</v>
      </c>
      <c r="F2">
        <v>28.989999771118161</v>
      </c>
      <c r="G2">
        <v>4735100</v>
      </c>
      <c r="H2">
        <v>28.989999771118161</v>
      </c>
      <c r="I2" s="156" t="s">
        <v>647</v>
      </c>
      <c r="J2" s="22">
        <v>45544</v>
      </c>
      <c r="N2">
        <v>2.0900001525878911</v>
      </c>
      <c r="O2">
        <v>2.8000011444091801</v>
      </c>
      <c r="P2" s="156" t="s">
        <v>582</v>
      </c>
      <c r="Q2">
        <v>2019</v>
      </c>
    </row>
    <row r="3" spans="1:18" hidden="1" x14ac:dyDescent="0.35">
      <c r="A3" s="156" t="s">
        <v>648</v>
      </c>
      <c r="B3" s="22">
        <v>43647</v>
      </c>
      <c r="C3">
        <v>29.479999542236332</v>
      </c>
      <c r="D3">
        <v>30.17499923706055</v>
      </c>
      <c r="E3">
        <v>22.70999908447266</v>
      </c>
      <c r="F3">
        <v>23.729999542236332</v>
      </c>
      <c r="G3">
        <v>2858500</v>
      </c>
      <c r="H3">
        <v>23.729999542236332</v>
      </c>
      <c r="I3" s="156" t="s">
        <v>647</v>
      </c>
      <c r="J3" s="22">
        <v>45544</v>
      </c>
      <c r="L3">
        <v>-5.2600002288818359</v>
      </c>
      <c r="M3">
        <v>-0.18144188583686061</v>
      </c>
      <c r="N3">
        <v>-5.75</v>
      </c>
      <c r="O3">
        <v>0.69499969482421875</v>
      </c>
      <c r="P3" s="156" t="s">
        <v>585</v>
      </c>
      <c r="Q3">
        <v>2019</v>
      </c>
    </row>
    <row r="4" spans="1:18" hidden="1" x14ac:dyDescent="0.35">
      <c r="A4" s="156" t="s">
        <v>648</v>
      </c>
      <c r="B4" s="22">
        <v>43678</v>
      </c>
      <c r="C4">
        <v>23.5</v>
      </c>
      <c r="D4">
        <v>24.809999465942379</v>
      </c>
      <c r="E4">
        <v>19.913999557495121</v>
      </c>
      <c r="F4">
        <v>23.95000076293945</v>
      </c>
      <c r="G4">
        <v>2227500</v>
      </c>
      <c r="H4">
        <v>23.95000076293945</v>
      </c>
      <c r="I4" s="156" t="s">
        <v>647</v>
      </c>
      <c r="J4" s="22">
        <v>45544</v>
      </c>
      <c r="L4">
        <v>0.220001220703125</v>
      </c>
      <c r="M4">
        <v>9.2710166433653818E-3</v>
      </c>
      <c r="N4">
        <v>0.45000076293945313</v>
      </c>
      <c r="O4">
        <v>1.309999465942383</v>
      </c>
      <c r="P4" s="156" t="s">
        <v>587</v>
      </c>
      <c r="Q4">
        <v>2019</v>
      </c>
    </row>
    <row r="5" spans="1:18" hidden="1" x14ac:dyDescent="0.35">
      <c r="A5" s="156" t="s">
        <v>648</v>
      </c>
      <c r="B5" s="22">
        <v>43709</v>
      </c>
      <c r="C5">
        <v>23.909999847412109</v>
      </c>
      <c r="D5">
        <v>25.469999313354489</v>
      </c>
      <c r="E5">
        <v>22.5</v>
      </c>
      <c r="F5">
        <v>23.75</v>
      </c>
      <c r="G5">
        <v>1130300</v>
      </c>
      <c r="H5">
        <v>23.75</v>
      </c>
      <c r="I5" s="156" t="s">
        <v>647</v>
      </c>
      <c r="J5" s="22">
        <v>45544</v>
      </c>
      <c r="L5">
        <v>-0.2000007629394531</v>
      </c>
      <c r="M5">
        <v>-8.3507622784270152E-3</v>
      </c>
      <c r="N5">
        <v>-0.1599998474121094</v>
      </c>
      <c r="O5">
        <v>1.559999465942383</v>
      </c>
      <c r="P5" s="156" t="s">
        <v>583</v>
      </c>
      <c r="Q5">
        <v>2019</v>
      </c>
    </row>
    <row r="6" spans="1:18" hidden="1" x14ac:dyDescent="0.35">
      <c r="A6" s="156" t="s">
        <v>648</v>
      </c>
      <c r="B6" s="22">
        <v>43739</v>
      </c>
      <c r="C6">
        <v>23.760000228881839</v>
      </c>
      <c r="D6">
        <v>24</v>
      </c>
      <c r="E6">
        <v>16.920000076293949</v>
      </c>
      <c r="F6">
        <v>17.940000534057621</v>
      </c>
      <c r="G6">
        <v>1866700</v>
      </c>
      <c r="H6">
        <v>17.940000534057621</v>
      </c>
      <c r="I6" s="156" t="s">
        <v>647</v>
      </c>
      <c r="J6" s="22">
        <v>45544</v>
      </c>
      <c r="L6">
        <v>-5.8099994659423828</v>
      </c>
      <c r="M6">
        <v>-0.2446315564607319</v>
      </c>
      <c r="N6">
        <v>-5.8199996948242188</v>
      </c>
      <c r="O6">
        <v>0.23999977111816409</v>
      </c>
      <c r="P6" s="156" t="s">
        <v>586</v>
      </c>
      <c r="Q6">
        <v>2019</v>
      </c>
    </row>
    <row r="7" spans="1:18" hidden="1" x14ac:dyDescent="0.35">
      <c r="A7" s="156" t="s">
        <v>648</v>
      </c>
      <c r="B7" s="22">
        <v>43770</v>
      </c>
      <c r="C7">
        <v>18</v>
      </c>
      <c r="D7">
        <v>20.5</v>
      </c>
      <c r="E7">
        <v>15.74499988555908</v>
      </c>
      <c r="F7">
        <v>18.75</v>
      </c>
      <c r="G7">
        <v>3400700</v>
      </c>
      <c r="H7">
        <v>18.75</v>
      </c>
      <c r="I7" s="156" t="s">
        <v>647</v>
      </c>
      <c r="J7" s="22">
        <v>45544</v>
      </c>
      <c r="L7">
        <v>0.80999946594238281</v>
      </c>
      <c r="M7">
        <v>4.5150470559053968E-2</v>
      </c>
      <c r="N7">
        <v>0.75</v>
      </c>
      <c r="O7">
        <v>2.5</v>
      </c>
      <c r="P7" s="156" t="s">
        <v>584</v>
      </c>
      <c r="Q7">
        <v>2019</v>
      </c>
    </row>
    <row r="8" spans="1:18" hidden="1" x14ac:dyDescent="0.35">
      <c r="A8" s="156" t="s">
        <v>648</v>
      </c>
      <c r="B8" s="22">
        <v>43800</v>
      </c>
      <c r="C8">
        <v>18.819999694824219</v>
      </c>
      <c r="D8">
        <v>20.930000305175781</v>
      </c>
      <c r="E8">
        <v>17.20999908447266</v>
      </c>
      <c r="F8">
        <v>19.010000228881839</v>
      </c>
      <c r="G8">
        <v>6086800</v>
      </c>
      <c r="H8">
        <v>19.010000228881839</v>
      </c>
      <c r="I8" s="156" t="s">
        <v>647</v>
      </c>
      <c r="J8" s="22">
        <v>45544</v>
      </c>
      <c r="L8">
        <v>0.26000022888183588</v>
      </c>
      <c r="M8">
        <v>1.3866678873697859E-2</v>
      </c>
      <c r="N8">
        <v>0.19000053405761719</v>
      </c>
      <c r="O8">
        <v>2.1100006103515621</v>
      </c>
      <c r="P8" s="156" t="s">
        <v>583</v>
      </c>
      <c r="Q8">
        <v>2019</v>
      </c>
    </row>
    <row r="9" spans="1:18" hidden="1" x14ac:dyDescent="0.35">
      <c r="A9" s="156" t="s">
        <v>648</v>
      </c>
      <c r="B9" s="22">
        <v>43831</v>
      </c>
      <c r="C9">
        <v>19.120000839233398</v>
      </c>
      <c r="D9">
        <v>20.989999771118161</v>
      </c>
      <c r="E9">
        <v>17.10000038146973</v>
      </c>
      <c r="F9">
        <v>17.510000228881839</v>
      </c>
      <c r="G9">
        <v>3542700</v>
      </c>
      <c r="H9">
        <v>17.510000228881839</v>
      </c>
      <c r="I9" s="156" t="s">
        <v>647</v>
      </c>
      <c r="J9" s="22">
        <v>45544</v>
      </c>
      <c r="L9">
        <v>-1.5</v>
      </c>
      <c r="M9">
        <v>-7.890583808205609E-2</v>
      </c>
      <c r="N9">
        <v>-1.6100006103515621</v>
      </c>
      <c r="O9">
        <v>1.8699989318847661</v>
      </c>
      <c r="P9" s="156" t="s">
        <v>581</v>
      </c>
      <c r="Q9">
        <v>2020</v>
      </c>
    </row>
    <row r="10" spans="1:18" hidden="1" x14ac:dyDescent="0.35">
      <c r="A10" s="156" t="s">
        <v>648</v>
      </c>
      <c r="B10" s="22">
        <v>43862</v>
      </c>
      <c r="C10">
        <v>17.54000091552734</v>
      </c>
      <c r="D10">
        <v>20.379999160766602</v>
      </c>
      <c r="E10">
        <v>14.75</v>
      </c>
      <c r="F10">
        <v>15.69999980926514</v>
      </c>
      <c r="G10">
        <v>2365800</v>
      </c>
      <c r="H10">
        <v>15.69999980926514</v>
      </c>
      <c r="I10" s="156" t="s">
        <v>647</v>
      </c>
      <c r="J10" s="22">
        <v>45544</v>
      </c>
      <c r="L10">
        <v>-1.810000419616699</v>
      </c>
      <c r="M10">
        <v>-0.1033695257542714</v>
      </c>
      <c r="N10">
        <v>-1.840001106262207</v>
      </c>
      <c r="O10">
        <v>2.8399982452392578</v>
      </c>
      <c r="P10" s="156" t="s">
        <v>582</v>
      </c>
      <c r="Q10">
        <v>2020</v>
      </c>
    </row>
    <row r="11" spans="1:18" hidden="1" x14ac:dyDescent="0.35">
      <c r="A11" s="156" t="s">
        <v>648</v>
      </c>
      <c r="B11" s="22">
        <v>43891</v>
      </c>
      <c r="C11">
        <v>15.760000228881839</v>
      </c>
      <c r="D11">
        <v>16.57399940490723</v>
      </c>
      <c r="E11">
        <v>10.10000038146973</v>
      </c>
      <c r="F11">
        <v>12.079999923706049</v>
      </c>
      <c r="G11">
        <v>3558000</v>
      </c>
      <c r="H11">
        <v>12.079999923706049</v>
      </c>
      <c r="I11" s="156" t="s">
        <v>647</v>
      </c>
      <c r="J11" s="22">
        <v>45544</v>
      </c>
      <c r="L11">
        <v>-3.619999885559082</v>
      </c>
      <c r="M11">
        <v>-0.230573243919582</v>
      </c>
      <c r="N11">
        <v>-3.6800003051757808</v>
      </c>
      <c r="O11">
        <v>0.81399917602539063</v>
      </c>
      <c r="P11" s="156" t="s">
        <v>583</v>
      </c>
      <c r="Q11">
        <v>2020</v>
      </c>
    </row>
    <row r="12" spans="1:18" hidden="1" x14ac:dyDescent="0.35">
      <c r="A12" s="156" t="s">
        <v>648</v>
      </c>
      <c r="B12" s="22">
        <v>43922</v>
      </c>
      <c r="C12">
        <v>11.64000034332275</v>
      </c>
      <c r="D12">
        <v>19.579999923706051</v>
      </c>
      <c r="E12">
        <v>11.14799976348877</v>
      </c>
      <c r="F12">
        <v>18.090000152587891</v>
      </c>
      <c r="G12">
        <v>2564100</v>
      </c>
      <c r="H12">
        <v>18.090000152587891</v>
      </c>
      <c r="I12" s="156" t="s">
        <v>647</v>
      </c>
      <c r="J12" s="22">
        <v>45544</v>
      </c>
      <c r="L12">
        <v>6.0100002288818359</v>
      </c>
      <c r="M12">
        <v>0.49751657838073998</v>
      </c>
      <c r="N12">
        <v>6.4499998092651367</v>
      </c>
      <c r="O12">
        <v>7.9399995803833008</v>
      </c>
      <c r="P12" s="156" t="s">
        <v>581</v>
      </c>
      <c r="Q12">
        <v>2020</v>
      </c>
    </row>
    <row r="13" spans="1:18" hidden="1" x14ac:dyDescent="0.35">
      <c r="A13" s="156" t="s">
        <v>648</v>
      </c>
      <c r="B13" s="22">
        <v>43952</v>
      </c>
      <c r="C13">
        <v>17.729999542236332</v>
      </c>
      <c r="D13">
        <v>18.229999542236332</v>
      </c>
      <c r="E13">
        <v>13.14999961853027</v>
      </c>
      <c r="F13">
        <v>13.210000038146971</v>
      </c>
      <c r="G13">
        <v>4070200</v>
      </c>
      <c r="H13">
        <v>13.210000038146971</v>
      </c>
      <c r="I13" s="156" t="s">
        <v>647</v>
      </c>
      <c r="J13" s="22">
        <v>45544</v>
      </c>
      <c r="L13">
        <v>-4.880000114440918</v>
      </c>
      <c r="M13">
        <v>-0.26976230366381743</v>
      </c>
      <c r="N13">
        <v>-4.5199995040893546</v>
      </c>
      <c r="O13">
        <v>0.5</v>
      </c>
      <c r="P13" s="156" t="s">
        <v>584</v>
      </c>
      <c r="Q13">
        <v>2020</v>
      </c>
    </row>
    <row r="14" spans="1:18" hidden="1" x14ac:dyDescent="0.35">
      <c r="A14" s="156" t="s">
        <v>648</v>
      </c>
      <c r="B14" s="22">
        <v>43983</v>
      </c>
      <c r="C14">
        <v>13.38000011444092</v>
      </c>
      <c r="D14">
        <v>18.180000305175781</v>
      </c>
      <c r="E14">
        <v>12.75</v>
      </c>
      <c r="F14">
        <v>17.920000076293949</v>
      </c>
      <c r="G14">
        <v>5274500</v>
      </c>
      <c r="H14">
        <v>17.920000076293949</v>
      </c>
      <c r="I14" s="156" t="s">
        <v>647</v>
      </c>
      <c r="J14" s="22">
        <v>45544</v>
      </c>
      <c r="L14">
        <v>4.7100000381469727</v>
      </c>
      <c r="M14">
        <v>0.35654807150232731</v>
      </c>
      <c r="N14">
        <v>4.5399999618530273</v>
      </c>
      <c r="O14">
        <v>4.8000001907348633</v>
      </c>
      <c r="P14" s="156" t="s">
        <v>585</v>
      </c>
      <c r="Q14">
        <v>2020</v>
      </c>
    </row>
    <row r="15" spans="1:18" hidden="1" x14ac:dyDescent="0.35">
      <c r="A15" s="156" t="s">
        <v>648</v>
      </c>
      <c r="B15" s="22">
        <v>44013</v>
      </c>
      <c r="C15">
        <v>18.069999694824219</v>
      </c>
      <c r="D15">
        <v>18.680000305175781</v>
      </c>
      <c r="E15">
        <v>16.20999908447266</v>
      </c>
      <c r="F15">
        <v>18.059999465942379</v>
      </c>
      <c r="G15">
        <v>2862200</v>
      </c>
      <c r="H15">
        <v>18.059999465942379</v>
      </c>
      <c r="I15" s="156" t="s">
        <v>647</v>
      </c>
      <c r="J15" s="22">
        <v>45544</v>
      </c>
      <c r="L15">
        <v>0.1399993896484375</v>
      </c>
      <c r="M15">
        <v>7.8124659069416236E-3</v>
      </c>
      <c r="N15">
        <v>-1.0000228881835939E-2</v>
      </c>
      <c r="O15">
        <v>0.6100006103515625</v>
      </c>
      <c r="P15" s="156" t="s">
        <v>581</v>
      </c>
      <c r="Q15">
        <v>2020</v>
      </c>
    </row>
    <row r="16" spans="1:18" hidden="1" x14ac:dyDescent="0.35">
      <c r="A16" s="156" t="s">
        <v>648</v>
      </c>
      <c r="B16" s="22">
        <v>44044</v>
      </c>
      <c r="C16">
        <v>18.170000076293949</v>
      </c>
      <c r="D16">
        <v>19.569999694824219</v>
      </c>
      <c r="E16">
        <v>17.319999694824219</v>
      </c>
      <c r="F16">
        <v>17.829999923706051</v>
      </c>
      <c r="G16">
        <v>2973200</v>
      </c>
      <c r="H16">
        <v>17.829999923706051</v>
      </c>
      <c r="I16" s="156" t="s">
        <v>647</v>
      </c>
      <c r="J16" s="22">
        <v>45544</v>
      </c>
      <c r="L16">
        <v>-0.2299995422363281</v>
      </c>
      <c r="M16">
        <v>-1.2735301718588721E-2</v>
      </c>
      <c r="N16">
        <v>-0.34000015258789063</v>
      </c>
      <c r="O16">
        <v>1.399999618530273</v>
      </c>
      <c r="P16" s="156" t="s">
        <v>582</v>
      </c>
      <c r="Q16">
        <v>2020</v>
      </c>
    </row>
    <row r="17" spans="1:17" hidden="1" x14ac:dyDescent="0.35">
      <c r="A17" s="156" t="s">
        <v>648</v>
      </c>
      <c r="B17" s="22">
        <v>44075</v>
      </c>
      <c r="C17">
        <v>17.819999694824219</v>
      </c>
      <c r="D17">
        <v>18</v>
      </c>
      <c r="E17">
        <v>12.710000038146971</v>
      </c>
      <c r="F17">
        <v>13.77999973297119</v>
      </c>
      <c r="G17">
        <v>6188300</v>
      </c>
      <c r="H17">
        <v>13.77999973297119</v>
      </c>
      <c r="I17" s="156" t="s">
        <v>647</v>
      </c>
      <c r="J17" s="22">
        <v>45544</v>
      </c>
      <c r="L17">
        <v>-4.0500001907348633</v>
      </c>
      <c r="M17">
        <v>-0.22714527246576971</v>
      </c>
      <c r="N17">
        <v>-4.0399999618530273</v>
      </c>
      <c r="O17">
        <v>0.18000030517578119</v>
      </c>
      <c r="P17" s="156" t="s">
        <v>586</v>
      </c>
      <c r="Q17">
        <v>2020</v>
      </c>
    </row>
    <row r="18" spans="1:17" hidden="1" x14ac:dyDescent="0.35">
      <c r="A18" s="156" t="s">
        <v>648</v>
      </c>
      <c r="B18" s="22">
        <v>44105</v>
      </c>
      <c r="C18">
        <v>13.810000419616699</v>
      </c>
      <c r="D18">
        <v>14.36999988555908</v>
      </c>
      <c r="E18">
        <v>11.510000228881839</v>
      </c>
      <c r="F18">
        <v>11.97999954223633</v>
      </c>
      <c r="G18">
        <v>2364400</v>
      </c>
      <c r="H18">
        <v>11.97999954223633</v>
      </c>
      <c r="I18" s="156" t="s">
        <v>647</v>
      </c>
      <c r="J18" s="22">
        <v>45544</v>
      </c>
      <c r="L18">
        <v>-1.8000001907348631</v>
      </c>
      <c r="M18">
        <v>-0.13062410926090451</v>
      </c>
      <c r="N18">
        <v>-1.8300008773803711</v>
      </c>
      <c r="O18">
        <v>0.55999946594238281</v>
      </c>
      <c r="P18" s="156" t="s">
        <v>587</v>
      </c>
      <c r="Q18">
        <v>2020</v>
      </c>
    </row>
    <row r="19" spans="1:17" hidden="1" x14ac:dyDescent="0.35">
      <c r="A19" s="156" t="s">
        <v>648</v>
      </c>
      <c r="B19" s="22">
        <v>44136</v>
      </c>
      <c r="C19">
        <v>12.170000076293951</v>
      </c>
      <c r="D19">
        <v>15.310000419616699</v>
      </c>
      <c r="E19">
        <v>11.64000034332275</v>
      </c>
      <c r="F19">
        <v>14.86999988555908</v>
      </c>
      <c r="G19">
        <v>1397300</v>
      </c>
      <c r="H19">
        <v>14.86999988555908</v>
      </c>
      <c r="I19" s="156" t="s">
        <v>647</v>
      </c>
      <c r="J19" s="22">
        <v>45544</v>
      </c>
      <c r="L19">
        <v>2.8900003433227539</v>
      </c>
      <c r="M19">
        <v>0.24123543019629129</v>
      </c>
      <c r="N19">
        <v>2.6999998092651372</v>
      </c>
      <c r="O19">
        <v>3.1400003433227539</v>
      </c>
      <c r="P19" s="156" t="s">
        <v>583</v>
      </c>
      <c r="Q19">
        <v>2020</v>
      </c>
    </row>
    <row r="20" spans="1:17" hidden="1" x14ac:dyDescent="0.35">
      <c r="A20" s="156" t="s">
        <v>648</v>
      </c>
      <c r="B20" s="22">
        <v>44166</v>
      </c>
      <c r="C20">
        <v>14.989999771118161</v>
      </c>
      <c r="D20">
        <v>20</v>
      </c>
      <c r="E20">
        <v>14.60000038146973</v>
      </c>
      <c r="F20">
        <v>19.89999961853027</v>
      </c>
      <c r="G20">
        <v>1971400</v>
      </c>
      <c r="H20">
        <v>19.89999961853027</v>
      </c>
      <c r="I20" s="156" t="s">
        <v>647</v>
      </c>
      <c r="J20" s="22">
        <v>45544</v>
      </c>
      <c r="L20">
        <v>5.0299997329711914</v>
      </c>
      <c r="M20">
        <v>0.33826494765854348</v>
      </c>
      <c r="N20">
        <v>4.9099998474121094</v>
      </c>
      <c r="O20">
        <v>5.0100002288818359</v>
      </c>
      <c r="P20" s="156" t="s">
        <v>586</v>
      </c>
      <c r="Q20">
        <v>2020</v>
      </c>
    </row>
    <row r="21" spans="1:17" hidden="1" x14ac:dyDescent="0.35">
      <c r="A21" s="156" t="s">
        <v>648</v>
      </c>
      <c r="B21" s="22">
        <v>44197</v>
      </c>
      <c r="C21">
        <v>19.889999389648441</v>
      </c>
      <c r="D21">
        <v>24.770000457763668</v>
      </c>
      <c r="E21">
        <v>17.194999694824219</v>
      </c>
      <c r="F21">
        <v>22.780000686645511</v>
      </c>
      <c r="G21">
        <v>2832500</v>
      </c>
      <c r="H21">
        <v>22.780000686645511</v>
      </c>
      <c r="I21" s="156" t="s">
        <v>647</v>
      </c>
      <c r="J21" s="22">
        <v>45544</v>
      </c>
      <c r="L21">
        <v>2.8800010681152339</v>
      </c>
      <c r="M21">
        <v>0.14472367453884091</v>
      </c>
      <c r="N21">
        <v>2.8900012969970699</v>
      </c>
      <c r="O21">
        <v>4.8800010681152344</v>
      </c>
      <c r="P21" s="156" t="s">
        <v>584</v>
      </c>
      <c r="Q21">
        <v>2021</v>
      </c>
    </row>
    <row r="22" spans="1:17" hidden="1" x14ac:dyDescent="0.35">
      <c r="A22" s="156" t="s">
        <v>648</v>
      </c>
      <c r="B22" s="22">
        <v>44228</v>
      </c>
      <c r="C22">
        <v>23.39999961853027</v>
      </c>
      <c r="D22">
        <v>41.196998596191413</v>
      </c>
      <c r="E22">
        <v>21.305000305175781</v>
      </c>
      <c r="F22">
        <v>35.889999389648438</v>
      </c>
      <c r="G22">
        <v>23252400</v>
      </c>
      <c r="H22">
        <v>35.889999389648438</v>
      </c>
      <c r="I22" s="156" t="s">
        <v>647</v>
      </c>
      <c r="J22" s="22">
        <v>45544</v>
      </c>
      <c r="L22">
        <v>13.10999870300293</v>
      </c>
      <c r="M22">
        <v>0.57550475451427463</v>
      </c>
      <c r="N22">
        <v>12.489999771118161</v>
      </c>
      <c r="O22">
        <v>17.796998977661129</v>
      </c>
      <c r="P22" s="156" t="s">
        <v>585</v>
      </c>
      <c r="Q22">
        <v>2021</v>
      </c>
    </row>
    <row r="23" spans="1:17" hidden="1" x14ac:dyDescent="0.35">
      <c r="A23" s="156" t="s">
        <v>648</v>
      </c>
      <c r="B23" s="22">
        <v>44256</v>
      </c>
      <c r="C23">
        <v>36.360000610351563</v>
      </c>
      <c r="D23">
        <v>49.5</v>
      </c>
      <c r="E23">
        <v>26.5</v>
      </c>
      <c r="F23">
        <v>41.490001678466797</v>
      </c>
      <c r="G23">
        <v>19963100</v>
      </c>
      <c r="H23">
        <v>41.490001678466797</v>
      </c>
      <c r="I23" s="156" t="s">
        <v>647</v>
      </c>
      <c r="J23" s="22">
        <v>45544</v>
      </c>
      <c r="L23">
        <v>5.6000022888183594</v>
      </c>
      <c r="M23">
        <v>0.15603238740743849</v>
      </c>
      <c r="N23">
        <v>5.1300010681152344</v>
      </c>
      <c r="O23">
        <v>13.139999389648439</v>
      </c>
      <c r="P23" s="156" t="s">
        <v>585</v>
      </c>
      <c r="Q23">
        <v>2021</v>
      </c>
    </row>
    <row r="24" spans="1:17" hidden="1" x14ac:dyDescent="0.35">
      <c r="A24" s="156" t="s">
        <v>648</v>
      </c>
      <c r="B24" s="22">
        <v>44287</v>
      </c>
      <c r="C24">
        <v>42.259998321533203</v>
      </c>
      <c r="D24">
        <v>42.580001831054688</v>
      </c>
      <c r="E24">
        <v>24.5</v>
      </c>
      <c r="F24">
        <v>28.70999908447266</v>
      </c>
      <c r="G24">
        <v>16562200</v>
      </c>
      <c r="H24">
        <v>28.70999908447266</v>
      </c>
      <c r="I24" s="156" t="s">
        <v>647</v>
      </c>
      <c r="J24" s="22">
        <v>45544</v>
      </c>
      <c r="L24">
        <v>-12.780002593994141</v>
      </c>
      <c r="M24">
        <v>-0.30802608042859952</v>
      </c>
      <c r="N24">
        <v>-13.54999923706055</v>
      </c>
      <c r="O24">
        <v>0.32000350952148438</v>
      </c>
      <c r="P24" s="156" t="s">
        <v>587</v>
      </c>
      <c r="Q24">
        <v>2021</v>
      </c>
    </row>
    <row r="25" spans="1:17" hidden="1" x14ac:dyDescent="0.35">
      <c r="A25" s="156" t="s">
        <v>648</v>
      </c>
      <c r="B25" s="22">
        <v>44317</v>
      </c>
      <c r="C25">
        <v>28.85000038146973</v>
      </c>
      <c r="D25">
        <v>29.10000038146973</v>
      </c>
      <c r="E25">
        <v>20.79999923706055</v>
      </c>
      <c r="F25">
        <v>25.639999389648441</v>
      </c>
      <c r="G25">
        <v>7785400</v>
      </c>
      <c r="H25">
        <v>25.639999389648441</v>
      </c>
      <c r="I25" s="156" t="s">
        <v>647</v>
      </c>
      <c r="J25" s="22">
        <v>45544</v>
      </c>
      <c r="L25">
        <v>-3.0699996948242192</v>
      </c>
      <c r="M25">
        <v>-0.1069313755737659</v>
      </c>
      <c r="N25">
        <v>-3.2100009918212891</v>
      </c>
      <c r="O25">
        <v>0.25</v>
      </c>
      <c r="P25" s="156" t="s">
        <v>582</v>
      </c>
      <c r="Q25">
        <v>2021</v>
      </c>
    </row>
    <row r="26" spans="1:17" hidden="1" x14ac:dyDescent="0.35">
      <c r="A26" s="156" t="s">
        <v>648</v>
      </c>
      <c r="B26" s="22">
        <v>44348</v>
      </c>
      <c r="C26">
        <v>25.79999923706055</v>
      </c>
      <c r="D26">
        <v>35.240001678466797</v>
      </c>
      <c r="E26">
        <v>24.656999588012699</v>
      </c>
      <c r="F26">
        <v>33.180000305175781</v>
      </c>
      <c r="G26">
        <v>8171700</v>
      </c>
      <c r="H26">
        <v>33.180000305175781</v>
      </c>
      <c r="I26" s="156" t="s">
        <v>647</v>
      </c>
      <c r="J26" s="22">
        <v>45544</v>
      </c>
      <c r="L26">
        <v>7.5400009155273438</v>
      </c>
      <c r="M26">
        <v>0.29407180557778978</v>
      </c>
      <c r="N26">
        <v>7.3800010681152344</v>
      </c>
      <c r="O26">
        <v>9.44000244140625</v>
      </c>
      <c r="P26" s="156" t="s">
        <v>586</v>
      </c>
      <c r="Q26">
        <v>2021</v>
      </c>
    </row>
    <row r="27" spans="1:17" hidden="1" x14ac:dyDescent="0.35">
      <c r="A27" s="156" t="s">
        <v>648</v>
      </c>
      <c r="B27" s="22">
        <v>44378</v>
      </c>
      <c r="C27">
        <v>33.569999694824219</v>
      </c>
      <c r="D27">
        <v>35.369998931884773</v>
      </c>
      <c r="E27">
        <v>26.29999923706055</v>
      </c>
      <c r="F27">
        <v>28.520000457763668</v>
      </c>
      <c r="G27">
        <v>7835500</v>
      </c>
      <c r="H27">
        <v>28.520000457763668</v>
      </c>
      <c r="I27" s="156" t="s">
        <v>647</v>
      </c>
      <c r="J27" s="22">
        <v>45544</v>
      </c>
      <c r="L27">
        <v>-4.6599998474121094</v>
      </c>
      <c r="M27">
        <v>-0.14044604594790169</v>
      </c>
      <c r="N27">
        <v>-5.0499992370605469</v>
      </c>
      <c r="O27">
        <v>1.7999992370605471</v>
      </c>
      <c r="P27" s="156" t="s">
        <v>587</v>
      </c>
      <c r="Q27">
        <v>2021</v>
      </c>
    </row>
    <row r="28" spans="1:17" hidden="1" x14ac:dyDescent="0.35">
      <c r="A28" s="156" t="s">
        <v>648</v>
      </c>
      <c r="B28" s="22">
        <v>44409</v>
      </c>
      <c r="C28">
        <v>28.54000091552734</v>
      </c>
      <c r="D28">
        <v>33.169998168945313</v>
      </c>
      <c r="E28">
        <v>25.75</v>
      </c>
      <c r="F28">
        <v>32.680000305175781</v>
      </c>
      <c r="G28">
        <v>4861400</v>
      </c>
      <c r="H28">
        <v>32.680000305175781</v>
      </c>
      <c r="I28" s="156" t="s">
        <v>647</v>
      </c>
      <c r="J28" s="22">
        <v>45544</v>
      </c>
      <c r="L28">
        <v>4.1599998474121094</v>
      </c>
      <c r="M28">
        <v>0.14586254490327949</v>
      </c>
      <c r="N28">
        <v>4.1399993896484384</v>
      </c>
      <c r="O28">
        <v>4.6299972534179688</v>
      </c>
      <c r="P28" s="156" t="s">
        <v>583</v>
      </c>
      <c r="Q28">
        <v>2021</v>
      </c>
    </row>
    <row r="29" spans="1:17" hidden="1" x14ac:dyDescent="0.35">
      <c r="A29" s="156" t="s">
        <v>648</v>
      </c>
      <c r="B29" s="22">
        <v>44440</v>
      </c>
      <c r="C29">
        <v>32.599998474121087</v>
      </c>
      <c r="D29">
        <v>35.290000915527337</v>
      </c>
      <c r="E29">
        <v>28.909999847412109</v>
      </c>
      <c r="F29">
        <v>33.090000152587891</v>
      </c>
      <c r="G29">
        <v>4640800</v>
      </c>
      <c r="H29">
        <v>33.090000152587891</v>
      </c>
      <c r="I29" s="156" t="s">
        <v>647</v>
      </c>
      <c r="J29" s="22">
        <v>45544</v>
      </c>
      <c r="L29">
        <v>0.40999984741210938</v>
      </c>
      <c r="M29">
        <v>1.2545894846493381E-2</v>
      </c>
      <c r="N29">
        <v>0.49000167846679688</v>
      </c>
      <c r="O29">
        <v>2.69000244140625</v>
      </c>
      <c r="P29" s="156" t="s">
        <v>581</v>
      </c>
      <c r="Q29">
        <v>2021</v>
      </c>
    </row>
    <row r="30" spans="1:17" hidden="1" x14ac:dyDescent="0.35">
      <c r="A30" s="156" t="s">
        <v>648</v>
      </c>
      <c r="B30" s="22">
        <v>44470</v>
      </c>
      <c r="C30">
        <v>32.729999542236328</v>
      </c>
      <c r="D30">
        <v>33.330001831054688</v>
      </c>
      <c r="E30">
        <v>25.629999160766602</v>
      </c>
      <c r="F30">
        <v>27.430000305175781</v>
      </c>
      <c r="G30">
        <v>4025900</v>
      </c>
      <c r="H30">
        <v>27.430000305175781</v>
      </c>
      <c r="I30" s="156" t="s">
        <v>647</v>
      </c>
      <c r="J30" s="22">
        <v>45544</v>
      </c>
      <c r="L30">
        <v>-5.6599998474121094</v>
      </c>
      <c r="M30">
        <v>-0.17104864978277901</v>
      </c>
      <c r="N30">
        <v>-5.2999992370605469</v>
      </c>
      <c r="O30">
        <v>0.60000228881835938</v>
      </c>
      <c r="P30" s="156" t="s">
        <v>584</v>
      </c>
      <c r="Q30">
        <v>2021</v>
      </c>
    </row>
    <row r="31" spans="1:17" hidden="1" x14ac:dyDescent="0.35">
      <c r="A31" s="156" t="s">
        <v>648</v>
      </c>
      <c r="B31" s="22">
        <v>44501</v>
      </c>
      <c r="C31">
        <v>27.479999542236332</v>
      </c>
      <c r="D31">
        <v>32.790000915527337</v>
      </c>
      <c r="E31">
        <v>20.979999542236332</v>
      </c>
      <c r="F31">
        <v>22.04000091552734</v>
      </c>
      <c r="G31">
        <v>5355200</v>
      </c>
      <c r="H31">
        <v>22.04000091552734</v>
      </c>
      <c r="I31" s="156" t="s">
        <v>647</v>
      </c>
      <c r="J31" s="22">
        <v>45544</v>
      </c>
      <c r="L31">
        <v>-5.3899993896484384</v>
      </c>
      <c r="M31">
        <v>-0.1965001578447447</v>
      </c>
      <c r="N31">
        <v>-5.4399986267089844</v>
      </c>
      <c r="O31">
        <v>5.3100013732910156</v>
      </c>
      <c r="P31" s="156" t="s">
        <v>585</v>
      </c>
      <c r="Q31">
        <v>2021</v>
      </c>
    </row>
    <row r="32" spans="1:17" hidden="1" x14ac:dyDescent="0.35">
      <c r="A32" s="156" t="s">
        <v>648</v>
      </c>
      <c r="B32" s="22">
        <v>44531</v>
      </c>
      <c r="C32">
        <v>23.190000534057621</v>
      </c>
      <c r="D32">
        <v>24.54999923706055</v>
      </c>
      <c r="E32">
        <v>19</v>
      </c>
      <c r="F32">
        <v>19.159999847412109</v>
      </c>
      <c r="G32">
        <v>4260000</v>
      </c>
      <c r="H32">
        <v>19.159999847412109</v>
      </c>
      <c r="I32" s="156" t="s">
        <v>647</v>
      </c>
      <c r="J32" s="22">
        <v>45544</v>
      </c>
      <c r="L32">
        <v>-2.8800010681152339</v>
      </c>
      <c r="M32">
        <v>-0.13067154938665421</v>
      </c>
      <c r="N32">
        <v>-4.0300006866455078</v>
      </c>
      <c r="O32">
        <v>1.3599987030029299</v>
      </c>
      <c r="P32" s="156" t="s">
        <v>581</v>
      </c>
      <c r="Q32">
        <v>2021</v>
      </c>
    </row>
    <row r="33" spans="1:17" hidden="1" x14ac:dyDescent="0.35">
      <c r="A33" s="156" t="s">
        <v>648</v>
      </c>
      <c r="B33" s="22">
        <v>44562</v>
      </c>
      <c r="C33">
        <v>19.20999908447266</v>
      </c>
      <c r="D33">
        <v>20.485000610351559</v>
      </c>
      <c r="E33">
        <v>13.364999771118161</v>
      </c>
      <c r="F33">
        <v>15.86999988555908</v>
      </c>
      <c r="G33">
        <v>3311100</v>
      </c>
      <c r="H33">
        <v>15.86999988555908</v>
      </c>
      <c r="I33" s="156" t="s">
        <v>647</v>
      </c>
      <c r="J33" s="22">
        <v>45544</v>
      </c>
      <c r="L33">
        <v>-3.2899999618530269</v>
      </c>
      <c r="M33">
        <v>-0.17171189916775489</v>
      </c>
      <c r="N33">
        <v>-3.3399991989135742</v>
      </c>
      <c r="O33">
        <v>1.275001525878906</v>
      </c>
      <c r="P33" s="156" t="s">
        <v>582</v>
      </c>
      <c r="Q33">
        <v>2022</v>
      </c>
    </row>
    <row r="34" spans="1:17" hidden="1" x14ac:dyDescent="0.35">
      <c r="A34" s="156" t="s">
        <v>648</v>
      </c>
      <c r="B34" s="22">
        <v>44593</v>
      </c>
      <c r="C34">
        <v>15.760000228881839</v>
      </c>
      <c r="D34">
        <v>18.715000152587891</v>
      </c>
      <c r="E34">
        <v>10</v>
      </c>
      <c r="F34">
        <v>18.520000457763668</v>
      </c>
      <c r="G34">
        <v>3850700</v>
      </c>
      <c r="H34">
        <v>18.520000457763668</v>
      </c>
      <c r="I34" s="156" t="s">
        <v>647</v>
      </c>
      <c r="J34" s="22">
        <v>45544</v>
      </c>
      <c r="L34">
        <v>2.6500005722045898</v>
      </c>
      <c r="M34">
        <v>0.1669817637879103</v>
      </c>
      <c r="N34">
        <v>2.7600002288818359</v>
      </c>
      <c r="O34">
        <v>2.9549999237060551</v>
      </c>
      <c r="P34" s="156" t="s">
        <v>586</v>
      </c>
      <c r="Q34">
        <v>2022</v>
      </c>
    </row>
    <row r="35" spans="1:17" hidden="1" x14ac:dyDescent="0.35">
      <c r="A35" s="156" t="s">
        <v>648</v>
      </c>
      <c r="B35" s="22">
        <v>44621</v>
      </c>
      <c r="C35">
        <v>18.479999542236332</v>
      </c>
      <c r="D35">
        <v>27.229999542236332</v>
      </c>
      <c r="E35">
        <v>16.159999847412109</v>
      </c>
      <c r="F35">
        <v>26.940000534057621</v>
      </c>
      <c r="G35">
        <v>6011400</v>
      </c>
      <c r="H35">
        <v>26.940000534057621</v>
      </c>
      <c r="I35" s="156" t="s">
        <v>647</v>
      </c>
      <c r="J35" s="22">
        <v>45544</v>
      </c>
      <c r="L35">
        <v>8.4200000762939453</v>
      </c>
      <c r="M35">
        <v>0.45464362139171782</v>
      </c>
      <c r="N35">
        <v>8.4600009918212891</v>
      </c>
      <c r="O35">
        <v>8.75</v>
      </c>
      <c r="P35" s="156" t="s">
        <v>586</v>
      </c>
      <c r="Q35">
        <v>2022</v>
      </c>
    </row>
    <row r="36" spans="1:17" hidden="1" x14ac:dyDescent="0.35">
      <c r="A36" s="156" t="s">
        <v>648</v>
      </c>
      <c r="B36" s="22">
        <v>44652</v>
      </c>
      <c r="C36">
        <v>27.10000038146973</v>
      </c>
      <c r="D36">
        <v>28.242000579833981</v>
      </c>
      <c r="E36">
        <v>20.360000610351559</v>
      </c>
      <c r="F36">
        <v>20.95999908447266</v>
      </c>
      <c r="G36">
        <v>3395100</v>
      </c>
      <c r="H36">
        <v>20.95999908447266</v>
      </c>
      <c r="I36" s="156" t="s">
        <v>647</v>
      </c>
      <c r="J36" s="22">
        <v>45544</v>
      </c>
      <c r="L36">
        <v>-5.9800014495849609</v>
      </c>
      <c r="M36">
        <v>-0.2219748081305726</v>
      </c>
      <c r="N36">
        <v>-6.1400012969970703</v>
      </c>
      <c r="O36">
        <v>1.142000198364258</v>
      </c>
      <c r="P36" s="156" t="s">
        <v>584</v>
      </c>
      <c r="Q36">
        <v>2022</v>
      </c>
    </row>
    <row r="37" spans="1:17" hidden="1" x14ac:dyDescent="0.35">
      <c r="A37" s="156" t="s">
        <v>648</v>
      </c>
      <c r="B37" s="22">
        <v>44682</v>
      </c>
      <c r="C37">
        <v>21.059999465942379</v>
      </c>
      <c r="D37">
        <v>31.20000076293945</v>
      </c>
      <c r="E37">
        <v>20.60000038146973</v>
      </c>
      <c r="F37">
        <v>29.170000076293949</v>
      </c>
      <c r="G37">
        <v>8877400</v>
      </c>
      <c r="H37">
        <v>29.170000076293949</v>
      </c>
      <c r="I37" s="156" t="s">
        <v>647</v>
      </c>
      <c r="J37" s="22">
        <v>45544</v>
      </c>
      <c r="L37">
        <v>8.2100009918212891</v>
      </c>
      <c r="M37">
        <v>0.3916985377114508</v>
      </c>
      <c r="N37">
        <v>8.1100006103515625</v>
      </c>
      <c r="O37">
        <v>10.14000129699707</v>
      </c>
      <c r="P37" s="156" t="s">
        <v>583</v>
      </c>
      <c r="Q37">
        <v>2022</v>
      </c>
    </row>
    <row r="38" spans="1:17" hidden="1" x14ac:dyDescent="0.35">
      <c r="A38" s="156" t="s">
        <v>648</v>
      </c>
      <c r="B38" s="22">
        <v>44713</v>
      </c>
      <c r="C38">
        <v>29.219999313354489</v>
      </c>
      <c r="D38">
        <v>34.209999084472663</v>
      </c>
      <c r="E38">
        <v>24.010000228881839</v>
      </c>
      <c r="F38">
        <v>31.45000076293945</v>
      </c>
      <c r="G38">
        <v>4740700</v>
      </c>
      <c r="H38">
        <v>31.45000076293945</v>
      </c>
      <c r="I38" s="156" t="s">
        <v>647</v>
      </c>
      <c r="J38" s="22">
        <v>45544</v>
      </c>
      <c r="L38">
        <v>2.2800006866455078</v>
      </c>
      <c r="M38">
        <v>7.8162519049783441E-2</v>
      </c>
      <c r="N38">
        <v>2.2300014495849609</v>
      </c>
      <c r="O38">
        <v>4.9899997711181641</v>
      </c>
      <c r="P38" s="156" t="s">
        <v>581</v>
      </c>
      <c r="Q38">
        <v>2022</v>
      </c>
    </row>
    <row r="39" spans="1:17" hidden="1" x14ac:dyDescent="0.35">
      <c r="A39" s="156" t="s">
        <v>648</v>
      </c>
      <c r="B39" s="22">
        <v>44743</v>
      </c>
      <c r="C39">
        <v>31.379999160766602</v>
      </c>
      <c r="D39">
        <v>40.479999542236328</v>
      </c>
      <c r="E39">
        <v>30.530000686645511</v>
      </c>
      <c r="F39">
        <v>40.380001068115227</v>
      </c>
      <c r="G39">
        <v>5961100</v>
      </c>
      <c r="H39">
        <v>40.380001068115227</v>
      </c>
      <c r="I39" s="156" t="s">
        <v>647</v>
      </c>
      <c r="J39" s="22">
        <v>45544</v>
      </c>
      <c r="L39">
        <v>8.9300003051757813</v>
      </c>
      <c r="M39">
        <v>0.28394276911111738</v>
      </c>
      <c r="N39">
        <v>9.0000019073486328</v>
      </c>
      <c r="O39">
        <v>9.1000003814697266</v>
      </c>
      <c r="P39" s="156" t="s">
        <v>584</v>
      </c>
      <c r="Q39">
        <v>2022</v>
      </c>
    </row>
    <row r="40" spans="1:17" hidden="1" x14ac:dyDescent="0.35">
      <c r="A40" s="156" t="s">
        <v>648</v>
      </c>
      <c r="B40" s="22">
        <v>44774</v>
      </c>
      <c r="C40">
        <v>39.599998474121087</v>
      </c>
      <c r="D40">
        <v>54.979999542236328</v>
      </c>
      <c r="E40">
        <v>35.560001373291023</v>
      </c>
      <c r="F40">
        <v>52.029998779296882</v>
      </c>
      <c r="G40">
        <v>14663700</v>
      </c>
      <c r="H40">
        <v>52.029998779296882</v>
      </c>
      <c r="I40" s="156" t="s">
        <v>647</v>
      </c>
      <c r="J40" s="22">
        <v>45544</v>
      </c>
      <c r="L40">
        <v>11.649997711181641</v>
      </c>
      <c r="M40">
        <v>0.28850909863845148</v>
      </c>
      <c r="N40">
        <v>12.430000305175779</v>
      </c>
      <c r="O40">
        <v>15.380001068115231</v>
      </c>
      <c r="P40" s="156" t="s">
        <v>585</v>
      </c>
      <c r="Q40">
        <v>2022</v>
      </c>
    </row>
    <row r="41" spans="1:17" hidden="1" x14ac:dyDescent="0.35">
      <c r="A41" s="156" t="s">
        <v>648</v>
      </c>
      <c r="B41" s="22">
        <v>44805</v>
      </c>
      <c r="C41">
        <v>51.830001831054688</v>
      </c>
      <c r="D41">
        <v>56.409999847412109</v>
      </c>
      <c r="E41">
        <v>39.169998168945313</v>
      </c>
      <c r="F41">
        <v>41.740001678466797</v>
      </c>
      <c r="G41">
        <v>9314400</v>
      </c>
      <c r="H41">
        <v>41.740001678466797</v>
      </c>
      <c r="I41" s="156" t="s">
        <v>647</v>
      </c>
      <c r="J41" s="22">
        <v>45544</v>
      </c>
      <c r="L41">
        <v>-10.28999710083008</v>
      </c>
      <c r="M41">
        <v>-0.19777046592829339</v>
      </c>
      <c r="N41">
        <v>-10.090000152587891</v>
      </c>
      <c r="O41">
        <v>4.5799980163574219</v>
      </c>
      <c r="P41" s="156" t="s">
        <v>587</v>
      </c>
      <c r="Q41">
        <v>2022</v>
      </c>
    </row>
    <row r="42" spans="1:17" hidden="1" x14ac:dyDescent="0.35">
      <c r="A42" s="156" t="s">
        <v>648</v>
      </c>
      <c r="B42" s="22">
        <v>44835</v>
      </c>
      <c r="C42">
        <v>41.740001678466797</v>
      </c>
      <c r="D42">
        <v>50.389999389648438</v>
      </c>
      <c r="E42">
        <v>38.860000610351563</v>
      </c>
      <c r="F42">
        <v>48.220001220703118</v>
      </c>
      <c r="G42">
        <v>5649900</v>
      </c>
      <c r="H42">
        <v>48.220001220703118</v>
      </c>
      <c r="I42" s="156" t="s">
        <v>647</v>
      </c>
      <c r="J42" s="22">
        <v>45544</v>
      </c>
      <c r="L42">
        <v>6.4799995422363281</v>
      </c>
      <c r="M42">
        <v>0.15524674848250641</v>
      </c>
      <c r="N42">
        <v>6.4799995422363281</v>
      </c>
      <c r="O42">
        <v>8.6499977111816406</v>
      </c>
      <c r="P42" s="156" t="s">
        <v>582</v>
      </c>
      <c r="Q42">
        <v>2022</v>
      </c>
    </row>
    <row r="43" spans="1:17" hidden="1" x14ac:dyDescent="0.35">
      <c r="A43" s="156" t="s">
        <v>648</v>
      </c>
      <c r="B43" s="22">
        <v>44866</v>
      </c>
      <c r="C43">
        <v>49.119998931884773</v>
      </c>
      <c r="D43">
        <v>63.659999847412109</v>
      </c>
      <c r="E43">
        <v>43.990001678466797</v>
      </c>
      <c r="F43">
        <v>61.869998931884773</v>
      </c>
      <c r="G43">
        <v>10022400</v>
      </c>
      <c r="H43">
        <v>61.869998931884773</v>
      </c>
      <c r="I43" s="156" t="s">
        <v>647</v>
      </c>
      <c r="J43" s="22">
        <v>45544</v>
      </c>
      <c r="L43">
        <v>13.649997711181641</v>
      </c>
      <c r="M43">
        <v>0.28307750654558372</v>
      </c>
      <c r="N43">
        <v>12.75</v>
      </c>
      <c r="O43">
        <v>14.54000091552734</v>
      </c>
      <c r="P43" s="156" t="s">
        <v>586</v>
      </c>
      <c r="Q43">
        <v>2022</v>
      </c>
    </row>
    <row r="44" spans="1:17" hidden="1" x14ac:dyDescent="0.35">
      <c r="A44" s="156" t="s">
        <v>648</v>
      </c>
      <c r="B44" s="22">
        <v>44896</v>
      </c>
      <c r="C44">
        <v>62.450000762939453</v>
      </c>
      <c r="D44">
        <v>64.360000610351563</v>
      </c>
      <c r="E44">
        <v>54.049999237060547</v>
      </c>
      <c r="F44">
        <v>61.720001220703118</v>
      </c>
      <c r="G44">
        <v>6043700</v>
      </c>
      <c r="H44">
        <v>61.720001220703118</v>
      </c>
      <c r="I44" s="156" t="s">
        <v>647</v>
      </c>
      <c r="J44" s="22">
        <v>45544</v>
      </c>
      <c r="L44">
        <v>-0.1499977111816406</v>
      </c>
      <c r="M44">
        <v>-2.424401386312947E-3</v>
      </c>
      <c r="N44">
        <v>-0.72999954223632813</v>
      </c>
      <c r="O44">
        <v>1.9099998474121089</v>
      </c>
      <c r="P44" s="156" t="s">
        <v>587</v>
      </c>
      <c r="Q44">
        <v>2022</v>
      </c>
    </row>
    <row r="45" spans="1:17" hidden="1" x14ac:dyDescent="0.35">
      <c r="A45" s="156" t="s">
        <v>648</v>
      </c>
      <c r="B45" s="22">
        <v>44927</v>
      </c>
      <c r="C45">
        <v>62.330001831054688</v>
      </c>
      <c r="D45">
        <v>69.089996337890625</v>
      </c>
      <c r="E45">
        <v>53.330001831054688</v>
      </c>
      <c r="F45">
        <v>63.020000457763672</v>
      </c>
      <c r="G45">
        <v>6794800</v>
      </c>
      <c r="H45">
        <v>63.020000457763672</v>
      </c>
      <c r="I45" s="156" t="s">
        <v>647</v>
      </c>
      <c r="J45" s="22">
        <v>45544</v>
      </c>
      <c r="L45">
        <v>1.2999992370605471</v>
      </c>
      <c r="M45">
        <v>2.106285177169576E-2</v>
      </c>
      <c r="N45">
        <v>0.68999862670898438</v>
      </c>
      <c r="O45">
        <v>6.7599945068359384</v>
      </c>
      <c r="P45" s="156" t="s">
        <v>583</v>
      </c>
      <c r="Q45">
        <v>2023</v>
      </c>
    </row>
    <row r="46" spans="1:17" hidden="1" x14ac:dyDescent="0.35">
      <c r="A46" s="156" t="s">
        <v>648</v>
      </c>
      <c r="B46" s="22">
        <v>44958</v>
      </c>
      <c r="C46">
        <v>62.639999389648438</v>
      </c>
      <c r="D46">
        <v>81.69000244140625</v>
      </c>
      <c r="E46">
        <v>61.299999237060547</v>
      </c>
      <c r="F46">
        <v>80.069999694824219</v>
      </c>
      <c r="G46">
        <v>10481600</v>
      </c>
      <c r="H46">
        <v>80.069999694824219</v>
      </c>
      <c r="I46" s="156" t="s">
        <v>647</v>
      </c>
      <c r="J46" s="22">
        <v>45544</v>
      </c>
      <c r="L46">
        <v>17.04999923706055</v>
      </c>
      <c r="M46">
        <v>0.27054901798179998</v>
      </c>
      <c r="N46">
        <v>17.430000305175781</v>
      </c>
      <c r="O46">
        <v>19.050003051757809</v>
      </c>
      <c r="P46" s="156" t="s">
        <v>581</v>
      </c>
      <c r="Q46">
        <v>2023</v>
      </c>
    </row>
    <row r="47" spans="1:17" hidden="1" x14ac:dyDescent="0.35">
      <c r="A47" s="156" t="s">
        <v>648</v>
      </c>
      <c r="B47" s="22">
        <v>44986</v>
      </c>
      <c r="C47">
        <v>79.510002136230469</v>
      </c>
      <c r="D47">
        <v>83.480003356933594</v>
      </c>
      <c r="E47">
        <v>70</v>
      </c>
      <c r="F47">
        <v>75.730003356933594</v>
      </c>
      <c r="G47">
        <v>9697900</v>
      </c>
      <c r="H47">
        <v>75.730003356933594</v>
      </c>
      <c r="I47" s="156" t="s">
        <v>647</v>
      </c>
      <c r="J47" s="22">
        <v>45544</v>
      </c>
      <c r="L47">
        <v>-4.339996337890625</v>
      </c>
      <c r="M47">
        <v>-5.4202527219082357E-2</v>
      </c>
      <c r="N47">
        <v>-3.779998779296875</v>
      </c>
      <c r="O47">
        <v>3.970001220703125</v>
      </c>
      <c r="P47" s="156" t="s">
        <v>581</v>
      </c>
      <c r="Q47">
        <v>2023</v>
      </c>
    </row>
    <row r="48" spans="1:17" hidden="1" x14ac:dyDescent="0.35">
      <c r="A48" s="156" t="s">
        <v>648</v>
      </c>
      <c r="B48" s="22">
        <v>45017</v>
      </c>
      <c r="C48">
        <v>75.400001525878906</v>
      </c>
      <c r="D48">
        <v>90.150001525878906</v>
      </c>
      <c r="E48">
        <v>66</v>
      </c>
      <c r="F48">
        <v>79.099998474121094</v>
      </c>
      <c r="G48">
        <v>11057300</v>
      </c>
      <c r="H48">
        <v>79.099998474121094</v>
      </c>
      <c r="I48" s="156" t="s">
        <v>647</v>
      </c>
      <c r="J48" s="22">
        <v>45544</v>
      </c>
      <c r="L48">
        <v>3.3699951171875</v>
      </c>
      <c r="M48">
        <v>4.4500131622917223E-2</v>
      </c>
      <c r="N48">
        <v>3.6999969482421879</v>
      </c>
      <c r="O48">
        <v>14.75</v>
      </c>
      <c r="P48" s="156" t="s">
        <v>582</v>
      </c>
      <c r="Q48">
        <v>2023</v>
      </c>
    </row>
    <row r="49" spans="1:17" hidden="1" x14ac:dyDescent="0.35">
      <c r="A49" s="156" t="s">
        <v>648</v>
      </c>
      <c r="B49" s="22">
        <v>45047</v>
      </c>
      <c r="C49">
        <v>79.050003051757813</v>
      </c>
      <c r="D49">
        <v>81.819999694824219</v>
      </c>
      <c r="E49">
        <v>68.129997253417969</v>
      </c>
      <c r="F49">
        <v>72.660003662109375</v>
      </c>
      <c r="G49">
        <v>16993800</v>
      </c>
      <c r="H49">
        <v>72.660003662109375</v>
      </c>
      <c r="I49" s="156" t="s">
        <v>647</v>
      </c>
      <c r="J49" s="22">
        <v>45544</v>
      </c>
      <c r="L49">
        <v>-6.4399948120117188</v>
      </c>
      <c r="M49">
        <v>-8.1415865186377667E-2</v>
      </c>
      <c r="N49">
        <v>-6.3899993896484384</v>
      </c>
      <c r="O49">
        <v>2.7699966430664058</v>
      </c>
      <c r="P49" s="156" t="s">
        <v>585</v>
      </c>
      <c r="Q49">
        <v>2023</v>
      </c>
    </row>
    <row r="50" spans="1:17" hidden="1" x14ac:dyDescent="0.35">
      <c r="A50" s="156" t="s">
        <v>648</v>
      </c>
      <c r="B50" s="22">
        <v>45078</v>
      </c>
      <c r="C50">
        <v>72.360000610351563</v>
      </c>
      <c r="D50">
        <v>87.980003356933594</v>
      </c>
      <c r="E50">
        <v>70.870002746582031</v>
      </c>
      <c r="F50">
        <v>83.980003356933594</v>
      </c>
      <c r="G50">
        <v>11611200</v>
      </c>
      <c r="H50">
        <v>83.980003356933594</v>
      </c>
      <c r="I50" s="156" t="s">
        <v>647</v>
      </c>
      <c r="J50" s="22">
        <v>45544</v>
      </c>
      <c r="L50">
        <v>11.319999694824221</v>
      </c>
      <c r="M50">
        <v>0.1557940974991632</v>
      </c>
      <c r="N50">
        <v>11.620002746582029</v>
      </c>
      <c r="O50">
        <v>15.620002746582029</v>
      </c>
      <c r="P50" s="156" t="s">
        <v>587</v>
      </c>
      <c r="Q50">
        <v>2023</v>
      </c>
    </row>
    <row r="51" spans="1:17" hidden="1" x14ac:dyDescent="0.35">
      <c r="A51" s="156" t="s">
        <v>648</v>
      </c>
      <c r="B51" s="22">
        <v>45108</v>
      </c>
      <c r="C51">
        <v>84.709999084472656</v>
      </c>
      <c r="D51">
        <v>99.629997253417969</v>
      </c>
      <c r="E51">
        <v>80.040000915527344</v>
      </c>
      <c r="F51">
        <v>93.180000305175781</v>
      </c>
      <c r="G51">
        <v>7747700</v>
      </c>
      <c r="H51">
        <v>93.180000305175781</v>
      </c>
      <c r="I51" s="156" t="s">
        <v>647</v>
      </c>
      <c r="J51" s="22">
        <v>45544</v>
      </c>
      <c r="L51">
        <v>9.1999969482421875</v>
      </c>
      <c r="M51">
        <v>0.1095498521134866</v>
      </c>
      <c r="N51">
        <v>8.470001220703125</v>
      </c>
      <c r="O51">
        <v>14.919998168945311</v>
      </c>
      <c r="P51" s="156" t="s">
        <v>582</v>
      </c>
      <c r="Q51">
        <v>2023</v>
      </c>
    </row>
    <row r="52" spans="1:17" hidden="1" x14ac:dyDescent="0.35">
      <c r="A52" s="156" t="s">
        <v>648</v>
      </c>
      <c r="B52" s="22">
        <v>45139</v>
      </c>
      <c r="C52">
        <v>92.830001831054688</v>
      </c>
      <c r="D52">
        <v>94.19000244140625</v>
      </c>
      <c r="E52">
        <v>60.209999084472663</v>
      </c>
      <c r="F52">
        <v>65.629997253417969</v>
      </c>
      <c r="G52">
        <v>21787800</v>
      </c>
      <c r="H52">
        <v>65.629997253417969</v>
      </c>
      <c r="I52" s="156" t="s">
        <v>647</v>
      </c>
      <c r="J52" s="22">
        <v>45544</v>
      </c>
      <c r="L52">
        <v>-27.550003051757809</v>
      </c>
      <c r="M52">
        <v>-0.29566433742786241</v>
      </c>
      <c r="N52">
        <v>-27.200004577636719</v>
      </c>
      <c r="O52">
        <v>1.3600006103515621</v>
      </c>
      <c r="P52" s="156" t="s">
        <v>586</v>
      </c>
      <c r="Q52">
        <v>2023</v>
      </c>
    </row>
    <row r="53" spans="1:17" hidden="1" x14ac:dyDescent="0.35">
      <c r="A53" s="156" t="s">
        <v>648</v>
      </c>
      <c r="B53" s="22">
        <v>45170</v>
      </c>
      <c r="C53">
        <v>65.629997253417969</v>
      </c>
      <c r="D53">
        <v>69.910003662109375</v>
      </c>
      <c r="E53">
        <v>53</v>
      </c>
      <c r="F53">
        <v>54.75</v>
      </c>
      <c r="G53">
        <v>14050600</v>
      </c>
      <c r="H53">
        <v>54.75</v>
      </c>
      <c r="I53" s="156" t="s">
        <v>647</v>
      </c>
      <c r="J53" s="22">
        <v>45544</v>
      </c>
      <c r="L53">
        <v>-10.879997253417971</v>
      </c>
      <c r="M53">
        <v>-0.1657778105857127</v>
      </c>
      <c r="N53">
        <v>-10.879997253417971</v>
      </c>
      <c r="O53">
        <v>4.2800064086914063</v>
      </c>
      <c r="P53" s="156" t="s">
        <v>584</v>
      </c>
      <c r="Q53">
        <v>2023</v>
      </c>
    </row>
    <row r="54" spans="1:17" hidden="1" x14ac:dyDescent="0.35">
      <c r="A54" s="156" t="s">
        <v>648</v>
      </c>
      <c r="B54" s="22">
        <v>45200</v>
      </c>
      <c r="C54">
        <v>54.220001220703118</v>
      </c>
      <c r="D54">
        <v>54.990001678466797</v>
      </c>
      <c r="E54">
        <v>36.689998626708977</v>
      </c>
      <c r="F54">
        <v>37.479999542236328</v>
      </c>
      <c r="G54">
        <v>17054300</v>
      </c>
      <c r="H54">
        <v>37.479999542236328</v>
      </c>
      <c r="I54" s="156" t="s">
        <v>647</v>
      </c>
      <c r="J54" s="22">
        <v>45544</v>
      </c>
      <c r="L54">
        <v>-17.270000457763668</v>
      </c>
      <c r="M54">
        <v>-0.31543379831531831</v>
      </c>
      <c r="N54">
        <v>-16.7400016784668</v>
      </c>
      <c r="O54">
        <v>0.77000045776367188</v>
      </c>
      <c r="P54" s="156" t="s">
        <v>583</v>
      </c>
      <c r="Q54">
        <v>2023</v>
      </c>
    </row>
    <row r="55" spans="1:17" hidden="1" x14ac:dyDescent="0.35">
      <c r="A55" s="156" t="s">
        <v>648</v>
      </c>
      <c r="B55" s="22">
        <v>45231</v>
      </c>
      <c r="C55">
        <v>37.189998626708977</v>
      </c>
      <c r="D55">
        <v>76.415000915527344</v>
      </c>
      <c r="E55">
        <v>36.419998168945313</v>
      </c>
      <c r="F55">
        <v>75.680000305175781</v>
      </c>
      <c r="G55">
        <v>25765900</v>
      </c>
      <c r="H55">
        <v>75.680000305175781</v>
      </c>
      <c r="I55" s="156" t="s">
        <v>647</v>
      </c>
      <c r="J55" s="22">
        <v>45544</v>
      </c>
      <c r="L55">
        <v>38.200000762939453</v>
      </c>
      <c r="M55">
        <v>1.019210278268327</v>
      </c>
      <c r="N55">
        <v>38.490001678466797</v>
      </c>
      <c r="O55">
        <v>39.225002288818359</v>
      </c>
      <c r="P55" s="156" t="s">
        <v>581</v>
      </c>
      <c r="Q55">
        <v>2023</v>
      </c>
    </row>
    <row r="56" spans="1:17" hidden="1" x14ac:dyDescent="0.35">
      <c r="A56" s="156" t="s">
        <v>648</v>
      </c>
      <c r="B56" s="22">
        <v>45261</v>
      </c>
      <c r="C56">
        <v>74.349998474121094</v>
      </c>
      <c r="D56">
        <v>82.394996643066406</v>
      </c>
      <c r="E56">
        <v>68.839996337890625</v>
      </c>
      <c r="F56">
        <v>78.930000305175781</v>
      </c>
      <c r="G56">
        <v>8606500</v>
      </c>
      <c r="H56">
        <v>78.930000305175781</v>
      </c>
      <c r="I56" s="156" t="s">
        <v>647</v>
      </c>
      <c r="J56" s="22">
        <v>45544</v>
      </c>
      <c r="L56">
        <v>3.25</v>
      </c>
      <c r="M56">
        <v>4.294397445685183E-2</v>
      </c>
      <c r="N56">
        <v>4.5800018310546884</v>
      </c>
      <c r="O56">
        <v>8.0449981689453125</v>
      </c>
      <c r="P56" s="156" t="s">
        <v>584</v>
      </c>
      <c r="Q56">
        <v>2023</v>
      </c>
    </row>
    <row r="57" spans="1:17" hidden="1" x14ac:dyDescent="0.35">
      <c r="A57" s="156" t="s">
        <v>650</v>
      </c>
      <c r="B57" s="22">
        <v>43831</v>
      </c>
      <c r="C57">
        <v>38.669998168945313</v>
      </c>
      <c r="D57">
        <v>56.299999237060547</v>
      </c>
      <c r="E57">
        <v>37.930000305175781</v>
      </c>
      <c r="F57">
        <v>51.040000915527337</v>
      </c>
      <c r="G57">
        <v>21929400</v>
      </c>
      <c r="H57">
        <v>51.040000915527337</v>
      </c>
      <c r="I57" s="156" t="s">
        <v>649</v>
      </c>
      <c r="J57" s="22">
        <v>45544</v>
      </c>
      <c r="N57">
        <v>12.370002746582029</v>
      </c>
      <c r="O57">
        <v>17.630001068115231</v>
      </c>
      <c r="P57" s="156" t="s">
        <v>581</v>
      </c>
      <c r="Q57">
        <v>2020</v>
      </c>
    </row>
    <row r="58" spans="1:17" hidden="1" x14ac:dyDescent="0.35">
      <c r="A58" s="156" t="s">
        <v>650</v>
      </c>
      <c r="B58" s="22">
        <v>43862</v>
      </c>
      <c r="C58">
        <v>50.720001220703118</v>
      </c>
      <c r="D58">
        <v>63.770000457763672</v>
      </c>
      <c r="E58">
        <v>42.099998474121087</v>
      </c>
      <c r="F58">
        <v>44.150001525878913</v>
      </c>
      <c r="G58">
        <v>25964200</v>
      </c>
      <c r="H58">
        <v>44.150001525878913</v>
      </c>
      <c r="I58" s="156" t="s">
        <v>649</v>
      </c>
      <c r="J58" s="22">
        <v>45544</v>
      </c>
      <c r="L58">
        <v>-6.8899993896484384</v>
      </c>
      <c r="M58">
        <v>-0.13499214862969111</v>
      </c>
      <c r="N58">
        <v>-6.5699996948242188</v>
      </c>
      <c r="O58">
        <v>13.04999923706055</v>
      </c>
      <c r="P58" s="156" t="s">
        <v>582</v>
      </c>
      <c r="Q58">
        <v>2020</v>
      </c>
    </row>
    <row r="59" spans="1:17" hidden="1" x14ac:dyDescent="0.35">
      <c r="A59" s="156" t="s">
        <v>650</v>
      </c>
      <c r="B59" s="22">
        <v>43891</v>
      </c>
      <c r="C59">
        <v>45.590000152587891</v>
      </c>
      <c r="D59">
        <v>51.110000610351563</v>
      </c>
      <c r="E59">
        <v>29.069999694824219</v>
      </c>
      <c r="F59">
        <v>40.229999542236328</v>
      </c>
      <c r="G59">
        <v>25434600</v>
      </c>
      <c r="H59">
        <v>40.229999542236328</v>
      </c>
      <c r="I59" s="156" t="s">
        <v>649</v>
      </c>
      <c r="J59" s="22">
        <v>45544</v>
      </c>
      <c r="L59">
        <v>-3.9200019836425781</v>
      </c>
      <c r="M59">
        <v>-8.8788263831538816E-2</v>
      </c>
      <c r="N59">
        <v>-5.3600006103515616</v>
      </c>
      <c r="O59">
        <v>5.5200004577636719</v>
      </c>
      <c r="P59" s="156" t="s">
        <v>583</v>
      </c>
      <c r="Q59">
        <v>2020</v>
      </c>
    </row>
    <row r="60" spans="1:17" hidden="1" x14ac:dyDescent="0.35">
      <c r="A60" s="156" t="s">
        <v>650</v>
      </c>
      <c r="B60" s="22">
        <v>43922</v>
      </c>
      <c r="C60">
        <v>38.720001220703118</v>
      </c>
      <c r="D60">
        <v>47.360000610351563</v>
      </c>
      <c r="E60">
        <v>30.680000305175781</v>
      </c>
      <c r="F60">
        <v>45.669998168945313</v>
      </c>
      <c r="G60">
        <v>21819400</v>
      </c>
      <c r="H60">
        <v>45.669998168945313</v>
      </c>
      <c r="I60" s="156" t="s">
        <v>649</v>
      </c>
      <c r="J60" s="22">
        <v>45544</v>
      </c>
      <c r="L60">
        <v>5.4399986267089844</v>
      </c>
      <c r="M60">
        <v>0.13522243819559801</v>
      </c>
      <c r="N60">
        <v>6.9499969482421884</v>
      </c>
      <c r="O60">
        <v>8.6399993896484375</v>
      </c>
      <c r="P60" s="156" t="s">
        <v>581</v>
      </c>
      <c r="Q60">
        <v>2020</v>
      </c>
    </row>
    <row r="61" spans="1:17" hidden="1" x14ac:dyDescent="0.35">
      <c r="A61" s="156" t="s">
        <v>650</v>
      </c>
      <c r="B61" s="22">
        <v>43952</v>
      </c>
      <c r="C61">
        <v>44.840000152587891</v>
      </c>
      <c r="D61">
        <v>64.720001220703125</v>
      </c>
      <c r="E61">
        <v>41.029998779296882</v>
      </c>
      <c r="F61">
        <v>56.959999084472663</v>
      </c>
      <c r="G61">
        <v>29870800</v>
      </c>
      <c r="H61">
        <v>56.959999084472663</v>
      </c>
      <c r="I61" s="156" t="s">
        <v>649</v>
      </c>
      <c r="J61" s="22">
        <v>45544</v>
      </c>
      <c r="L61">
        <v>11.29000091552734</v>
      </c>
      <c r="M61">
        <v>0.24720826293363671</v>
      </c>
      <c r="N61">
        <v>12.119998931884769</v>
      </c>
      <c r="O61">
        <v>19.880001068115231</v>
      </c>
      <c r="P61" s="156" t="s">
        <v>584</v>
      </c>
      <c r="Q61">
        <v>2020</v>
      </c>
    </row>
    <row r="62" spans="1:17" hidden="1" x14ac:dyDescent="0.35">
      <c r="A62" s="156" t="s">
        <v>650</v>
      </c>
      <c r="B62" s="22">
        <v>43983</v>
      </c>
      <c r="C62">
        <v>57.540000915527337</v>
      </c>
      <c r="D62">
        <v>61.369998931884773</v>
      </c>
      <c r="E62">
        <v>47.659999847412109</v>
      </c>
      <c r="F62">
        <v>51.25</v>
      </c>
      <c r="G62">
        <v>20522500</v>
      </c>
      <c r="H62">
        <v>51.25</v>
      </c>
      <c r="I62" s="156" t="s">
        <v>649</v>
      </c>
      <c r="J62" s="22">
        <v>45544</v>
      </c>
      <c r="L62">
        <v>-5.7099990844726563</v>
      </c>
      <c r="M62">
        <v>-0.1002457720549579</v>
      </c>
      <c r="N62">
        <v>-6.2900009155273438</v>
      </c>
      <c r="O62">
        <v>3.8299980163574219</v>
      </c>
      <c r="P62" s="156" t="s">
        <v>585</v>
      </c>
      <c r="Q62">
        <v>2020</v>
      </c>
    </row>
    <row r="63" spans="1:17" hidden="1" x14ac:dyDescent="0.35">
      <c r="A63" s="156" t="s">
        <v>650</v>
      </c>
      <c r="B63" s="22">
        <v>44013</v>
      </c>
      <c r="C63">
        <v>50.819999694824219</v>
      </c>
      <c r="D63">
        <v>53.990001678466797</v>
      </c>
      <c r="E63">
        <v>44.030998229980469</v>
      </c>
      <c r="F63">
        <v>50.869998931884773</v>
      </c>
      <c r="G63">
        <v>14377600</v>
      </c>
      <c r="H63">
        <v>50.869998931884773</v>
      </c>
      <c r="I63" s="156" t="s">
        <v>649</v>
      </c>
      <c r="J63" s="22">
        <v>45544</v>
      </c>
      <c r="L63">
        <v>-0.38000106811523438</v>
      </c>
      <c r="M63">
        <v>-7.4146549876142887E-3</v>
      </c>
      <c r="N63">
        <v>4.9999237060546882E-2</v>
      </c>
      <c r="O63">
        <v>3.1700019836425781</v>
      </c>
      <c r="P63" s="156" t="s">
        <v>581</v>
      </c>
      <c r="Q63">
        <v>2020</v>
      </c>
    </row>
    <row r="64" spans="1:17" hidden="1" x14ac:dyDescent="0.35">
      <c r="A64" s="156" t="s">
        <v>650</v>
      </c>
      <c r="B64" s="22">
        <v>44044</v>
      </c>
      <c r="C64">
        <v>50.869998931884773</v>
      </c>
      <c r="D64">
        <v>61.590000152587891</v>
      </c>
      <c r="E64">
        <v>48.020000457763672</v>
      </c>
      <c r="F64">
        <v>61.240001678466797</v>
      </c>
      <c r="G64">
        <v>12623500</v>
      </c>
      <c r="H64">
        <v>61.240001678466797</v>
      </c>
      <c r="I64" s="156" t="s">
        <v>649</v>
      </c>
      <c r="J64" s="22">
        <v>45544</v>
      </c>
      <c r="L64">
        <v>10.370002746582029</v>
      </c>
      <c r="M64">
        <v>0.2038530167941919</v>
      </c>
      <c r="N64">
        <v>10.370002746582029</v>
      </c>
      <c r="O64">
        <v>10.72000122070312</v>
      </c>
      <c r="P64" s="156" t="s">
        <v>582</v>
      </c>
      <c r="Q64">
        <v>2020</v>
      </c>
    </row>
    <row r="65" spans="1:17" hidden="1" x14ac:dyDescent="0.35">
      <c r="A65" s="156" t="s">
        <v>650</v>
      </c>
      <c r="B65" s="22">
        <v>44075</v>
      </c>
      <c r="C65">
        <v>60.979999542236328</v>
      </c>
      <c r="D65">
        <v>67.419998168945313</v>
      </c>
      <c r="E65">
        <v>54.529998779296882</v>
      </c>
      <c r="F65">
        <v>64.75</v>
      </c>
      <c r="G65">
        <v>13775900</v>
      </c>
      <c r="H65">
        <v>64.75</v>
      </c>
      <c r="I65" s="156" t="s">
        <v>649</v>
      </c>
      <c r="J65" s="22">
        <v>45544</v>
      </c>
      <c r="L65">
        <v>3.5099983215332031</v>
      </c>
      <c r="M65">
        <v>5.7315451099463122E-2</v>
      </c>
      <c r="N65">
        <v>3.7700004577636719</v>
      </c>
      <c r="O65">
        <v>6.4399986267089844</v>
      </c>
      <c r="P65" s="156" t="s">
        <v>586</v>
      </c>
      <c r="Q65">
        <v>2020</v>
      </c>
    </row>
    <row r="66" spans="1:17" hidden="1" x14ac:dyDescent="0.35">
      <c r="A66" s="156" t="s">
        <v>650</v>
      </c>
      <c r="B66" s="22">
        <v>44105</v>
      </c>
      <c r="C66">
        <v>66.595001220703125</v>
      </c>
      <c r="D66">
        <v>84.80999755859375</v>
      </c>
      <c r="E66">
        <v>62.290000915527337</v>
      </c>
      <c r="F66">
        <v>63.299999237060547</v>
      </c>
      <c r="G66">
        <v>13454200</v>
      </c>
      <c r="H66">
        <v>63.299999237060547</v>
      </c>
      <c r="I66" s="156" t="s">
        <v>649</v>
      </c>
      <c r="J66" s="22">
        <v>45544</v>
      </c>
      <c r="L66">
        <v>-1.4500007629394529</v>
      </c>
      <c r="M66">
        <v>-2.2393834176671071E-2</v>
      </c>
      <c r="N66">
        <v>-3.2950019836425781</v>
      </c>
      <c r="O66">
        <v>18.214996337890621</v>
      </c>
      <c r="P66" s="156" t="s">
        <v>587</v>
      </c>
      <c r="Q66">
        <v>2020</v>
      </c>
    </row>
    <row r="67" spans="1:17" hidden="1" x14ac:dyDescent="0.35">
      <c r="A67" s="156" t="s">
        <v>650</v>
      </c>
      <c r="B67" s="22">
        <v>44136</v>
      </c>
      <c r="C67">
        <v>64.726997375488281</v>
      </c>
      <c r="D67">
        <v>216.4100036621094</v>
      </c>
      <c r="E67">
        <v>63.009998321533203</v>
      </c>
      <c r="F67">
        <v>140</v>
      </c>
      <c r="G67">
        <v>37270600</v>
      </c>
      <c r="H67">
        <v>140</v>
      </c>
      <c r="I67" s="156" t="s">
        <v>649</v>
      </c>
      <c r="J67" s="22">
        <v>45544</v>
      </c>
      <c r="L67">
        <v>76.700000762939453</v>
      </c>
      <c r="M67">
        <v>1.211690390006096</v>
      </c>
      <c r="N67">
        <v>75.273002624511719</v>
      </c>
      <c r="O67">
        <v>151.68300628662109</v>
      </c>
      <c r="P67" s="156" t="s">
        <v>583</v>
      </c>
      <c r="Q67">
        <v>2020</v>
      </c>
    </row>
    <row r="68" spans="1:17" hidden="1" x14ac:dyDescent="0.35">
      <c r="A68" s="156" t="s">
        <v>650</v>
      </c>
      <c r="B68" s="22">
        <v>44166</v>
      </c>
      <c r="C68">
        <v>145</v>
      </c>
      <c r="D68">
        <v>172.46299743652341</v>
      </c>
      <c r="E68">
        <v>126.5400009155273</v>
      </c>
      <c r="F68">
        <v>162.0899963378906</v>
      </c>
      <c r="G68">
        <v>33070100</v>
      </c>
      <c r="H68">
        <v>162.0899963378906</v>
      </c>
      <c r="I68" s="156" t="s">
        <v>649</v>
      </c>
      <c r="J68" s="22">
        <v>45544</v>
      </c>
      <c r="L68">
        <v>22.089996337890621</v>
      </c>
      <c r="M68">
        <v>0.15778568812779009</v>
      </c>
      <c r="N68">
        <v>17.089996337890621</v>
      </c>
      <c r="O68">
        <v>27.462997436523441</v>
      </c>
      <c r="P68" s="156" t="s">
        <v>586</v>
      </c>
      <c r="Q68">
        <v>2020</v>
      </c>
    </row>
    <row r="69" spans="1:17" hidden="1" x14ac:dyDescent="0.35">
      <c r="A69" s="156" t="s">
        <v>650</v>
      </c>
      <c r="B69" s="22">
        <v>44197</v>
      </c>
      <c r="C69">
        <v>165</v>
      </c>
      <c r="D69">
        <v>260</v>
      </c>
      <c r="E69">
        <v>133.55000305175781</v>
      </c>
      <c r="F69">
        <v>218.46000671386719</v>
      </c>
      <c r="G69">
        <v>31014100</v>
      </c>
      <c r="H69">
        <v>218.46000671386719</v>
      </c>
      <c r="I69" s="156" t="s">
        <v>649</v>
      </c>
      <c r="J69" s="22">
        <v>45544</v>
      </c>
      <c r="L69">
        <v>56.370010375976563</v>
      </c>
      <c r="M69">
        <v>0.3477698294129663</v>
      </c>
      <c r="N69">
        <v>53.460006713867188</v>
      </c>
      <c r="O69">
        <v>95</v>
      </c>
      <c r="P69" s="156" t="s">
        <v>584</v>
      </c>
      <c r="Q69">
        <v>2021</v>
      </c>
    </row>
    <row r="70" spans="1:17" hidden="1" x14ac:dyDescent="0.35">
      <c r="A70" s="156" t="s">
        <v>650</v>
      </c>
      <c r="B70" s="22">
        <v>44228</v>
      </c>
      <c r="C70">
        <v>218.61000061035159</v>
      </c>
      <c r="D70">
        <v>236.3800048828125</v>
      </c>
      <c r="E70">
        <v>160.44000244140619</v>
      </c>
      <c r="F70">
        <v>171.8999938964844</v>
      </c>
      <c r="G70">
        <v>21546100</v>
      </c>
      <c r="H70">
        <v>171.8999938964844</v>
      </c>
      <c r="I70" s="156" t="s">
        <v>649</v>
      </c>
      <c r="J70" s="22">
        <v>45544</v>
      </c>
      <c r="L70">
        <v>-46.560012817382813</v>
      </c>
      <c r="M70">
        <v>-0.21312831358815171</v>
      </c>
      <c r="N70">
        <v>-46.710006713867188</v>
      </c>
      <c r="O70">
        <v>17.770004272460941</v>
      </c>
      <c r="P70" s="156" t="s">
        <v>585</v>
      </c>
      <c r="Q70">
        <v>2021</v>
      </c>
    </row>
    <row r="71" spans="1:17" hidden="1" x14ac:dyDescent="0.35">
      <c r="A71" s="156" t="s">
        <v>650</v>
      </c>
      <c r="B71" s="22">
        <v>44256</v>
      </c>
      <c r="C71">
        <v>176.6600036621094</v>
      </c>
      <c r="D71">
        <v>189.5</v>
      </c>
      <c r="E71">
        <v>118.11000061035161</v>
      </c>
      <c r="F71">
        <v>132.94999694824219</v>
      </c>
      <c r="G71">
        <v>23923100</v>
      </c>
      <c r="H71">
        <v>132.94999694824219</v>
      </c>
      <c r="I71" s="156" t="s">
        <v>649</v>
      </c>
      <c r="J71" s="22">
        <v>45544</v>
      </c>
      <c r="L71">
        <v>-38.949996948242188</v>
      </c>
      <c r="M71">
        <v>-0.22658521425950309</v>
      </c>
      <c r="N71">
        <v>-43.710006713867188</v>
      </c>
      <c r="O71">
        <v>12.83999633789062</v>
      </c>
      <c r="P71" s="156" t="s">
        <v>585</v>
      </c>
      <c r="Q71">
        <v>2021</v>
      </c>
    </row>
    <row r="72" spans="1:17" hidden="1" x14ac:dyDescent="0.35">
      <c r="A72" s="156" t="s">
        <v>650</v>
      </c>
      <c r="B72" s="22">
        <v>44287</v>
      </c>
      <c r="C72">
        <v>139.3500061035156</v>
      </c>
      <c r="D72">
        <v>143.90800476074219</v>
      </c>
      <c r="E72">
        <v>114.4499969482422</v>
      </c>
      <c r="F72">
        <v>121.1800003051758</v>
      </c>
      <c r="G72">
        <v>12103900</v>
      </c>
      <c r="H72">
        <v>121.1800003051758</v>
      </c>
      <c r="I72" s="156" t="s">
        <v>649</v>
      </c>
      <c r="J72" s="22">
        <v>45544</v>
      </c>
      <c r="L72">
        <v>-11.76999664306641</v>
      </c>
      <c r="M72">
        <v>-8.8529499159360592E-2</v>
      </c>
      <c r="N72">
        <v>-18.17000579833984</v>
      </c>
      <c r="O72">
        <v>4.5579986572265616</v>
      </c>
      <c r="P72" s="156" t="s">
        <v>587</v>
      </c>
      <c r="Q72">
        <v>2021</v>
      </c>
    </row>
    <row r="73" spans="1:17" hidden="1" x14ac:dyDescent="0.35">
      <c r="A73" s="156" t="s">
        <v>650</v>
      </c>
      <c r="B73" s="22">
        <v>44317</v>
      </c>
      <c r="C73">
        <v>121.9899978637695</v>
      </c>
      <c r="D73">
        <v>122.76999664306641</v>
      </c>
      <c r="E73">
        <v>75.449996948242188</v>
      </c>
      <c r="F73">
        <v>90.480003356933594</v>
      </c>
      <c r="G73">
        <v>22811500</v>
      </c>
      <c r="H73">
        <v>90.480003356933594</v>
      </c>
      <c r="I73" s="156" t="s">
        <v>649</v>
      </c>
      <c r="J73" s="22">
        <v>45544</v>
      </c>
      <c r="L73">
        <v>-30.699996948242191</v>
      </c>
      <c r="M73">
        <v>-0.2533421098442673</v>
      </c>
      <c r="N73">
        <v>-31.509994506835941</v>
      </c>
      <c r="O73">
        <v>0.779998779296875</v>
      </c>
      <c r="P73" s="156" t="s">
        <v>582</v>
      </c>
      <c r="Q73">
        <v>2021</v>
      </c>
    </row>
    <row r="74" spans="1:17" hidden="1" x14ac:dyDescent="0.35">
      <c r="A74" s="156" t="s">
        <v>650</v>
      </c>
      <c r="B74" s="22">
        <v>44348</v>
      </c>
      <c r="C74">
        <v>90.220001220703125</v>
      </c>
      <c r="D74">
        <v>149.82000732421881</v>
      </c>
      <c r="E74">
        <v>84.900001525878906</v>
      </c>
      <c r="F74">
        <v>137.75</v>
      </c>
      <c r="G74">
        <v>24511200</v>
      </c>
      <c r="H74">
        <v>137.75</v>
      </c>
      <c r="I74" s="156" t="s">
        <v>649</v>
      </c>
      <c r="J74" s="22">
        <v>45544</v>
      </c>
      <c r="L74">
        <v>47.269996643066413</v>
      </c>
      <c r="M74">
        <v>0.52243584095141449</v>
      </c>
      <c r="N74">
        <v>47.529998779296882</v>
      </c>
      <c r="O74">
        <v>59.600006103515618</v>
      </c>
      <c r="P74" s="156" t="s">
        <v>586</v>
      </c>
      <c r="Q74">
        <v>2021</v>
      </c>
    </row>
    <row r="75" spans="1:17" hidden="1" x14ac:dyDescent="0.35">
      <c r="A75" s="156" t="s">
        <v>650</v>
      </c>
      <c r="B75" s="22">
        <v>44378</v>
      </c>
      <c r="C75">
        <v>138.42999267578119</v>
      </c>
      <c r="D75">
        <v>140.6499938964844</v>
      </c>
      <c r="E75">
        <v>110.1699981689453</v>
      </c>
      <c r="F75">
        <v>116.4300003051758</v>
      </c>
      <c r="G75">
        <v>9421600</v>
      </c>
      <c r="H75">
        <v>116.4300003051758</v>
      </c>
      <c r="I75" s="156" t="s">
        <v>649</v>
      </c>
      <c r="J75" s="22">
        <v>45544</v>
      </c>
      <c r="L75">
        <v>-21.319999694824219</v>
      </c>
      <c r="M75">
        <v>-0.15477313753048441</v>
      </c>
      <c r="N75">
        <v>-21.999992370605469</v>
      </c>
      <c r="O75">
        <v>2.220001220703125</v>
      </c>
      <c r="P75" s="156" t="s">
        <v>587</v>
      </c>
      <c r="Q75">
        <v>2021</v>
      </c>
    </row>
    <row r="76" spans="1:17" hidden="1" x14ac:dyDescent="0.35">
      <c r="A76" s="156" t="s">
        <v>650</v>
      </c>
      <c r="B76" s="22">
        <v>44409</v>
      </c>
      <c r="C76">
        <v>117</v>
      </c>
      <c r="D76">
        <v>117.34999847412109</v>
      </c>
      <c r="E76">
        <v>92.819999694824219</v>
      </c>
      <c r="F76">
        <v>107.1999969482422</v>
      </c>
      <c r="G76">
        <v>10505300</v>
      </c>
      <c r="H76">
        <v>107.1999969482422</v>
      </c>
      <c r="I76" s="156" t="s">
        <v>649</v>
      </c>
      <c r="J76" s="22">
        <v>45544</v>
      </c>
      <c r="L76">
        <v>-9.2300033569335938</v>
      </c>
      <c r="M76">
        <v>-7.9275129543423084E-2</v>
      </c>
      <c r="N76">
        <v>-9.8000030517578125</v>
      </c>
      <c r="O76">
        <v>0.34999847412109381</v>
      </c>
      <c r="P76" s="156" t="s">
        <v>583</v>
      </c>
      <c r="Q76">
        <v>2021</v>
      </c>
    </row>
    <row r="77" spans="1:17" hidden="1" x14ac:dyDescent="0.35">
      <c r="A77" s="156" t="s">
        <v>650</v>
      </c>
      <c r="B77" s="22">
        <v>44440</v>
      </c>
      <c r="C77">
        <v>107.4899978637695</v>
      </c>
      <c r="D77">
        <v>115.6800003051758</v>
      </c>
      <c r="E77">
        <v>90.800003051757813</v>
      </c>
      <c r="F77">
        <v>92.510002136230469</v>
      </c>
      <c r="G77">
        <v>9020300</v>
      </c>
      <c r="H77">
        <v>92.510002136230469</v>
      </c>
      <c r="I77" s="156" t="s">
        <v>649</v>
      </c>
      <c r="J77" s="22">
        <v>45544</v>
      </c>
      <c r="L77">
        <v>-14.689994812011721</v>
      </c>
      <c r="M77">
        <v>-0.1370335375951949</v>
      </c>
      <c r="N77">
        <v>-14.979995727539061</v>
      </c>
      <c r="O77">
        <v>8.19000244140625</v>
      </c>
      <c r="P77" s="156" t="s">
        <v>581</v>
      </c>
      <c r="Q77">
        <v>2021</v>
      </c>
    </row>
    <row r="78" spans="1:17" hidden="1" x14ac:dyDescent="0.35">
      <c r="A78" s="156" t="s">
        <v>650</v>
      </c>
      <c r="B78" s="22">
        <v>44470</v>
      </c>
      <c r="C78">
        <v>92.660003662109375</v>
      </c>
      <c r="D78">
        <v>100.9100036621094</v>
      </c>
      <c r="E78">
        <v>85.199996948242188</v>
      </c>
      <c r="F78">
        <v>99.410003662109375</v>
      </c>
      <c r="G78">
        <v>8576400</v>
      </c>
      <c r="H78">
        <v>99.410003662109375</v>
      </c>
      <c r="I78" s="156" t="s">
        <v>649</v>
      </c>
      <c r="J78" s="22">
        <v>45544</v>
      </c>
      <c r="L78">
        <v>6.9000015258789063</v>
      </c>
      <c r="M78">
        <v>7.4586545957678663E-2</v>
      </c>
      <c r="N78">
        <v>6.75</v>
      </c>
      <c r="O78">
        <v>8.25</v>
      </c>
      <c r="P78" s="156" t="s">
        <v>584</v>
      </c>
      <c r="Q78">
        <v>2021</v>
      </c>
    </row>
    <row r="79" spans="1:17" hidden="1" x14ac:dyDescent="0.35">
      <c r="A79" s="156" t="s">
        <v>650</v>
      </c>
      <c r="B79" s="22">
        <v>44501</v>
      </c>
      <c r="C79">
        <v>99.400001525878906</v>
      </c>
      <c r="D79">
        <v>104.4499969482422</v>
      </c>
      <c r="E79">
        <v>69.790000915527344</v>
      </c>
      <c r="F79">
        <v>74.349998474121094</v>
      </c>
      <c r="G79">
        <v>12391700</v>
      </c>
      <c r="H79">
        <v>74.349998474121094</v>
      </c>
      <c r="I79" s="156" t="s">
        <v>649</v>
      </c>
      <c r="J79" s="22">
        <v>45544</v>
      </c>
      <c r="L79">
        <v>-25.060005187988281</v>
      </c>
      <c r="M79">
        <v>-0.25208735806072641</v>
      </c>
      <c r="N79">
        <v>-25.050003051757809</v>
      </c>
      <c r="O79">
        <v>5.0499954223632813</v>
      </c>
      <c r="P79" s="156" t="s">
        <v>585</v>
      </c>
      <c r="Q79">
        <v>2021</v>
      </c>
    </row>
    <row r="80" spans="1:17" hidden="1" x14ac:dyDescent="0.35">
      <c r="A80" s="156" t="s">
        <v>650</v>
      </c>
      <c r="B80" s="22">
        <v>44531</v>
      </c>
      <c r="C80">
        <v>75.269996643066406</v>
      </c>
      <c r="D80">
        <v>75.949996948242188</v>
      </c>
      <c r="E80">
        <v>62.909999847412109</v>
      </c>
      <c r="F80">
        <v>65.209999084472656</v>
      </c>
      <c r="G80">
        <v>13510400</v>
      </c>
      <c r="H80">
        <v>65.209999084472656</v>
      </c>
      <c r="I80" s="156" t="s">
        <v>649</v>
      </c>
      <c r="J80" s="22">
        <v>45544</v>
      </c>
      <c r="L80">
        <v>-9.1399993896484375</v>
      </c>
      <c r="M80">
        <v>-0.1229320723231727</v>
      </c>
      <c r="N80">
        <v>-10.05999755859375</v>
      </c>
      <c r="O80">
        <v>0.68000030517578125</v>
      </c>
      <c r="P80" s="156" t="s">
        <v>581</v>
      </c>
      <c r="Q80">
        <v>2021</v>
      </c>
    </row>
    <row r="81" spans="1:17" hidden="1" x14ac:dyDescent="0.35">
      <c r="A81" s="156" t="s">
        <v>650</v>
      </c>
      <c r="B81" s="22">
        <v>44562</v>
      </c>
      <c r="C81">
        <v>65.419998168945313</v>
      </c>
      <c r="D81">
        <v>66.75</v>
      </c>
      <c r="E81">
        <v>46.849998474121087</v>
      </c>
      <c r="F81">
        <v>56.369998931884773</v>
      </c>
      <c r="G81">
        <v>13365700</v>
      </c>
      <c r="H81">
        <v>56.369998931884773</v>
      </c>
      <c r="I81" s="156" t="s">
        <v>649</v>
      </c>
      <c r="J81" s="22">
        <v>45544</v>
      </c>
      <c r="L81">
        <v>-8.8400001525878906</v>
      </c>
      <c r="M81">
        <v>-0.13556203460663449</v>
      </c>
      <c r="N81">
        <v>-9.0499992370605469</v>
      </c>
      <c r="O81">
        <v>1.3300018310546879</v>
      </c>
      <c r="P81" s="156" t="s">
        <v>582</v>
      </c>
      <c r="Q81">
        <v>2022</v>
      </c>
    </row>
    <row r="82" spans="1:17" hidden="1" x14ac:dyDescent="0.35">
      <c r="A82" s="156" t="s">
        <v>650</v>
      </c>
      <c r="B82" s="22">
        <v>44593</v>
      </c>
      <c r="C82">
        <v>56.430000305175781</v>
      </c>
      <c r="D82">
        <v>61.409999847412109</v>
      </c>
      <c r="E82">
        <v>48.299999237060547</v>
      </c>
      <c r="F82">
        <v>60.959999084472663</v>
      </c>
      <c r="G82">
        <v>12038200</v>
      </c>
      <c r="H82">
        <v>60.959999084472663</v>
      </c>
      <c r="I82" s="156" t="s">
        <v>649</v>
      </c>
      <c r="J82" s="22">
        <v>45544</v>
      </c>
      <c r="L82">
        <v>4.5900001525878906</v>
      </c>
      <c r="M82">
        <v>8.1426294829883838E-2</v>
      </c>
      <c r="N82">
        <v>4.529998779296875</v>
      </c>
      <c r="O82">
        <v>4.9799995422363281</v>
      </c>
      <c r="P82" s="156" t="s">
        <v>586</v>
      </c>
      <c r="Q82">
        <v>2022</v>
      </c>
    </row>
    <row r="83" spans="1:17" hidden="1" x14ac:dyDescent="0.35">
      <c r="A83" s="156" t="s">
        <v>650</v>
      </c>
      <c r="B83" s="22">
        <v>44621</v>
      </c>
      <c r="C83">
        <v>60.990001678466797</v>
      </c>
      <c r="D83">
        <v>66.910003662109375</v>
      </c>
      <c r="E83">
        <v>47.314998626708977</v>
      </c>
      <c r="F83">
        <v>60.819999694824219</v>
      </c>
      <c r="G83">
        <v>10939000</v>
      </c>
      <c r="H83">
        <v>60.819999694824219</v>
      </c>
      <c r="I83" s="156" t="s">
        <v>649</v>
      </c>
      <c r="J83" s="22">
        <v>45544</v>
      </c>
      <c r="L83">
        <v>-0.1399993896484375</v>
      </c>
      <c r="M83">
        <v>-2.2965779486715521E-3</v>
      </c>
      <c r="N83">
        <v>-0.1700019836425781</v>
      </c>
      <c r="O83">
        <v>5.9200019836425781</v>
      </c>
      <c r="P83" s="156" t="s">
        <v>586</v>
      </c>
      <c r="Q83">
        <v>2022</v>
      </c>
    </row>
    <row r="84" spans="1:17" hidden="1" x14ac:dyDescent="0.35">
      <c r="A84" s="156" t="s">
        <v>650</v>
      </c>
      <c r="B84" s="22">
        <v>44652</v>
      </c>
      <c r="C84">
        <v>61.450000762939453</v>
      </c>
      <c r="D84">
        <v>65.580001831054688</v>
      </c>
      <c r="E84">
        <v>46.909999847412109</v>
      </c>
      <c r="F84">
        <v>47.799999237060547</v>
      </c>
      <c r="G84">
        <v>7222100</v>
      </c>
      <c r="H84">
        <v>47.799999237060547</v>
      </c>
      <c r="I84" s="156" t="s">
        <v>649</v>
      </c>
      <c r="J84" s="22">
        <v>45544</v>
      </c>
      <c r="L84">
        <v>-13.02000045776367</v>
      </c>
      <c r="M84">
        <v>-0.21407432625935499</v>
      </c>
      <c r="N84">
        <v>-13.65000152587891</v>
      </c>
      <c r="O84">
        <v>4.1300010681152344</v>
      </c>
      <c r="P84" s="156" t="s">
        <v>584</v>
      </c>
      <c r="Q84">
        <v>2022</v>
      </c>
    </row>
    <row r="85" spans="1:17" hidden="1" x14ac:dyDescent="0.35">
      <c r="A85" s="156" t="s">
        <v>650</v>
      </c>
      <c r="B85" s="22">
        <v>44682</v>
      </c>
      <c r="C85">
        <v>47.569999694824219</v>
      </c>
      <c r="D85">
        <v>59.900001525878913</v>
      </c>
      <c r="E85">
        <v>40.630001068115227</v>
      </c>
      <c r="F85">
        <v>47.770000457763672</v>
      </c>
      <c r="G85">
        <v>21836600</v>
      </c>
      <c r="H85">
        <v>47.770000457763672</v>
      </c>
      <c r="I85" s="156" t="s">
        <v>649</v>
      </c>
      <c r="J85" s="22">
        <v>45544</v>
      </c>
      <c r="L85">
        <v>-2.9998779296875E-2</v>
      </c>
      <c r="M85">
        <v>-6.2758953505626103E-4</v>
      </c>
      <c r="N85">
        <v>0.2000007629394531</v>
      </c>
      <c r="O85">
        <v>12.330001831054689</v>
      </c>
      <c r="P85" s="156" t="s">
        <v>583</v>
      </c>
      <c r="Q85">
        <v>2022</v>
      </c>
    </row>
    <row r="86" spans="1:17" hidden="1" x14ac:dyDescent="0.35">
      <c r="A86" s="156" t="s">
        <v>650</v>
      </c>
      <c r="B86" s="22">
        <v>44713</v>
      </c>
      <c r="C86">
        <v>49.180000305175781</v>
      </c>
      <c r="D86">
        <v>56.209999084472663</v>
      </c>
      <c r="E86">
        <v>38.779998779296882</v>
      </c>
      <c r="F86">
        <v>47.360000610351563</v>
      </c>
      <c r="G86">
        <v>10131100</v>
      </c>
      <c r="H86">
        <v>47.360000610351563</v>
      </c>
      <c r="I86" s="156" t="s">
        <v>649</v>
      </c>
      <c r="J86" s="22">
        <v>45544</v>
      </c>
      <c r="L86">
        <v>-0.40999984741210938</v>
      </c>
      <c r="M86">
        <v>-8.5827892711580756E-3</v>
      </c>
      <c r="N86">
        <v>-1.819999694824219</v>
      </c>
      <c r="O86">
        <v>7.029998779296875</v>
      </c>
      <c r="P86" s="156" t="s">
        <v>581</v>
      </c>
      <c r="Q86">
        <v>2022</v>
      </c>
    </row>
    <row r="87" spans="1:17" hidden="1" x14ac:dyDescent="0.35">
      <c r="A87" s="156" t="s">
        <v>650</v>
      </c>
      <c r="B87" s="22">
        <v>44743</v>
      </c>
      <c r="C87">
        <v>47.459999084472663</v>
      </c>
      <c r="D87">
        <v>54.869998931884773</v>
      </c>
      <c r="E87">
        <v>45.409999847412109</v>
      </c>
      <c r="F87">
        <v>48.529998779296882</v>
      </c>
      <c r="G87">
        <v>6144400</v>
      </c>
      <c r="H87">
        <v>48.529998779296882</v>
      </c>
      <c r="I87" s="156" t="s">
        <v>649</v>
      </c>
      <c r="J87" s="22">
        <v>45544</v>
      </c>
      <c r="L87">
        <v>1.1699981689453121</v>
      </c>
      <c r="M87">
        <v>2.4704352911042449E-2</v>
      </c>
      <c r="N87">
        <v>1.069999694824219</v>
      </c>
      <c r="O87">
        <v>7.4099998474121094</v>
      </c>
      <c r="P87" s="156" t="s">
        <v>584</v>
      </c>
      <c r="Q87">
        <v>2022</v>
      </c>
    </row>
    <row r="88" spans="1:17" hidden="1" x14ac:dyDescent="0.35">
      <c r="A88" s="156" t="s">
        <v>650</v>
      </c>
      <c r="B88" s="22">
        <v>44774</v>
      </c>
      <c r="C88">
        <v>48.439998626708977</v>
      </c>
      <c r="D88">
        <v>57.472999572753913</v>
      </c>
      <c r="E88">
        <v>45.330001831054688</v>
      </c>
      <c r="F88">
        <v>46.900001525878913</v>
      </c>
      <c r="G88">
        <v>6491200</v>
      </c>
      <c r="H88">
        <v>46.900001525878913</v>
      </c>
      <c r="I88" s="156" t="s">
        <v>649</v>
      </c>
      <c r="J88" s="22">
        <v>45544</v>
      </c>
      <c r="L88">
        <v>-1.629997253417969</v>
      </c>
      <c r="M88">
        <v>-3.3587415916303993E-2</v>
      </c>
      <c r="N88">
        <v>-1.5399971008300779</v>
      </c>
      <c r="O88">
        <v>9.0330009460449219</v>
      </c>
      <c r="P88" s="156" t="s">
        <v>585</v>
      </c>
      <c r="Q88">
        <v>2022</v>
      </c>
    </row>
    <row r="89" spans="1:17" hidden="1" x14ac:dyDescent="0.35">
      <c r="A89" s="156" t="s">
        <v>650</v>
      </c>
      <c r="B89" s="22">
        <v>44805</v>
      </c>
      <c r="C89">
        <v>45.389999389648438</v>
      </c>
      <c r="D89">
        <v>51.589000701904297</v>
      </c>
      <c r="E89">
        <v>40.200000762939453</v>
      </c>
      <c r="F89">
        <v>40.830001831054688</v>
      </c>
      <c r="G89">
        <v>7186000</v>
      </c>
      <c r="H89">
        <v>40.830001831054688</v>
      </c>
      <c r="I89" s="156" t="s">
        <v>649</v>
      </c>
      <c r="J89" s="22">
        <v>45544</v>
      </c>
      <c r="L89">
        <v>-6.0699996948242188</v>
      </c>
      <c r="M89">
        <v>-0.12942429631851629</v>
      </c>
      <c r="N89">
        <v>-4.55999755859375</v>
      </c>
      <c r="O89">
        <v>6.1990013122558594</v>
      </c>
      <c r="P89" s="156" t="s">
        <v>587</v>
      </c>
      <c r="Q89">
        <v>2022</v>
      </c>
    </row>
    <row r="90" spans="1:17" hidden="1" x14ac:dyDescent="0.35">
      <c r="A90" s="156" t="s">
        <v>650</v>
      </c>
      <c r="B90" s="22">
        <v>44835</v>
      </c>
      <c r="C90">
        <v>41.110000610351563</v>
      </c>
      <c r="D90">
        <v>50.009998321533203</v>
      </c>
      <c r="E90">
        <v>36.509998321533203</v>
      </c>
      <c r="F90">
        <v>48.819999694824219</v>
      </c>
      <c r="G90">
        <v>7528200</v>
      </c>
      <c r="H90">
        <v>48.819999694824219</v>
      </c>
      <c r="I90" s="156" t="s">
        <v>649</v>
      </c>
      <c r="J90" s="22">
        <v>45544</v>
      </c>
      <c r="L90">
        <v>7.9899978637695313</v>
      </c>
      <c r="M90">
        <v>0.19568938294027841</v>
      </c>
      <c r="N90">
        <v>7.7099990844726563</v>
      </c>
      <c r="O90">
        <v>8.8999977111816406</v>
      </c>
      <c r="P90" s="156" t="s">
        <v>582</v>
      </c>
      <c r="Q90">
        <v>2022</v>
      </c>
    </row>
    <row r="91" spans="1:17" hidden="1" x14ac:dyDescent="0.35">
      <c r="A91" s="156" t="s">
        <v>650</v>
      </c>
      <c r="B91" s="22">
        <v>44866</v>
      </c>
      <c r="C91">
        <v>50.060001373291023</v>
      </c>
      <c r="D91">
        <v>51.069999694824219</v>
      </c>
      <c r="E91">
        <v>33.020000457763672</v>
      </c>
      <c r="F91">
        <v>38.029998779296882</v>
      </c>
      <c r="G91">
        <v>13336800</v>
      </c>
      <c r="H91">
        <v>38.029998779296882</v>
      </c>
      <c r="I91" s="156" t="s">
        <v>649</v>
      </c>
      <c r="J91" s="22">
        <v>45544</v>
      </c>
      <c r="L91">
        <v>-10.79000091552734</v>
      </c>
      <c r="M91">
        <v>-0.22101599719328291</v>
      </c>
      <c r="N91">
        <v>-12.030002593994141</v>
      </c>
      <c r="O91">
        <v>1.0099983215332029</v>
      </c>
      <c r="P91" s="156" t="s">
        <v>586</v>
      </c>
      <c r="Q91">
        <v>2022</v>
      </c>
    </row>
    <row r="92" spans="1:17" hidden="1" x14ac:dyDescent="0.35">
      <c r="A92" s="156" t="s">
        <v>650</v>
      </c>
      <c r="B92" s="22">
        <v>44896</v>
      </c>
      <c r="C92">
        <v>38.349998474121087</v>
      </c>
      <c r="D92">
        <v>40.229999542236328</v>
      </c>
      <c r="E92">
        <v>31.180000305175781</v>
      </c>
      <c r="F92">
        <v>32.560001373291023</v>
      </c>
      <c r="G92">
        <v>10162600</v>
      </c>
      <c r="H92">
        <v>32.560001373291023</v>
      </c>
      <c r="I92" s="156" t="s">
        <v>649</v>
      </c>
      <c r="J92" s="22">
        <v>45544</v>
      </c>
      <c r="L92">
        <v>-5.4699974060058594</v>
      </c>
      <c r="M92">
        <v>-0.14383375181657029</v>
      </c>
      <c r="N92">
        <v>-5.7899971008300781</v>
      </c>
      <c r="O92">
        <v>1.8800010681152339</v>
      </c>
      <c r="P92" s="156" t="s">
        <v>587</v>
      </c>
      <c r="Q92">
        <v>2022</v>
      </c>
    </row>
    <row r="93" spans="1:17" hidden="1" x14ac:dyDescent="0.35">
      <c r="A93" s="156" t="s">
        <v>650</v>
      </c>
      <c r="B93" s="22">
        <v>44927</v>
      </c>
      <c r="C93">
        <v>33.400001525878913</v>
      </c>
      <c r="D93">
        <v>42.599998474121087</v>
      </c>
      <c r="E93">
        <v>29.79999923706055</v>
      </c>
      <c r="F93">
        <v>41.365001678466797</v>
      </c>
      <c r="G93">
        <v>9307300</v>
      </c>
      <c r="H93">
        <v>41.365001678466797</v>
      </c>
      <c r="I93" s="156" t="s">
        <v>649</v>
      </c>
      <c r="J93" s="22">
        <v>45544</v>
      </c>
      <c r="L93">
        <v>8.8050003051757813</v>
      </c>
      <c r="M93">
        <v>0.270423830890822</v>
      </c>
      <c r="N93">
        <v>7.9650001525878906</v>
      </c>
      <c r="O93">
        <v>9.1999969482421875</v>
      </c>
      <c r="P93" s="156" t="s">
        <v>583</v>
      </c>
      <c r="Q93">
        <v>2023</v>
      </c>
    </row>
    <row r="94" spans="1:17" hidden="1" x14ac:dyDescent="0.35">
      <c r="A94" s="156" t="s">
        <v>650</v>
      </c>
      <c r="B94" s="22">
        <v>44958</v>
      </c>
      <c r="C94">
        <v>41.169998168945313</v>
      </c>
      <c r="D94">
        <v>47.709999084472663</v>
      </c>
      <c r="E94">
        <v>39.389999389648438</v>
      </c>
      <c r="F94">
        <v>41.450000762939453</v>
      </c>
      <c r="G94">
        <v>8101600</v>
      </c>
      <c r="H94">
        <v>41.450000762939453</v>
      </c>
      <c r="I94" s="156" t="s">
        <v>649</v>
      </c>
      <c r="J94" s="22">
        <v>45544</v>
      </c>
      <c r="L94">
        <v>8.499908447265625E-2</v>
      </c>
      <c r="M94">
        <v>2.0548550954586631E-3</v>
      </c>
      <c r="N94">
        <v>0.28000259399414063</v>
      </c>
      <c r="O94">
        <v>6.5400009155273438</v>
      </c>
      <c r="P94" s="156" t="s">
        <v>581</v>
      </c>
      <c r="Q94">
        <v>2023</v>
      </c>
    </row>
    <row r="95" spans="1:17" hidden="1" x14ac:dyDescent="0.35">
      <c r="A95" s="156" t="s">
        <v>650</v>
      </c>
      <c r="B95" s="22">
        <v>44986</v>
      </c>
      <c r="C95">
        <v>41.490001678466797</v>
      </c>
      <c r="D95">
        <v>45.729999542236328</v>
      </c>
      <c r="E95">
        <v>38.139999389648438</v>
      </c>
      <c r="F95">
        <v>44.380001068115227</v>
      </c>
      <c r="G95">
        <v>6727800</v>
      </c>
      <c r="H95">
        <v>44.380001068115227</v>
      </c>
      <c r="I95" s="156" t="s">
        <v>649</v>
      </c>
      <c r="J95" s="22">
        <v>45544</v>
      </c>
      <c r="L95">
        <v>2.9300003051757808</v>
      </c>
      <c r="M95">
        <v>7.0687581453448445E-2</v>
      </c>
      <c r="N95">
        <v>2.8899993896484379</v>
      </c>
      <c r="O95">
        <v>4.2399978637695313</v>
      </c>
      <c r="P95" s="156" t="s">
        <v>581</v>
      </c>
      <c r="Q95">
        <v>2023</v>
      </c>
    </row>
    <row r="96" spans="1:17" hidden="1" x14ac:dyDescent="0.35">
      <c r="A96" s="156" t="s">
        <v>650</v>
      </c>
      <c r="B96" s="22">
        <v>45017</v>
      </c>
      <c r="C96">
        <v>43.930000305175781</v>
      </c>
      <c r="D96">
        <v>44.5</v>
      </c>
      <c r="E96">
        <v>35.580001831054688</v>
      </c>
      <c r="F96">
        <v>37.549999237060547</v>
      </c>
      <c r="G96">
        <v>4448500</v>
      </c>
      <c r="H96">
        <v>37.549999237060547</v>
      </c>
      <c r="I96" s="156" t="s">
        <v>649</v>
      </c>
      <c r="J96" s="22">
        <v>45544</v>
      </c>
      <c r="L96">
        <v>-6.8300018310546884</v>
      </c>
      <c r="M96">
        <v>-0.1538981898754774</v>
      </c>
      <c r="N96">
        <v>-6.3800010681152344</v>
      </c>
      <c r="O96">
        <v>0.56999969482421875</v>
      </c>
      <c r="P96" s="156" t="s">
        <v>582</v>
      </c>
      <c r="Q96">
        <v>2023</v>
      </c>
    </row>
    <row r="97" spans="1:17" hidden="1" x14ac:dyDescent="0.35">
      <c r="A97" s="156" t="s">
        <v>650</v>
      </c>
      <c r="B97" s="22">
        <v>45047</v>
      </c>
      <c r="C97">
        <v>37.380001068115227</v>
      </c>
      <c r="D97">
        <v>43.25</v>
      </c>
      <c r="E97">
        <v>32.819999694824219</v>
      </c>
      <c r="F97">
        <v>42.830001831054688</v>
      </c>
      <c r="G97">
        <v>8466400</v>
      </c>
      <c r="H97">
        <v>42.830001831054688</v>
      </c>
      <c r="I97" s="156" t="s">
        <v>649</v>
      </c>
      <c r="J97" s="22">
        <v>45544</v>
      </c>
      <c r="L97">
        <v>5.2800025939941406</v>
      </c>
      <c r="M97">
        <v>0.14061258858250419</v>
      </c>
      <c r="N97">
        <v>5.4500007629394531</v>
      </c>
      <c r="O97">
        <v>5.8699989318847656</v>
      </c>
      <c r="P97" s="156" t="s">
        <v>585</v>
      </c>
      <c r="Q97">
        <v>2023</v>
      </c>
    </row>
    <row r="98" spans="1:17" hidden="1" x14ac:dyDescent="0.35">
      <c r="A98" s="156" t="s">
        <v>650</v>
      </c>
      <c r="B98" s="22">
        <v>45078</v>
      </c>
      <c r="C98">
        <v>42.340000152587891</v>
      </c>
      <c r="D98">
        <v>54.259998321533203</v>
      </c>
      <c r="E98">
        <v>41.784999847412109</v>
      </c>
      <c r="F98">
        <v>47.599998474121087</v>
      </c>
      <c r="G98">
        <v>8719000</v>
      </c>
      <c r="H98">
        <v>47.599998474121087</v>
      </c>
      <c r="I98" s="156" t="s">
        <v>649</v>
      </c>
      <c r="J98" s="22">
        <v>45544</v>
      </c>
      <c r="L98">
        <v>4.7699966430664063</v>
      </c>
      <c r="M98">
        <v>0.11137045153259439</v>
      </c>
      <c r="N98">
        <v>5.2599983215332031</v>
      </c>
      <c r="O98">
        <v>11.919998168945311</v>
      </c>
      <c r="P98" s="156" t="s">
        <v>587</v>
      </c>
      <c r="Q98">
        <v>2023</v>
      </c>
    </row>
    <row r="99" spans="1:17" hidden="1" x14ac:dyDescent="0.35">
      <c r="A99" s="156" t="s">
        <v>650</v>
      </c>
      <c r="B99" s="22">
        <v>45108</v>
      </c>
      <c r="C99">
        <v>47.490001678466797</v>
      </c>
      <c r="D99">
        <v>52.659999847412109</v>
      </c>
      <c r="E99">
        <v>46.299999237060547</v>
      </c>
      <c r="F99">
        <v>51.520000457763672</v>
      </c>
      <c r="G99">
        <v>4108600</v>
      </c>
      <c r="H99">
        <v>51.520000457763672</v>
      </c>
      <c r="I99" s="156" t="s">
        <v>649</v>
      </c>
      <c r="J99" s="22">
        <v>45544</v>
      </c>
      <c r="L99">
        <v>3.9200019836425781</v>
      </c>
      <c r="M99">
        <v>8.2352985489564379E-2</v>
      </c>
      <c r="N99">
        <v>4.029998779296875</v>
      </c>
      <c r="O99">
        <v>5.1699981689453116</v>
      </c>
      <c r="P99" s="156" t="s">
        <v>582</v>
      </c>
      <c r="Q99">
        <v>2023</v>
      </c>
    </row>
    <row r="100" spans="1:17" hidden="1" x14ac:dyDescent="0.35">
      <c r="A100" s="156" t="s">
        <v>650</v>
      </c>
      <c r="B100" s="22">
        <v>45139</v>
      </c>
      <c r="C100">
        <v>51.180000305175781</v>
      </c>
      <c r="D100">
        <v>51.650001525878913</v>
      </c>
      <c r="E100">
        <v>43.810001373291023</v>
      </c>
      <c r="F100">
        <v>48.700000762939453</v>
      </c>
      <c r="G100">
        <v>5249800</v>
      </c>
      <c r="H100">
        <v>48.700000762939453</v>
      </c>
      <c r="I100" s="156" t="s">
        <v>649</v>
      </c>
      <c r="J100" s="22">
        <v>45544</v>
      </c>
      <c r="L100">
        <v>-2.8199996948242192</v>
      </c>
      <c r="M100">
        <v>-5.4736018434939027E-2</v>
      </c>
      <c r="N100">
        <v>-2.4799995422363281</v>
      </c>
      <c r="O100">
        <v>0.470001220703125</v>
      </c>
      <c r="P100" s="156" t="s">
        <v>586</v>
      </c>
      <c r="Q100">
        <v>2023</v>
      </c>
    </row>
    <row r="101" spans="1:17" hidden="1" x14ac:dyDescent="0.35">
      <c r="A101" s="156" t="s">
        <v>650</v>
      </c>
      <c r="B101" s="22">
        <v>45170</v>
      </c>
      <c r="C101">
        <v>49</v>
      </c>
      <c r="D101">
        <v>52.990001678466797</v>
      </c>
      <c r="E101">
        <v>42.180000305175781</v>
      </c>
      <c r="F101">
        <v>45.610000610351563</v>
      </c>
      <c r="G101">
        <v>4747700</v>
      </c>
      <c r="H101">
        <v>45.610000610351563</v>
      </c>
      <c r="I101" s="156" t="s">
        <v>649</v>
      </c>
      <c r="J101" s="22">
        <v>45544</v>
      </c>
      <c r="L101">
        <v>-3.0900001525878911</v>
      </c>
      <c r="M101">
        <v>-6.3449694130998213E-2</v>
      </c>
      <c r="N101">
        <v>-3.3899993896484379</v>
      </c>
      <c r="O101">
        <v>3.9900016784667969</v>
      </c>
      <c r="P101" s="156" t="s">
        <v>584</v>
      </c>
      <c r="Q101">
        <v>2023</v>
      </c>
    </row>
    <row r="102" spans="1:17" hidden="1" x14ac:dyDescent="0.35">
      <c r="A102" s="156" t="s">
        <v>650</v>
      </c>
      <c r="B102" s="22">
        <v>45200</v>
      </c>
      <c r="C102">
        <v>45.450000762939453</v>
      </c>
      <c r="D102">
        <v>45.915000915527337</v>
      </c>
      <c r="E102">
        <v>38.569999694824219</v>
      </c>
      <c r="F102">
        <v>39.459999084472663</v>
      </c>
      <c r="G102">
        <v>6007500</v>
      </c>
      <c r="H102">
        <v>39.459999084472663</v>
      </c>
      <c r="I102" s="156" t="s">
        <v>649</v>
      </c>
      <c r="J102" s="22">
        <v>45544</v>
      </c>
      <c r="L102">
        <v>-6.1500015258789063</v>
      </c>
      <c r="M102">
        <v>-0.13483888277964881</v>
      </c>
      <c r="N102">
        <v>-5.9900016784667969</v>
      </c>
      <c r="O102">
        <v>0.46500015258789063</v>
      </c>
      <c r="P102" s="156" t="s">
        <v>583</v>
      </c>
      <c r="Q102">
        <v>2023</v>
      </c>
    </row>
    <row r="103" spans="1:17" hidden="1" x14ac:dyDescent="0.35">
      <c r="A103" s="156" t="s">
        <v>650</v>
      </c>
      <c r="B103" s="22">
        <v>45231</v>
      </c>
      <c r="C103">
        <v>39.409999847412109</v>
      </c>
      <c r="D103">
        <v>42.990001678466797</v>
      </c>
      <c r="E103">
        <v>35.110000610351563</v>
      </c>
      <c r="F103">
        <v>36.240001678466797</v>
      </c>
      <c r="G103">
        <v>9802600</v>
      </c>
      <c r="H103">
        <v>36.240001678466797</v>
      </c>
      <c r="I103" s="156" t="s">
        <v>649</v>
      </c>
      <c r="J103" s="22">
        <v>45544</v>
      </c>
      <c r="L103">
        <v>-3.2199974060058589</v>
      </c>
      <c r="M103">
        <v>-8.1601558051553891E-2</v>
      </c>
      <c r="N103">
        <v>-3.1699981689453121</v>
      </c>
      <c r="O103">
        <v>3.5800018310546879</v>
      </c>
      <c r="P103" s="156" t="s">
        <v>581</v>
      </c>
      <c r="Q103">
        <v>2023</v>
      </c>
    </row>
    <row r="104" spans="1:17" hidden="1" x14ac:dyDescent="0.35">
      <c r="A104" s="156" t="s">
        <v>650</v>
      </c>
      <c r="B104" s="22">
        <v>45261</v>
      </c>
      <c r="C104">
        <v>36.330001831054688</v>
      </c>
      <c r="D104">
        <v>40.529998779296882</v>
      </c>
      <c r="E104">
        <v>34.540000915527337</v>
      </c>
      <c r="F104">
        <v>37.659999847412109</v>
      </c>
      <c r="G104">
        <v>9154600</v>
      </c>
      <c r="H104">
        <v>37.659999847412109</v>
      </c>
      <c r="I104" s="156" t="s">
        <v>649</v>
      </c>
      <c r="J104" s="22">
        <v>45544</v>
      </c>
      <c r="L104">
        <v>1.4199981689453121</v>
      </c>
      <c r="M104">
        <v>3.9183170617485219E-2</v>
      </c>
      <c r="N104">
        <v>1.3299980163574221</v>
      </c>
      <c r="O104">
        <v>4.1999969482421884</v>
      </c>
      <c r="P104" s="156" t="s">
        <v>584</v>
      </c>
      <c r="Q104">
        <v>2023</v>
      </c>
    </row>
    <row r="105" spans="1:17" hidden="1" x14ac:dyDescent="0.35">
      <c r="A105" s="156" t="s">
        <v>652</v>
      </c>
      <c r="B105" s="22">
        <v>43466</v>
      </c>
      <c r="C105">
        <v>12.604000091552731</v>
      </c>
      <c r="D105">
        <v>14.02299976348877</v>
      </c>
      <c r="E105">
        <v>12.534999847412109</v>
      </c>
      <c r="F105">
        <v>12.689000129699711</v>
      </c>
      <c r="G105">
        <v>25576000</v>
      </c>
      <c r="H105">
        <v>12.689000129699711</v>
      </c>
      <c r="I105" s="156" t="s">
        <v>651</v>
      </c>
      <c r="J105" s="22">
        <v>45544</v>
      </c>
      <c r="N105">
        <v>8.5000038146972656E-2</v>
      </c>
      <c r="O105">
        <v>1.4189996719360349</v>
      </c>
      <c r="P105" s="156" t="s">
        <v>586</v>
      </c>
      <c r="Q105">
        <v>2019</v>
      </c>
    </row>
    <row r="106" spans="1:17" hidden="1" x14ac:dyDescent="0.35">
      <c r="A106" s="156" t="s">
        <v>652</v>
      </c>
      <c r="B106" s="22">
        <v>43497</v>
      </c>
      <c r="C106">
        <v>12.77700042724609</v>
      </c>
      <c r="D106">
        <v>14.74499988555908</v>
      </c>
      <c r="E106">
        <v>12.69999980926514</v>
      </c>
      <c r="F106">
        <v>14.14999961853027</v>
      </c>
      <c r="G106">
        <v>24163000</v>
      </c>
      <c r="H106">
        <v>14.14999961853027</v>
      </c>
      <c r="I106" s="156" t="s">
        <v>651</v>
      </c>
      <c r="J106" s="22">
        <v>45544</v>
      </c>
      <c r="L106">
        <v>1.460999488830566</v>
      </c>
      <c r="M106">
        <v>0.11513905539420489</v>
      </c>
      <c r="N106">
        <v>1.3729991912841799</v>
      </c>
      <c r="O106">
        <v>1.9679994583129881</v>
      </c>
      <c r="P106" s="156" t="s">
        <v>584</v>
      </c>
      <c r="Q106">
        <v>2019</v>
      </c>
    </row>
    <row r="107" spans="1:17" hidden="1" x14ac:dyDescent="0.35">
      <c r="A107" s="156" t="s">
        <v>652</v>
      </c>
      <c r="B107" s="22">
        <v>43525</v>
      </c>
      <c r="C107">
        <v>14.22399997711182</v>
      </c>
      <c r="D107">
        <v>15.05000019073486</v>
      </c>
      <c r="E107">
        <v>13.550999641418461</v>
      </c>
      <c r="F107">
        <v>14.42500019073486</v>
      </c>
      <c r="G107">
        <v>22326000</v>
      </c>
      <c r="H107">
        <v>14.42500019073486</v>
      </c>
      <c r="I107" s="156" t="s">
        <v>651</v>
      </c>
      <c r="J107" s="22">
        <v>45544</v>
      </c>
      <c r="L107">
        <v>0.27500057220458979</v>
      </c>
      <c r="M107">
        <v>1.9434669937691051E-2</v>
      </c>
      <c r="N107">
        <v>0.2010002136230469</v>
      </c>
      <c r="O107">
        <v>0.82600021362304688</v>
      </c>
      <c r="P107" s="156" t="s">
        <v>584</v>
      </c>
      <c r="Q107">
        <v>2019</v>
      </c>
    </row>
    <row r="108" spans="1:17" hidden="1" x14ac:dyDescent="0.35">
      <c r="A108" s="156" t="s">
        <v>652</v>
      </c>
      <c r="B108" s="22">
        <v>43556</v>
      </c>
      <c r="C108">
        <v>14.52400016784668</v>
      </c>
      <c r="D108">
        <v>15.23799991607666</v>
      </c>
      <c r="E108">
        <v>14.296999931335449</v>
      </c>
      <c r="F108">
        <v>14.97000026702881</v>
      </c>
      <c r="G108">
        <v>16357000</v>
      </c>
      <c r="H108">
        <v>14.97000026702881</v>
      </c>
      <c r="I108" s="156" t="s">
        <v>651</v>
      </c>
      <c r="J108" s="22">
        <v>45544</v>
      </c>
      <c r="L108">
        <v>0.54500007629394531</v>
      </c>
      <c r="M108">
        <v>3.7781633905557672E-2</v>
      </c>
      <c r="N108">
        <v>0.44600009918212891</v>
      </c>
      <c r="O108">
        <v>0.71399974822998047</v>
      </c>
      <c r="P108" s="156" t="s">
        <v>585</v>
      </c>
      <c r="Q108">
        <v>2019</v>
      </c>
    </row>
    <row r="109" spans="1:17" hidden="1" x14ac:dyDescent="0.35">
      <c r="A109" s="156" t="s">
        <v>652</v>
      </c>
      <c r="B109" s="22">
        <v>43586</v>
      </c>
      <c r="C109">
        <v>14.2519998550415</v>
      </c>
      <c r="D109">
        <v>14.9689998626709</v>
      </c>
      <c r="E109">
        <v>13.16100025177002</v>
      </c>
      <c r="F109">
        <v>13.291000366210939</v>
      </c>
      <c r="G109">
        <v>19381000</v>
      </c>
      <c r="H109">
        <v>13.291000366210939</v>
      </c>
      <c r="I109" s="156" t="s">
        <v>651</v>
      </c>
      <c r="J109" s="22">
        <v>45544</v>
      </c>
      <c r="L109">
        <v>-1.6789999008178711</v>
      </c>
      <c r="M109">
        <v>-0.1121576400045792</v>
      </c>
      <c r="N109">
        <v>-0.96099948883056641</v>
      </c>
      <c r="O109">
        <v>0.71700000762939453</v>
      </c>
      <c r="P109" s="156" t="s">
        <v>581</v>
      </c>
      <c r="Q109">
        <v>2019</v>
      </c>
    </row>
    <row r="110" spans="1:17" hidden="1" x14ac:dyDescent="0.35">
      <c r="A110" s="156" t="s">
        <v>652</v>
      </c>
      <c r="B110" s="22">
        <v>43617</v>
      </c>
      <c r="C110">
        <v>13.30700016021729</v>
      </c>
      <c r="D110">
        <v>14.98900032043457</v>
      </c>
      <c r="E110">
        <v>13.02600002288818</v>
      </c>
      <c r="F110">
        <v>14.33100032806396</v>
      </c>
      <c r="G110">
        <v>31795000</v>
      </c>
      <c r="H110">
        <v>14.33100032806396</v>
      </c>
      <c r="I110" s="156" t="s">
        <v>651</v>
      </c>
      <c r="J110" s="22">
        <v>45544</v>
      </c>
      <c r="L110">
        <v>1.0399999618530269</v>
      </c>
      <c r="M110">
        <v>7.8248433767029946E-2</v>
      </c>
      <c r="N110">
        <v>1.0240001678466799</v>
      </c>
      <c r="O110">
        <v>1.6820001602172849</v>
      </c>
      <c r="P110" s="156" t="s">
        <v>582</v>
      </c>
      <c r="Q110">
        <v>2019</v>
      </c>
    </row>
    <row r="111" spans="1:17" hidden="1" x14ac:dyDescent="0.35">
      <c r="A111" s="156" t="s">
        <v>652</v>
      </c>
      <c r="B111" s="22">
        <v>43647</v>
      </c>
      <c r="C111">
        <v>14.30000019073486</v>
      </c>
      <c r="D111">
        <v>14.43099975585938</v>
      </c>
      <c r="E111">
        <v>12.05000019073486</v>
      </c>
      <c r="F111">
        <v>13.673000335693359</v>
      </c>
      <c r="G111">
        <v>27847000</v>
      </c>
      <c r="H111">
        <v>13.673000335693359</v>
      </c>
      <c r="I111" s="156" t="s">
        <v>651</v>
      </c>
      <c r="J111" s="22">
        <v>45544</v>
      </c>
      <c r="L111">
        <v>-0.65799999237060547</v>
      </c>
      <c r="M111">
        <v>-4.5914449606289098E-2</v>
      </c>
      <c r="N111">
        <v>-0.62699985504150391</v>
      </c>
      <c r="O111">
        <v>0.13099956512451169</v>
      </c>
      <c r="P111" s="156" t="s">
        <v>585</v>
      </c>
      <c r="Q111">
        <v>2019</v>
      </c>
    </row>
    <row r="112" spans="1:17" hidden="1" x14ac:dyDescent="0.35">
      <c r="A112" s="156" t="s">
        <v>652</v>
      </c>
      <c r="B112" s="22">
        <v>43678</v>
      </c>
      <c r="C112">
        <v>13.69999980926514</v>
      </c>
      <c r="D112">
        <v>14.38099956512451</v>
      </c>
      <c r="E112">
        <v>13.060999870300289</v>
      </c>
      <c r="F112">
        <v>14.329000473022459</v>
      </c>
      <c r="G112">
        <v>25508000</v>
      </c>
      <c r="H112">
        <v>14.329000473022459</v>
      </c>
      <c r="I112" s="156" t="s">
        <v>651</v>
      </c>
      <c r="J112" s="22">
        <v>45544</v>
      </c>
      <c r="L112">
        <v>0.65600013732910156</v>
      </c>
      <c r="M112">
        <v>4.7977775266823793E-2</v>
      </c>
      <c r="N112">
        <v>0.62900066375732422</v>
      </c>
      <c r="O112">
        <v>0.680999755859375</v>
      </c>
      <c r="P112" s="156" t="s">
        <v>587</v>
      </c>
      <c r="Q112">
        <v>2019</v>
      </c>
    </row>
    <row r="113" spans="1:17" hidden="1" x14ac:dyDescent="0.35">
      <c r="A113" s="156" t="s">
        <v>652</v>
      </c>
      <c r="B113" s="22">
        <v>43709</v>
      </c>
      <c r="C113">
        <v>14.2480001449585</v>
      </c>
      <c r="D113">
        <v>15.345999717712401</v>
      </c>
      <c r="E113">
        <v>13.592000007629389</v>
      </c>
      <c r="F113">
        <v>14.83699989318848</v>
      </c>
      <c r="G113">
        <v>23080000</v>
      </c>
      <c r="H113">
        <v>14.83699989318848</v>
      </c>
      <c r="I113" s="156" t="s">
        <v>651</v>
      </c>
      <c r="J113" s="22">
        <v>45544</v>
      </c>
      <c r="L113">
        <v>0.50799942016601563</v>
      </c>
      <c r="M113">
        <v>3.5452537050469017E-2</v>
      </c>
      <c r="N113">
        <v>0.58899974822998047</v>
      </c>
      <c r="O113">
        <v>1.097999572753906</v>
      </c>
      <c r="P113" s="156" t="s">
        <v>583</v>
      </c>
      <c r="Q113">
        <v>2019</v>
      </c>
    </row>
    <row r="114" spans="1:17" hidden="1" x14ac:dyDescent="0.35">
      <c r="A114" s="156" t="s">
        <v>652</v>
      </c>
      <c r="B114" s="22">
        <v>43739</v>
      </c>
      <c r="C114">
        <v>14.83899974822998</v>
      </c>
      <c r="D114">
        <v>15.44999980926514</v>
      </c>
      <c r="E114">
        <v>13.958000183105471</v>
      </c>
      <c r="F114">
        <v>15.32499980926514</v>
      </c>
      <c r="G114">
        <v>13019000</v>
      </c>
      <c r="H114">
        <v>15.32499980926514</v>
      </c>
      <c r="I114" s="156" t="s">
        <v>651</v>
      </c>
      <c r="J114" s="22">
        <v>45544</v>
      </c>
      <c r="L114">
        <v>0.48799991607666021</v>
      </c>
      <c r="M114">
        <v>3.2890740688128917E-2</v>
      </c>
      <c r="N114">
        <v>0.48600006103515619</v>
      </c>
      <c r="O114">
        <v>0.61100006103515625</v>
      </c>
      <c r="P114" s="156" t="s">
        <v>586</v>
      </c>
      <c r="Q114">
        <v>2019</v>
      </c>
    </row>
    <row r="115" spans="1:17" hidden="1" x14ac:dyDescent="0.35">
      <c r="A115" s="156" t="s">
        <v>652</v>
      </c>
      <c r="B115" s="22">
        <v>43770</v>
      </c>
      <c r="C115">
        <v>15.35700035095215</v>
      </c>
      <c r="D115">
        <v>15.89000034332275</v>
      </c>
      <c r="E115">
        <v>14.86999988555908</v>
      </c>
      <c r="F115">
        <v>15.032999992370611</v>
      </c>
      <c r="G115">
        <v>12355000</v>
      </c>
      <c r="H115">
        <v>15.032999992370611</v>
      </c>
      <c r="I115" s="156" t="s">
        <v>651</v>
      </c>
      <c r="J115" s="22">
        <v>45544</v>
      </c>
      <c r="L115">
        <v>-0.29199981689453119</v>
      </c>
      <c r="M115">
        <v>-1.9053821894209459E-2</v>
      </c>
      <c r="N115">
        <v>-0.32400035858154302</v>
      </c>
      <c r="O115">
        <v>0.53299999237060547</v>
      </c>
      <c r="P115" s="156" t="s">
        <v>584</v>
      </c>
      <c r="Q115">
        <v>2019</v>
      </c>
    </row>
    <row r="116" spans="1:17" hidden="1" x14ac:dyDescent="0.35">
      <c r="A116" s="156" t="s">
        <v>652</v>
      </c>
      <c r="B116" s="22">
        <v>43800</v>
      </c>
      <c r="C116">
        <v>15.071999549865721</v>
      </c>
      <c r="D116">
        <v>15.28699970245361</v>
      </c>
      <c r="E116">
        <v>14.12100028991699</v>
      </c>
      <c r="F116">
        <v>14.26299953460693</v>
      </c>
      <c r="G116">
        <v>13023000</v>
      </c>
      <c r="H116">
        <v>14.26299953460693</v>
      </c>
      <c r="I116" s="156" t="s">
        <v>651</v>
      </c>
      <c r="J116" s="22">
        <v>45544</v>
      </c>
      <c r="L116">
        <v>-0.77000045776367188</v>
      </c>
      <c r="M116">
        <v>-5.1220678384517708E-2</v>
      </c>
      <c r="N116">
        <v>-0.80900001525878906</v>
      </c>
      <c r="O116">
        <v>0.2150001525878906</v>
      </c>
      <c r="P116" s="156" t="s">
        <v>583</v>
      </c>
      <c r="Q116">
        <v>2019</v>
      </c>
    </row>
    <row r="117" spans="1:17" hidden="1" x14ac:dyDescent="0.35">
      <c r="A117" s="156" t="s">
        <v>652</v>
      </c>
      <c r="B117" s="22">
        <v>43831</v>
      </c>
      <c r="C117">
        <v>14.284000396728519</v>
      </c>
      <c r="D117">
        <v>16.5</v>
      </c>
      <c r="E117">
        <v>14.125</v>
      </c>
      <c r="F117">
        <v>15.203000068664551</v>
      </c>
      <c r="G117">
        <v>12739000</v>
      </c>
      <c r="H117">
        <v>15.203000068664551</v>
      </c>
      <c r="I117" s="156" t="s">
        <v>651</v>
      </c>
      <c r="J117" s="22">
        <v>45544</v>
      </c>
      <c r="L117">
        <v>0.94000053405761719</v>
      </c>
      <c r="M117">
        <v>6.5904828207899335E-2</v>
      </c>
      <c r="N117">
        <v>0.91899967193603516</v>
      </c>
      <c r="O117">
        <v>2.2159996032714839</v>
      </c>
      <c r="P117" s="156" t="s">
        <v>581</v>
      </c>
      <c r="Q117">
        <v>2020</v>
      </c>
    </row>
    <row r="118" spans="1:17" hidden="1" x14ac:dyDescent="0.35">
      <c r="A118" s="156" t="s">
        <v>652</v>
      </c>
      <c r="B118" s="22">
        <v>43862</v>
      </c>
      <c r="C118">
        <v>15.24499988555908</v>
      </c>
      <c r="D118">
        <v>15.609000205993651</v>
      </c>
      <c r="E118">
        <v>13.26200008392334</v>
      </c>
      <c r="F118">
        <v>13.515999794006349</v>
      </c>
      <c r="G118">
        <v>12569000</v>
      </c>
      <c r="H118">
        <v>13.515999794006349</v>
      </c>
      <c r="I118" s="156" t="s">
        <v>651</v>
      </c>
      <c r="J118" s="22">
        <v>45544</v>
      </c>
      <c r="L118">
        <v>-1.6870002746582029</v>
      </c>
      <c r="M118">
        <v>-0.1109649586949184</v>
      </c>
      <c r="N118">
        <v>-1.7290000915527339</v>
      </c>
      <c r="O118">
        <v>0.36400032043457031</v>
      </c>
      <c r="P118" s="156" t="s">
        <v>582</v>
      </c>
      <c r="Q118">
        <v>2020</v>
      </c>
    </row>
    <row r="119" spans="1:17" hidden="1" x14ac:dyDescent="0.35">
      <c r="A119" s="156" t="s">
        <v>652</v>
      </c>
      <c r="B119" s="22">
        <v>43891</v>
      </c>
      <c r="C119">
        <v>13.572999954223629</v>
      </c>
      <c r="D119">
        <v>13.88199996948242</v>
      </c>
      <c r="E119">
        <v>9</v>
      </c>
      <c r="F119">
        <v>11.810000419616699</v>
      </c>
      <c r="G119">
        <v>20856000</v>
      </c>
      <c r="H119">
        <v>11.810000419616699</v>
      </c>
      <c r="I119" s="156" t="s">
        <v>651</v>
      </c>
      <c r="J119" s="22">
        <v>45544</v>
      </c>
      <c r="L119">
        <v>-1.705999374389648</v>
      </c>
      <c r="M119">
        <v>-0.12622073101437689</v>
      </c>
      <c r="N119">
        <v>-1.762999534606934</v>
      </c>
      <c r="O119">
        <v>0.30900001525878912</v>
      </c>
      <c r="P119" s="156" t="s">
        <v>583</v>
      </c>
      <c r="Q119">
        <v>2020</v>
      </c>
    </row>
    <row r="120" spans="1:17" hidden="1" x14ac:dyDescent="0.35">
      <c r="A120" s="156" t="s">
        <v>652</v>
      </c>
      <c r="B120" s="22">
        <v>43922</v>
      </c>
      <c r="C120">
        <v>11.50500011444092</v>
      </c>
      <c r="D120">
        <v>13.13000011444092</v>
      </c>
      <c r="E120">
        <v>10.86400032043457</v>
      </c>
      <c r="F120">
        <v>12.63300037384033</v>
      </c>
      <c r="G120">
        <v>13768000</v>
      </c>
      <c r="H120">
        <v>12.63300037384033</v>
      </c>
      <c r="I120" s="156" t="s">
        <v>651</v>
      </c>
      <c r="J120" s="22">
        <v>45544</v>
      </c>
      <c r="L120">
        <v>0.82299995422363281</v>
      </c>
      <c r="M120">
        <v>6.9686699829121901E-2</v>
      </c>
      <c r="N120">
        <v>1.1280002593994141</v>
      </c>
      <c r="O120">
        <v>1.625</v>
      </c>
      <c r="P120" s="156" t="s">
        <v>581</v>
      </c>
      <c r="Q120">
        <v>2020</v>
      </c>
    </row>
    <row r="121" spans="1:17" hidden="1" x14ac:dyDescent="0.35">
      <c r="A121" s="156" t="s">
        <v>652</v>
      </c>
      <c r="B121" s="22">
        <v>43952</v>
      </c>
      <c r="C121">
        <v>12.366000175476071</v>
      </c>
      <c r="D121">
        <v>12.73499965667725</v>
      </c>
      <c r="E121">
        <v>10.96399974822998</v>
      </c>
      <c r="F121">
        <v>12.447999954223629</v>
      </c>
      <c r="G121">
        <v>17069000</v>
      </c>
      <c r="H121">
        <v>12.447999954223629</v>
      </c>
      <c r="I121" s="156" t="s">
        <v>651</v>
      </c>
      <c r="J121" s="22">
        <v>45544</v>
      </c>
      <c r="L121">
        <v>-0.18500041961669919</v>
      </c>
      <c r="M121">
        <v>-1.464421864498533E-2</v>
      </c>
      <c r="N121">
        <v>8.1999778747558594E-2</v>
      </c>
      <c r="O121">
        <v>0.36899948120117188</v>
      </c>
      <c r="P121" s="156" t="s">
        <v>584</v>
      </c>
      <c r="Q121">
        <v>2020</v>
      </c>
    </row>
    <row r="122" spans="1:17" hidden="1" x14ac:dyDescent="0.35">
      <c r="A122" s="156" t="s">
        <v>652</v>
      </c>
      <c r="B122" s="22">
        <v>43983</v>
      </c>
      <c r="C122">
        <v>12.49899959564209</v>
      </c>
      <c r="D122">
        <v>13.048000335693359</v>
      </c>
      <c r="E122">
        <v>11.35499954223633</v>
      </c>
      <c r="F122">
        <v>11.829000473022459</v>
      </c>
      <c r="G122">
        <v>18997000</v>
      </c>
      <c r="H122">
        <v>11.829000473022459</v>
      </c>
      <c r="I122" s="156" t="s">
        <v>651</v>
      </c>
      <c r="J122" s="22">
        <v>45544</v>
      </c>
      <c r="L122">
        <v>-0.61899948120117188</v>
      </c>
      <c r="M122">
        <v>-4.9726822258795433E-2</v>
      </c>
      <c r="N122">
        <v>-0.66999912261962891</v>
      </c>
      <c r="O122">
        <v>0.54900074005126953</v>
      </c>
      <c r="P122" s="156" t="s">
        <v>585</v>
      </c>
      <c r="Q122">
        <v>2020</v>
      </c>
    </row>
    <row r="123" spans="1:17" hidden="1" x14ac:dyDescent="0.35">
      <c r="A123" s="156" t="s">
        <v>652</v>
      </c>
      <c r="B123" s="22">
        <v>44013</v>
      </c>
      <c r="C123">
        <v>11.779000282287599</v>
      </c>
      <c r="D123">
        <v>12.72599983215332</v>
      </c>
      <c r="E123">
        <v>11.420999526977541</v>
      </c>
      <c r="F123">
        <v>12.39200019836426</v>
      </c>
      <c r="G123">
        <v>14261000</v>
      </c>
      <c r="H123">
        <v>12.39200019836426</v>
      </c>
      <c r="I123" s="156" t="s">
        <v>651</v>
      </c>
      <c r="J123" s="22">
        <v>45544</v>
      </c>
      <c r="L123">
        <v>0.56299972534179688</v>
      </c>
      <c r="M123">
        <v>4.7594868782513622E-2</v>
      </c>
      <c r="N123">
        <v>0.61299991607666016</v>
      </c>
      <c r="O123">
        <v>0.94699954986572266</v>
      </c>
      <c r="P123" s="156" t="s">
        <v>581</v>
      </c>
      <c r="Q123">
        <v>2020</v>
      </c>
    </row>
    <row r="124" spans="1:17" hidden="1" x14ac:dyDescent="0.35">
      <c r="A124" s="156" t="s">
        <v>652</v>
      </c>
      <c r="B124" s="22">
        <v>44044</v>
      </c>
      <c r="C124">
        <v>12.4370002746582</v>
      </c>
      <c r="D124">
        <v>15.170000076293951</v>
      </c>
      <c r="E124">
        <v>12.184000015258791</v>
      </c>
      <c r="F124">
        <v>14.44400024414062</v>
      </c>
      <c r="G124">
        <v>23580000</v>
      </c>
      <c r="H124">
        <v>14.44400024414062</v>
      </c>
      <c r="I124" s="156" t="s">
        <v>651</v>
      </c>
      <c r="J124" s="22">
        <v>45544</v>
      </c>
      <c r="L124">
        <v>2.0520000457763672</v>
      </c>
      <c r="M124">
        <v>0.16559070472313511</v>
      </c>
      <c r="N124">
        <v>2.0069999694824219</v>
      </c>
      <c r="O124">
        <v>2.7329998016357422</v>
      </c>
      <c r="P124" s="156" t="s">
        <v>582</v>
      </c>
      <c r="Q124">
        <v>2020</v>
      </c>
    </row>
    <row r="125" spans="1:17" hidden="1" x14ac:dyDescent="0.35">
      <c r="A125" s="156" t="s">
        <v>652</v>
      </c>
      <c r="B125" s="22">
        <v>44075</v>
      </c>
      <c r="C125">
        <v>14.50100040435791</v>
      </c>
      <c r="D125">
        <v>17.656000137329102</v>
      </c>
      <c r="E125">
        <v>13.689000129699711</v>
      </c>
      <c r="F125">
        <v>15.05599975585938</v>
      </c>
      <c r="G125">
        <v>31443000</v>
      </c>
      <c r="H125">
        <v>15.05599975585938</v>
      </c>
      <c r="I125" s="156" t="s">
        <v>651</v>
      </c>
      <c r="J125" s="22">
        <v>45544</v>
      </c>
      <c r="L125">
        <v>0.61199951171875</v>
      </c>
      <c r="M125">
        <v>4.237049995668718E-2</v>
      </c>
      <c r="N125">
        <v>0.55499935150146484</v>
      </c>
      <c r="O125">
        <v>3.154999732971191</v>
      </c>
      <c r="P125" s="156" t="s">
        <v>586</v>
      </c>
      <c r="Q125">
        <v>2020</v>
      </c>
    </row>
    <row r="126" spans="1:17" hidden="1" x14ac:dyDescent="0.35">
      <c r="A126" s="156" t="s">
        <v>652</v>
      </c>
      <c r="B126" s="22">
        <v>44105</v>
      </c>
      <c r="C126">
        <v>15.065999984741209</v>
      </c>
      <c r="D126">
        <v>18.70000076293945</v>
      </c>
      <c r="E126">
        <v>14.515999794006349</v>
      </c>
      <c r="F126">
        <v>16.707000732421879</v>
      </c>
      <c r="G126">
        <v>30517000</v>
      </c>
      <c r="H126">
        <v>16.707000732421879</v>
      </c>
      <c r="I126" s="156" t="s">
        <v>651</v>
      </c>
      <c r="J126" s="22">
        <v>45544</v>
      </c>
      <c r="L126">
        <v>1.6510009765625</v>
      </c>
      <c r="M126">
        <v>0.10965734613006869</v>
      </c>
      <c r="N126">
        <v>1.6410007476806641</v>
      </c>
      <c r="O126">
        <v>3.6340007781982422</v>
      </c>
      <c r="P126" s="156" t="s">
        <v>587</v>
      </c>
      <c r="Q126">
        <v>2020</v>
      </c>
    </row>
    <row r="127" spans="1:17" hidden="1" x14ac:dyDescent="0.35">
      <c r="A127" s="156" t="s">
        <v>652</v>
      </c>
      <c r="B127" s="22">
        <v>44136</v>
      </c>
      <c r="C127">
        <v>16.891000747680661</v>
      </c>
      <c r="D127">
        <v>34.75</v>
      </c>
      <c r="E127">
        <v>16.25</v>
      </c>
      <c r="F127">
        <v>34.277000427246087</v>
      </c>
      <c r="G127">
        <v>70788000</v>
      </c>
      <c r="H127">
        <v>34.277000427246087</v>
      </c>
      <c r="I127" s="156" t="s">
        <v>651</v>
      </c>
      <c r="J127" s="22">
        <v>45544</v>
      </c>
      <c r="L127">
        <v>17.569999694824219</v>
      </c>
      <c r="M127">
        <v>1.051654930542236</v>
      </c>
      <c r="N127">
        <v>17.38599967956543</v>
      </c>
      <c r="O127">
        <v>17.858999252319339</v>
      </c>
      <c r="P127" s="156" t="s">
        <v>583</v>
      </c>
      <c r="Q127">
        <v>2020</v>
      </c>
    </row>
    <row r="128" spans="1:17" hidden="1" x14ac:dyDescent="0.35">
      <c r="A128" s="156" t="s">
        <v>652</v>
      </c>
      <c r="B128" s="22">
        <v>44166</v>
      </c>
      <c r="C128">
        <v>32.400001525878913</v>
      </c>
      <c r="D128">
        <v>39.998001098632813</v>
      </c>
      <c r="E128">
        <v>27.409000396728519</v>
      </c>
      <c r="F128">
        <v>38.854999542236328</v>
      </c>
      <c r="G128">
        <v>165777000</v>
      </c>
      <c r="H128">
        <v>38.854999542236328</v>
      </c>
      <c r="I128" s="156" t="s">
        <v>651</v>
      </c>
      <c r="J128" s="22">
        <v>45544</v>
      </c>
      <c r="L128">
        <v>4.5779991149902344</v>
      </c>
      <c r="M128">
        <v>0.13355891874807321</v>
      </c>
      <c r="N128">
        <v>6.4549980163574219</v>
      </c>
      <c r="O128">
        <v>7.5979995727539063</v>
      </c>
      <c r="P128" s="156" t="s">
        <v>586</v>
      </c>
      <c r="Q128">
        <v>2020</v>
      </c>
    </row>
    <row r="129" spans="1:17" hidden="1" x14ac:dyDescent="0.35">
      <c r="A129" s="156" t="s">
        <v>652</v>
      </c>
      <c r="B129" s="22">
        <v>44197</v>
      </c>
      <c r="C129">
        <v>41.632999420166023</v>
      </c>
      <c r="D129">
        <v>69.648002624511719</v>
      </c>
      <c r="E129">
        <v>40.6510009765625</v>
      </c>
      <c r="F129">
        <v>61.730998992919922</v>
      </c>
      <c r="G129">
        <v>229057000</v>
      </c>
      <c r="H129">
        <v>61.730998992919922</v>
      </c>
      <c r="I129" s="156" t="s">
        <v>651</v>
      </c>
      <c r="J129" s="22">
        <v>45544</v>
      </c>
      <c r="L129">
        <v>22.87599945068359</v>
      </c>
      <c r="M129">
        <v>0.58875304903341519</v>
      </c>
      <c r="N129">
        <v>20.09799957275391</v>
      </c>
      <c r="O129">
        <v>28.0150032043457</v>
      </c>
      <c r="P129" s="156" t="s">
        <v>584</v>
      </c>
      <c r="Q129">
        <v>2021</v>
      </c>
    </row>
    <row r="130" spans="1:17" hidden="1" x14ac:dyDescent="0.35">
      <c r="A130" s="156" t="s">
        <v>652</v>
      </c>
      <c r="B130" s="22">
        <v>44228</v>
      </c>
      <c r="C130">
        <v>62.034000396728523</v>
      </c>
      <c r="D130">
        <v>131.5</v>
      </c>
      <c r="E130">
        <v>58.604999542236328</v>
      </c>
      <c r="F130">
        <v>75.041000366210938</v>
      </c>
      <c r="G130">
        <v>235796000</v>
      </c>
      <c r="H130">
        <v>75.041000366210938</v>
      </c>
      <c r="I130" s="156" t="s">
        <v>651</v>
      </c>
      <c r="J130" s="22">
        <v>45544</v>
      </c>
      <c r="L130">
        <v>13.310001373291019</v>
      </c>
      <c r="M130">
        <v>0.21561292689945891</v>
      </c>
      <c r="N130">
        <v>13.00699996948242</v>
      </c>
      <c r="O130">
        <v>69.465999603271484</v>
      </c>
      <c r="P130" s="156" t="s">
        <v>585</v>
      </c>
      <c r="Q130">
        <v>2021</v>
      </c>
    </row>
    <row r="131" spans="1:17" hidden="1" x14ac:dyDescent="0.35">
      <c r="A131" s="156" t="s">
        <v>652</v>
      </c>
      <c r="B131" s="22">
        <v>44256</v>
      </c>
      <c r="C131">
        <v>79.839996337890625</v>
      </c>
      <c r="D131">
        <v>81.749000549316406</v>
      </c>
      <c r="E131">
        <v>53.722000122070313</v>
      </c>
      <c r="F131">
        <v>67.879997253417969</v>
      </c>
      <c r="G131">
        <v>158043000</v>
      </c>
      <c r="H131">
        <v>67.879997253417969</v>
      </c>
      <c r="I131" s="156" t="s">
        <v>651</v>
      </c>
      <c r="J131" s="22">
        <v>45544</v>
      </c>
      <c r="L131">
        <v>-7.1610031127929688</v>
      </c>
      <c r="M131">
        <v>-9.54278738002724E-2</v>
      </c>
      <c r="N131">
        <v>-11.95999908447266</v>
      </c>
      <c r="O131">
        <v>1.909004211425781</v>
      </c>
      <c r="P131" s="156" t="s">
        <v>585</v>
      </c>
      <c r="Q131">
        <v>2021</v>
      </c>
    </row>
    <row r="132" spans="1:17" hidden="1" x14ac:dyDescent="0.35">
      <c r="A132" s="156" t="s">
        <v>652</v>
      </c>
      <c r="B132" s="22">
        <v>44287</v>
      </c>
      <c r="C132">
        <v>68.846000671386719</v>
      </c>
      <c r="D132">
        <v>88.209999084472656</v>
      </c>
      <c r="E132">
        <v>56.900001525878913</v>
      </c>
      <c r="F132">
        <v>65.71600341796875</v>
      </c>
      <c r="G132">
        <v>134447000</v>
      </c>
      <c r="H132">
        <v>65.71600341796875</v>
      </c>
      <c r="I132" s="156" t="s">
        <v>651</v>
      </c>
      <c r="J132" s="22">
        <v>45544</v>
      </c>
      <c r="L132">
        <v>-2.1639938354492192</v>
      </c>
      <c r="M132">
        <v>-3.1879698335436468E-2</v>
      </c>
      <c r="N132">
        <v>-3.1299972534179692</v>
      </c>
      <c r="O132">
        <v>19.363998413085941</v>
      </c>
      <c r="P132" s="156" t="s">
        <v>587</v>
      </c>
      <c r="Q132">
        <v>2021</v>
      </c>
    </row>
    <row r="133" spans="1:17" hidden="1" x14ac:dyDescent="0.35">
      <c r="A133" s="156" t="s">
        <v>652</v>
      </c>
      <c r="B133" s="22">
        <v>44317</v>
      </c>
      <c r="C133">
        <v>67.397003173828125</v>
      </c>
      <c r="D133">
        <v>67.397003173828125</v>
      </c>
      <c r="E133">
        <v>41.158000946044922</v>
      </c>
      <c r="F133">
        <v>47</v>
      </c>
      <c r="G133">
        <v>128778000</v>
      </c>
      <c r="H133">
        <v>47</v>
      </c>
      <c r="I133" s="156" t="s">
        <v>651</v>
      </c>
      <c r="J133" s="22">
        <v>45544</v>
      </c>
      <c r="L133">
        <v>-18.71600341796875</v>
      </c>
      <c r="M133">
        <v>-0.28480130325227948</v>
      </c>
      <c r="N133">
        <v>-20.397003173828121</v>
      </c>
      <c r="O133">
        <v>0</v>
      </c>
      <c r="P133" s="156" t="s">
        <v>582</v>
      </c>
      <c r="Q133">
        <v>2021</v>
      </c>
    </row>
    <row r="134" spans="1:17" hidden="1" x14ac:dyDescent="0.35">
      <c r="A134" s="156" t="s">
        <v>652</v>
      </c>
      <c r="B134" s="22">
        <v>44348</v>
      </c>
      <c r="C134">
        <v>47.124000549316413</v>
      </c>
      <c r="D134">
        <v>69.299003601074219</v>
      </c>
      <c r="E134">
        <v>42.792999267578118</v>
      </c>
      <c r="F134">
        <v>66.449996948242188</v>
      </c>
      <c r="G134">
        <v>234730000</v>
      </c>
      <c r="H134">
        <v>66.449996948242188</v>
      </c>
      <c r="I134" s="156" t="s">
        <v>651</v>
      </c>
      <c r="J134" s="22">
        <v>45544</v>
      </c>
      <c r="L134">
        <v>19.449996948242191</v>
      </c>
      <c r="M134">
        <v>0.41382972230302523</v>
      </c>
      <c r="N134">
        <v>19.325996398925781</v>
      </c>
      <c r="O134">
        <v>22.175003051757809</v>
      </c>
      <c r="P134" s="156" t="s">
        <v>586</v>
      </c>
      <c r="Q134">
        <v>2021</v>
      </c>
    </row>
    <row r="135" spans="1:17" hidden="1" x14ac:dyDescent="0.35">
      <c r="A135" s="156" t="s">
        <v>652</v>
      </c>
      <c r="B135" s="22">
        <v>44378</v>
      </c>
      <c r="C135">
        <v>65.058998107910156</v>
      </c>
      <c r="D135">
        <v>69.5</v>
      </c>
      <c r="E135">
        <v>47.237998962402337</v>
      </c>
      <c r="F135">
        <v>62.601001739501953</v>
      </c>
      <c r="G135">
        <v>156087000</v>
      </c>
      <c r="H135">
        <v>62.601001739501953</v>
      </c>
      <c r="I135" s="156" t="s">
        <v>651</v>
      </c>
      <c r="J135" s="22">
        <v>45544</v>
      </c>
      <c r="L135">
        <v>-3.8489952087402339</v>
      </c>
      <c r="M135">
        <v>-5.7923181121260381E-2</v>
      </c>
      <c r="N135">
        <v>-2.4579963684082031</v>
      </c>
      <c r="O135">
        <v>4.4410018920898438</v>
      </c>
      <c r="P135" s="156" t="s">
        <v>587</v>
      </c>
      <c r="Q135">
        <v>2021</v>
      </c>
    </row>
    <row r="136" spans="1:17" hidden="1" x14ac:dyDescent="0.35">
      <c r="A136" s="156" t="s">
        <v>652</v>
      </c>
      <c r="B136" s="22">
        <v>44409</v>
      </c>
      <c r="C136">
        <v>62.258998870849609</v>
      </c>
      <c r="D136">
        <v>79.800003051757813</v>
      </c>
      <c r="E136">
        <v>60.51300048828125</v>
      </c>
      <c r="F136">
        <v>69.430000305175781</v>
      </c>
      <c r="G136">
        <v>181643000</v>
      </c>
      <c r="H136">
        <v>69.430000305175781</v>
      </c>
      <c r="I136" s="156" t="s">
        <v>651</v>
      </c>
      <c r="J136" s="22">
        <v>45544</v>
      </c>
      <c r="L136">
        <v>6.8289985656738281</v>
      </c>
      <c r="M136">
        <v>0.1090876883103398</v>
      </c>
      <c r="N136">
        <v>7.1710014343261719</v>
      </c>
      <c r="O136">
        <v>17.5410041809082</v>
      </c>
      <c r="P136" s="156" t="s">
        <v>583</v>
      </c>
      <c r="Q136">
        <v>2021</v>
      </c>
    </row>
    <row r="137" spans="1:17" hidden="1" x14ac:dyDescent="0.35">
      <c r="A137" s="156" t="s">
        <v>652</v>
      </c>
      <c r="B137" s="22">
        <v>44440</v>
      </c>
      <c r="C137">
        <v>70</v>
      </c>
      <c r="D137">
        <v>73.265998840332031</v>
      </c>
      <c r="E137">
        <v>56.5260009765625</v>
      </c>
      <c r="F137">
        <v>57.840000152587891</v>
      </c>
      <c r="G137">
        <v>146982000</v>
      </c>
      <c r="H137">
        <v>57.840000152587891</v>
      </c>
      <c r="I137" s="156" t="s">
        <v>651</v>
      </c>
      <c r="J137" s="22">
        <v>45544</v>
      </c>
      <c r="L137">
        <v>-11.590000152587891</v>
      </c>
      <c r="M137">
        <v>-0.16693072305407861</v>
      </c>
      <c r="N137">
        <v>-12.159999847412109</v>
      </c>
      <c r="O137">
        <v>3.2659988403320308</v>
      </c>
      <c r="P137" s="156" t="s">
        <v>581</v>
      </c>
      <c r="Q137">
        <v>2021</v>
      </c>
    </row>
    <row r="138" spans="1:17" hidden="1" x14ac:dyDescent="0.35">
      <c r="A138" s="156" t="s">
        <v>652</v>
      </c>
      <c r="B138" s="22">
        <v>44470</v>
      </c>
      <c r="C138">
        <v>61.561000823974609</v>
      </c>
      <c r="D138">
        <v>77.707000732421875</v>
      </c>
      <c r="E138">
        <v>58.278999328613281</v>
      </c>
      <c r="F138">
        <v>71.505996704101563</v>
      </c>
      <c r="G138">
        <v>109305000</v>
      </c>
      <c r="H138">
        <v>71.505996704101563</v>
      </c>
      <c r="I138" s="156" t="s">
        <v>651</v>
      </c>
      <c r="J138" s="22">
        <v>45544</v>
      </c>
      <c r="L138">
        <v>13.66599655151367</v>
      </c>
      <c r="M138">
        <v>0.23627241555085329</v>
      </c>
      <c r="N138">
        <v>9.9449958801269531</v>
      </c>
      <c r="O138">
        <v>16.145999908447269</v>
      </c>
      <c r="P138" s="156" t="s">
        <v>584</v>
      </c>
      <c r="Q138">
        <v>2021</v>
      </c>
    </row>
    <row r="139" spans="1:17" hidden="1" x14ac:dyDescent="0.35">
      <c r="A139" s="156" t="s">
        <v>652</v>
      </c>
      <c r="B139" s="22">
        <v>44501</v>
      </c>
      <c r="C139">
        <v>72.099998474121094</v>
      </c>
      <c r="D139">
        <v>89.13800048828125</v>
      </c>
      <c r="E139">
        <v>65.5</v>
      </c>
      <c r="F139">
        <v>72.142997741699219</v>
      </c>
      <c r="G139">
        <v>112457000</v>
      </c>
      <c r="H139">
        <v>72.142997741699219</v>
      </c>
      <c r="I139" s="156" t="s">
        <v>651</v>
      </c>
      <c r="J139" s="22">
        <v>45544</v>
      </c>
      <c r="L139">
        <v>0.63700103759765625</v>
      </c>
      <c r="M139">
        <v>8.9083582770494996E-3</v>
      </c>
      <c r="N139">
        <v>4.2999267578125E-2</v>
      </c>
      <c r="O139">
        <v>17.03800201416016</v>
      </c>
      <c r="P139" s="156" t="s">
        <v>585</v>
      </c>
      <c r="Q139">
        <v>2021</v>
      </c>
    </row>
    <row r="140" spans="1:17" hidden="1" x14ac:dyDescent="0.35">
      <c r="A140" s="156" t="s">
        <v>652</v>
      </c>
      <c r="B140" s="22">
        <v>44531</v>
      </c>
      <c r="C140">
        <v>73.263999938964844</v>
      </c>
      <c r="D140">
        <v>74.399002075195313</v>
      </c>
      <c r="E140">
        <v>52.881000518798828</v>
      </c>
      <c r="F140">
        <v>54.449001312255859</v>
      </c>
      <c r="G140">
        <v>95098000</v>
      </c>
      <c r="H140">
        <v>54.449001312255859</v>
      </c>
      <c r="I140" s="156" t="s">
        <v>651</v>
      </c>
      <c r="J140" s="22">
        <v>45544</v>
      </c>
      <c r="L140">
        <v>-17.693996429443359</v>
      </c>
      <c r="M140">
        <v>-0.24526283885228811</v>
      </c>
      <c r="N140">
        <v>-18.814998626708981</v>
      </c>
      <c r="O140">
        <v>1.135002136230469</v>
      </c>
      <c r="P140" s="156" t="s">
        <v>581</v>
      </c>
      <c r="Q140">
        <v>2021</v>
      </c>
    </row>
    <row r="141" spans="1:17" hidden="1" x14ac:dyDescent="0.35">
      <c r="A141" s="156" t="s">
        <v>652</v>
      </c>
      <c r="B141" s="22">
        <v>44562</v>
      </c>
      <c r="C141">
        <v>55.061000823974609</v>
      </c>
      <c r="D141">
        <v>57.625999450683587</v>
      </c>
      <c r="E141">
        <v>30.718999862670898</v>
      </c>
      <c r="F141">
        <v>36.800998687744141</v>
      </c>
      <c r="G141">
        <v>126002000</v>
      </c>
      <c r="H141">
        <v>36.800998687744141</v>
      </c>
      <c r="I141" s="156" t="s">
        <v>651</v>
      </c>
      <c r="J141" s="22">
        <v>45544</v>
      </c>
      <c r="L141">
        <v>-17.648002624511719</v>
      </c>
      <c r="M141">
        <v>-0.32411985893558259</v>
      </c>
      <c r="N141">
        <v>-18.260002136230469</v>
      </c>
      <c r="O141">
        <v>2.5649986267089839</v>
      </c>
      <c r="P141" s="156" t="s">
        <v>582</v>
      </c>
      <c r="Q141">
        <v>2022</v>
      </c>
    </row>
    <row r="142" spans="1:17" hidden="1" x14ac:dyDescent="0.35">
      <c r="A142" s="156" t="s">
        <v>652</v>
      </c>
      <c r="B142" s="22">
        <v>44593</v>
      </c>
      <c r="C142">
        <v>38.285999298095703</v>
      </c>
      <c r="D142">
        <v>46.304000854492188</v>
      </c>
      <c r="E142">
        <v>33.195999145507813</v>
      </c>
      <c r="F142">
        <v>44.299999237060547</v>
      </c>
      <c r="G142">
        <v>103748000</v>
      </c>
      <c r="H142">
        <v>44.299999237060547</v>
      </c>
      <c r="I142" s="156" t="s">
        <v>651</v>
      </c>
      <c r="J142" s="22">
        <v>45544</v>
      </c>
      <c r="L142">
        <v>7.4990005493164063</v>
      </c>
      <c r="M142">
        <v>0.2037716588331013</v>
      </c>
      <c r="N142">
        <v>6.0139999389648438</v>
      </c>
      <c r="O142">
        <v>8.0180015563964844</v>
      </c>
      <c r="P142" s="156" t="s">
        <v>586</v>
      </c>
      <c r="Q142">
        <v>2022</v>
      </c>
    </row>
    <row r="143" spans="1:17" hidden="1" x14ac:dyDescent="0.35">
      <c r="A143" s="156" t="s">
        <v>652</v>
      </c>
      <c r="B143" s="22">
        <v>44621</v>
      </c>
      <c r="C143">
        <v>46.512001037597663</v>
      </c>
      <c r="D143">
        <v>52.279998779296882</v>
      </c>
      <c r="E143">
        <v>36.319999694824219</v>
      </c>
      <c r="F143">
        <v>48.631999969482422</v>
      </c>
      <c r="G143">
        <v>95199000</v>
      </c>
      <c r="H143">
        <v>48.631999969482422</v>
      </c>
      <c r="I143" s="156" t="s">
        <v>651</v>
      </c>
      <c r="J143" s="22">
        <v>45544</v>
      </c>
      <c r="L143">
        <v>4.332000732421875</v>
      </c>
      <c r="M143">
        <v>9.7787828601085147E-2</v>
      </c>
      <c r="N143">
        <v>2.1199989318847661</v>
      </c>
      <c r="O143">
        <v>5.7679977416992188</v>
      </c>
      <c r="P143" s="156" t="s">
        <v>586</v>
      </c>
      <c r="Q143">
        <v>2022</v>
      </c>
    </row>
    <row r="144" spans="1:17" hidden="1" x14ac:dyDescent="0.35">
      <c r="A144" s="156" t="s">
        <v>652</v>
      </c>
      <c r="B144" s="22">
        <v>44652</v>
      </c>
      <c r="C144">
        <v>48.956001281738281</v>
      </c>
      <c r="D144">
        <v>50.856998443603523</v>
      </c>
      <c r="E144">
        <v>35.299999237060547</v>
      </c>
      <c r="F144">
        <v>35.416999816894531</v>
      </c>
      <c r="G144">
        <v>69612000</v>
      </c>
      <c r="H144">
        <v>35.416999816894531</v>
      </c>
      <c r="I144" s="156" t="s">
        <v>651</v>
      </c>
      <c r="J144" s="22">
        <v>45544</v>
      </c>
      <c r="L144">
        <v>-13.215000152587891</v>
      </c>
      <c r="M144">
        <v>-0.27173466361409299</v>
      </c>
      <c r="N144">
        <v>-13.53900146484375</v>
      </c>
      <c r="O144">
        <v>1.9009971618652339</v>
      </c>
      <c r="P144" s="156" t="s">
        <v>584</v>
      </c>
      <c r="Q144">
        <v>2022</v>
      </c>
    </row>
    <row r="145" spans="1:17" hidden="1" x14ac:dyDescent="0.35">
      <c r="A145" s="156" t="s">
        <v>652</v>
      </c>
      <c r="B145" s="22">
        <v>44682</v>
      </c>
      <c r="C145">
        <v>35.601001739501953</v>
      </c>
      <c r="D145">
        <v>36.952999114990227</v>
      </c>
      <c r="E145">
        <v>13.409000396728519</v>
      </c>
      <c r="F145">
        <v>26.468999862670898</v>
      </c>
      <c r="G145">
        <v>288148000</v>
      </c>
      <c r="H145">
        <v>26.468999862670898</v>
      </c>
      <c r="I145" s="156" t="s">
        <v>651</v>
      </c>
      <c r="J145" s="22">
        <v>45544</v>
      </c>
      <c r="L145">
        <v>-8.9479999542236328</v>
      </c>
      <c r="M145">
        <v>-0.25264703392395432</v>
      </c>
      <c r="N145">
        <v>-9.1320018768310547</v>
      </c>
      <c r="O145">
        <v>1.351997375488281</v>
      </c>
      <c r="P145" s="156" t="s">
        <v>583</v>
      </c>
      <c r="Q145">
        <v>2022</v>
      </c>
    </row>
    <row r="146" spans="1:17" hidden="1" x14ac:dyDescent="0.35">
      <c r="A146" s="156" t="s">
        <v>652</v>
      </c>
      <c r="B146" s="22">
        <v>44713</v>
      </c>
      <c r="C146">
        <v>26.135000228881839</v>
      </c>
      <c r="D146">
        <v>26.70000076293945</v>
      </c>
      <c r="E146">
        <v>14.39000034332275</v>
      </c>
      <c r="F146">
        <v>16.430000305175781</v>
      </c>
      <c r="G146">
        <v>211453000</v>
      </c>
      <c r="H146">
        <v>16.430000305175781</v>
      </c>
      <c r="I146" s="156" t="s">
        <v>651</v>
      </c>
      <c r="J146" s="22">
        <v>45544</v>
      </c>
      <c r="L146">
        <v>-10.038999557495121</v>
      </c>
      <c r="M146">
        <v>-0.37927385279309589</v>
      </c>
      <c r="N146">
        <v>-9.7049999237060547</v>
      </c>
      <c r="O146">
        <v>0.56500053405761719</v>
      </c>
      <c r="P146" s="156" t="s">
        <v>581</v>
      </c>
      <c r="Q146">
        <v>2022</v>
      </c>
    </row>
    <row r="147" spans="1:17" hidden="1" x14ac:dyDescent="0.35">
      <c r="A147" s="156" t="s">
        <v>652</v>
      </c>
      <c r="B147" s="22">
        <v>44743</v>
      </c>
      <c r="C147">
        <v>16.797000885009769</v>
      </c>
      <c r="D147">
        <v>29.95000076293945</v>
      </c>
      <c r="E147">
        <v>16.00200080871582</v>
      </c>
      <c r="F147">
        <v>28.606000900268551</v>
      </c>
      <c r="G147">
        <v>160320000</v>
      </c>
      <c r="H147">
        <v>28.606000900268551</v>
      </c>
      <c r="I147" s="156" t="s">
        <v>651</v>
      </c>
      <c r="J147" s="22">
        <v>45544</v>
      </c>
      <c r="L147">
        <v>12.17600059509277</v>
      </c>
      <c r="M147">
        <v>0.74108340650834248</v>
      </c>
      <c r="N147">
        <v>11.809000015258791</v>
      </c>
      <c r="O147">
        <v>13.152999877929689</v>
      </c>
      <c r="P147" s="156" t="s">
        <v>584</v>
      </c>
      <c r="Q147">
        <v>2022</v>
      </c>
    </row>
    <row r="148" spans="1:17" hidden="1" x14ac:dyDescent="0.35">
      <c r="A148" s="156" t="s">
        <v>652</v>
      </c>
      <c r="B148" s="22">
        <v>44774</v>
      </c>
      <c r="C148">
        <v>27.652999877929691</v>
      </c>
      <c r="D148">
        <v>36.196998596191413</v>
      </c>
      <c r="E148">
        <v>22.270999908447269</v>
      </c>
      <c r="F148">
        <v>23.156000137329102</v>
      </c>
      <c r="G148">
        <v>124878000</v>
      </c>
      <c r="H148">
        <v>23.156000137329102</v>
      </c>
      <c r="I148" s="156" t="s">
        <v>651</v>
      </c>
      <c r="J148" s="22">
        <v>45544</v>
      </c>
      <c r="L148">
        <v>-5.4500007629394531</v>
      </c>
      <c r="M148">
        <v>-0.1905194921142678</v>
      </c>
      <c r="N148">
        <v>-4.4969997406005859</v>
      </c>
      <c r="O148">
        <v>8.5439987182617188</v>
      </c>
      <c r="P148" s="156" t="s">
        <v>585</v>
      </c>
      <c r="Q148">
        <v>2022</v>
      </c>
    </row>
    <row r="149" spans="1:17" hidden="1" x14ac:dyDescent="0.35">
      <c r="A149" s="156" t="s">
        <v>652</v>
      </c>
      <c r="B149" s="22">
        <v>44805</v>
      </c>
      <c r="C149">
        <v>22.00099945068359</v>
      </c>
      <c r="D149">
        <v>26.79899978637695</v>
      </c>
      <c r="E149">
        <v>18.349000930786129</v>
      </c>
      <c r="F149">
        <v>21.22599983215332</v>
      </c>
      <c r="G149">
        <v>140124000</v>
      </c>
      <c r="H149">
        <v>21.22599983215332</v>
      </c>
      <c r="I149" s="156" t="s">
        <v>651</v>
      </c>
      <c r="J149" s="22">
        <v>45544</v>
      </c>
      <c r="L149">
        <v>-1.930000305175781</v>
      </c>
      <c r="M149">
        <v>-8.3347741135330389E-2</v>
      </c>
      <c r="N149">
        <v>-0.77499961853027344</v>
      </c>
      <c r="O149">
        <v>4.7980003356933594</v>
      </c>
      <c r="P149" s="156" t="s">
        <v>587</v>
      </c>
      <c r="Q149">
        <v>2022</v>
      </c>
    </row>
    <row r="150" spans="1:17" hidden="1" x14ac:dyDescent="0.35">
      <c r="A150" s="156" t="s">
        <v>652</v>
      </c>
      <c r="B150" s="22">
        <v>44835</v>
      </c>
      <c r="C150">
        <v>21.389999389648441</v>
      </c>
      <c r="D150">
        <v>29</v>
      </c>
      <c r="E150">
        <v>19.8129997253418</v>
      </c>
      <c r="F150">
        <v>26.75099945068359</v>
      </c>
      <c r="G150">
        <v>87532000</v>
      </c>
      <c r="H150">
        <v>26.75099945068359</v>
      </c>
      <c r="I150" s="156" t="s">
        <v>651</v>
      </c>
      <c r="J150" s="22">
        <v>45544</v>
      </c>
      <c r="L150">
        <v>5.5249996185302734</v>
      </c>
      <c r="M150">
        <v>0.26029396316874348</v>
      </c>
      <c r="N150">
        <v>5.3610000610351563</v>
      </c>
      <c r="O150">
        <v>7.6100006103515616</v>
      </c>
      <c r="P150" s="156" t="s">
        <v>582</v>
      </c>
      <c r="Q150">
        <v>2022</v>
      </c>
    </row>
    <row r="151" spans="1:17" hidden="1" x14ac:dyDescent="0.35">
      <c r="A151" s="156" t="s">
        <v>652</v>
      </c>
      <c r="B151" s="22">
        <v>44866</v>
      </c>
      <c r="C151">
        <v>27.594999313354489</v>
      </c>
      <c r="D151">
        <v>27.878999710083011</v>
      </c>
      <c r="E151">
        <v>15.234000205993651</v>
      </c>
      <c r="F151">
        <v>19.809000015258789</v>
      </c>
      <c r="G151">
        <v>192857000</v>
      </c>
      <c r="H151">
        <v>19.809000015258789</v>
      </c>
      <c r="I151" s="156" t="s">
        <v>651</v>
      </c>
      <c r="J151" s="22">
        <v>45544</v>
      </c>
      <c r="L151">
        <v>-6.9419994354248047</v>
      </c>
      <c r="M151">
        <v>-0.25950430181954981</v>
      </c>
      <c r="N151">
        <v>-7.7859992980957031</v>
      </c>
      <c r="O151">
        <v>0.28400039672851563</v>
      </c>
      <c r="P151" s="156" t="s">
        <v>586</v>
      </c>
      <c r="Q151">
        <v>2022</v>
      </c>
    </row>
    <row r="152" spans="1:17" hidden="1" x14ac:dyDescent="0.35">
      <c r="A152" s="156" t="s">
        <v>652</v>
      </c>
      <c r="B152" s="22">
        <v>44896</v>
      </c>
      <c r="C152">
        <v>19.718999862670898</v>
      </c>
      <c r="D152">
        <v>21.378000259399411</v>
      </c>
      <c r="E152">
        <v>13.25599956512451</v>
      </c>
      <c r="F152">
        <v>14.156999588012701</v>
      </c>
      <c r="G152">
        <v>101666000</v>
      </c>
      <c r="H152">
        <v>14.156999588012701</v>
      </c>
      <c r="I152" s="156" t="s">
        <v>651</v>
      </c>
      <c r="J152" s="22">
        <v>45544</v>
      </c>
      <c r="L152">
        <v>-5.6520004272460938</v>
      </c>
      <c r="M152">
        <v>-0.28532487368834281</v>
      </c>
      <c r="N152">
        <v>-5.5620002746582031</v>
      </c>
      <c r="O152">
        <v>1.6590003967285161</v>
      </c>
      <c r="P152" s="156" t="s">
        <v>587</v>
      </c>
      <c r="Q152">
        <v>2022</v>
      </c>
    </row>
    <row r="153" spans="1:17" hidden="1" x14ac:dyDescent="0.35">
      <c r="A153" s="156" t="s">
        <v>652</v>
      </c>
      <c r="B153" s="22">
        <v>44927</v>
      </c>
      <c r="C153">
        <v>14.567000389099119</v>
      </c>
      <c r="D153">
        <v>26.20999908447266</v>
      </c>
      <c r="E153">
        <v>13.9379997253418</v>
      </c>
      <c r="F153">
        <v>25.173000335693359</v>
      </c>
      <c r="G153">
        <v>132354000</v>
      </c>
      <c r="H153">
        <v>25.173000335693359</v>
      </c>
      <c r="I153" s="156" t="s">
        <v>651</v>
      </c>
      <c r="J153" s="22">
        <v>45544</v>
      </c>
      <c r="L153">
        <v>11.016000747680661</v>
      </c>
      <c r="M153">
        <v>0.77813103540727369</v>
      </c>
      <c r="N153">
        <v>10.60599994659424</v>
      </c>
      <c r="O153">
        <v>11.64299869537354</v>
      </c>
      <c r="P153" s="156" t="s">
        <v>583</v>
      </c>
      <c r="Q153">
        <v>2023</v>
      </c>
    </row>
    <row r="154" spans="1:17" hidden="1" x14ac:dyDescent="0.35">
      <c r="A154" s="156" t="s">
        <v>652</v>
      </c>
      <c r="B154" s="22">
        <v>44958</v>
      </c>
      <c r="C154">
        <v>25.10000038146973</v>
      </c>
      <c r="D154">
        <v>31.5</v>
      </c>
      <c r="E154">
        <v>23.653999328613281</v>
      </c>
      <c r="F154">
        <v>26.226999282836911</v>
      </c>
      <c r="G154">
        <v>104693000</v>
      </c>
      <c r="H154">
        <v>26.226999282836911</v>
      </c>
      <c r="I154" s="156" t="s">
        <v>651</v>
      </c>
      <c r="J154" s="22">
        <v>45544</v>
      </c>
      <c r="L154">
        <v>1.0539989471435549</v>
      </c>
      <c r="M154">
        <v>4.187021543272551E-2</v>
      </c>
      <c r="N154">
        <v>1.1269989013671879</v>
      </c>
      <c r="O154">
        <v>6.3999996185302734</v>
      </c>
      <c r="P154" s="156" t="s">
        <v>581</v>
      </c>
      <c r="Q154">
        <v>2023</v>
      </c>
    </row>
    <row r="155" spans="1:17" hidden="1" x14ac:dyDescent="0.35">
      <c r="A155" s="156" t="s">
        <v>652</v>
      </c>
      <c r="B155" s="22">
        <v>44986</v>
      </c>
      <c r="C155">
        <v>26.38800048828125</v>
      </c>
      <c r="D155">
        <v>29.54000091552734</v>
      </c>
      <c r="E155">
        <v>18.829999923706051</v>
      </c>
      <c r="F155">
        <v>29.232000350952148</v>
      </c>
      <c r="G155">
        <v>209256000</v>
      </c>
      <c r="H155">
        <v>29.232000350952148</v>
      </c>
      <c r="I155" s="156" t="s">
        <v>651</v>
      </c>
      <c r="J155" s="22">
        <v>45544</v>
      </c>
      <c r="L155">
        <v>3.0050010681152339</v>
      </c>
      <c r="M155">
        <v>0.1145766252444185</v>
      </c>
      <c r="N155">
        <v>2.843999862670898</v>
      </c>
      <c r="O155">
        <v>3.1520004272460942</v>
      </c>
      <c r="P155" s="156" t="s">
        <v>581</v>
      </c>
      <c r="Q155">
        <v>2023</v>
      </c>
    </row>
    <row r="156" spans="1:17" hidden="1" x14ac:dyDescent="0.35">
      <c r="A156" s="156" t="s">
        <v>652</v>
      </c>
      <c r="B156" s="22">
        <v>45017</v>
      </c>
      <c r="C156">
        <v>29.099000930786129</v>
      </c>
      <c r="D156">
        <v>34.76300048828125</v>
      </c>
      <c r="E156">
        <v>27.83699989318848</v>
      </c>
      <c r="F156">
        <v>32.838001251220703</v>
      </c>
      <c r="G156">
        <v>157966000</v>
      </c>
      <c r="H156">
        <v>32.838001251220703</v>
      </c>
      <c r="I156" s="156" t="s">
        <v>651</v>
      </c>
      <c r="J156" s="22">
        <v>45544</v>
      </c>
      <c r="L156">
        <v>3.6060009002685551</v>
      </c>
      <c r="M156">
        <v>0.123357993191564</v>
      </c>
      <c r="N156">
        <v>3.7390003204345699</v>
      </c>
      <c r="O156">
        <v>5.6639995574951172</v>
      </c>
      <c r="P156" s="156" t="s">
        <v>582</v>
      </c>
      <c r="Q156">
        <v>2023</v>
      </c>
    </row>
    <row r="157" spans="1:17" hidden="1" x14ac:dyDescent="0.35">
      <c r="A157" s="156" t="s">
        <v>652</v>
      </c>
      <c r="B157" s="22">
        <v>45047</v>
      </c>
      <c r="C157">
        <v>32</v>
      </c>
      <c r="D157">
        <v>33.292999267578118</v>
      </c>
      <c r="E157">
        <v>26.650999069213871</v>
      </c>
      <c r="F157">
        <v>30.16300010681152</v>
      </c>
      <c r="G157">
        <v>186954000</v>
      </c>
      <c r="H157">
        <v>30.16300010681152</v>
      </c>
      <c r="I157" s="156" t="s">
        <v>651</v>
      </c>
      <c r="J157" s="22">
        <v>45544</v>
      </c>
      <c r="L157">
        <v>-2.6750011444091801</v>
      </c>
      <c r="M157">
        <v>-8.1460534821976682E-2</v>
      </c>
      <c r="N157">
        <v>-1.836999893188477</v>
      </c>
      <c r="O157">
        <v>1.292999267578125</v>
      </c>
      <c r="P157" s="156" t="s">
        <v>585</v>
      </c>
      <c r="Q157">
        <v>2023</v>
      </c>
    </row>
    <row r="158" spans="1:17" hidden="1" x14ac:dyDescent="0.35">
      <c r="A158" s="156" t="s">
        <v>652</v>
      </c>
      <c r="B158" s="22">
        <v>45078</v>
      </c>
      <c r="C158">
        <v>29.85000038146973</v>
      </c>
      <c r="D158">
        <v>35.275001525878913</v>
      </c>
      <c r="E158">
        <v>26.60000038146973</v>
      </c>
      <c r="F158">
        <v>34.242000579833977</v>
      </c>
      <c r="G158">
        <v>212663000</v>
      </c>
      <c r="H158">
        <v>34.242000579833977</v>
      </c>
      <c r="I158" s="156" t="s">
        <v>651</v>
      </c>
      <c r="J158" s="22">
        <v>45544</v>
      </c>
      <c r="L158">
        <v>4.0790004730224609</v>
      </c>
      <c r="M158">
        <v>0.13523192184391911</v>
      </c>
      <c r="N158">
        <v>4.3920001983642578</v>
      </c>
      <c r="O158">
        <v>5.4250011444091797</v>
      </c>
      <c r="P158" s="156" t="s">
        <v>587</v>
      </c>
      <c r="Q158">
        <v>2023</v>
      </c>
    </row>
    <row r="159" spans="1:17" hidden="1" x14ac:dyDescent="0.35">
      <c r="A159" s="156" t="s">
        <v>652</v>
      </c>
      <c r="B159" s="22">
        <v>45108</v>
      </c>
      <c r="C159">
        <v>34.700000762939453</v>
      </c>
      <c r="D159">
        <v>47.508998870849609</v>
      </c>
      <c r="E159">
        <v>34.5989990234375</v>
      </c>
      <c r="F159">
        <v>43.787998199462891</v>
      </c>
      <c r="G159">
        <v>175890000</v>
      </c>
      <c r="H159">
        <v>43.787998199462891</v>
      </c>
      <c r="I159" s="156" t="s">
        <v>651</v>
      </c>
      <c r="J159" s="22">
        <v>45544</v>
      </c>
      <c r="L159">
        <v>9.5459976196289063</v>
      </c>
      <c r="M159">
        <v>0.27878037083063401</v>
      </c>
      <c r="N159">
        <v>9.0879974365234375</v>
      </c>
      <c r="O159">
        <v>12.80899810791016</v>
      </c>
      <c r="P159" s="156" t="s">
        <v>582</v>
      </c>
      <c r="Q159">
        <v>2023</v>
      </c>
    </row>
    <row r="160" spans="1:17" hidden="1" x14ac:dyDescent="0.35">
      <c r="A160" s="156" t="s">
        <v>652</v>
      </c>
      <c r="B160" s="22">
        <v>45139</v>
      </c>
      <c r="C160">
        <v>43</v>
      </c>
      <c r="D160">
        <v>43.799999237060547</v>
      </c>
      <c r="E160">
        <v>32.229000091552727</v>
      </c>
      <c r="F160">
        <v>35.752998352050781</v>
      </c>
      <c r="G160">
        <v>139559000</v>
      </c>
      <c r="H160">
        <v>35.752998352050781</v>
      </c>
      <c r="I160" s="156" t="s">
        <v>651</v>
      </c>
      <c r="J160" s="22">
        <v>45544</v>
      </c>
      <c r="L160">
        <v>-8.0349998474121094</v>
      </c>
      <c r="M160">
        <v>-0.1834977660045366</v>
      </c>
      <c r="N160">
        <v>-7.2470016479492188</v>
      </c>
      <c r="O160">
        <v>0.79999923706054688</v>
      </c>
      <c r="P160" s="156" t="s">
        <v>586</v>
      </c>
      <c r="Q160">
        <v>2023</v>
      </c>
    </row>
    <row r="161" spans="1:17" hidden="1" x14ac:dyDescent="0.35">
      <c r="A161" s="156" t="s">
        <v>652</v>
      </c>
      <c r="B161" s="22">
        <v>45170</v>
      </c>
      <c r="C161">
        <v>35.754001617431641</v>
      </c>
      <c r="D161">
        <v>36.759998321533203</v>
      </c>
      <c r="E161">
        <v>31.010000228881839</v>
      </c>
      <c r="F161">
        <v>32.827999114990227</v>
      </c>
      <c r="G161">
        <v>97580000</v>
      </c>
      <c r="H161">
        <v>32.827999114990227</v>
      </c>
      <c r="I161" s="156" t="s">
        <v>651</v>
      </c>
      <c r="J161" s="22">
        <v>45544</v>
      </c>
      <c r="L161">
        <v>-2.9249992370605469</v>
      </c>
      <c r="M161">
        <v>-8.1811298964601931E-2</v>
      </c>
      <c r="N161">
        <v>-2.9260025024414058</v>
      </c>
      <c r="O161">
        <v>1.0059967041015621</v>
      </c>
      <c r="P161" s="156" t="s">
        <v>584</v>
      </c>
      <c r="Q161">
        <v>2023</v>
      </c>
    </row>
    <row r="162" spans="1:17" hidden="1" x14ac:dyDescent="0.35">
      <c r="A162" s="156" t="s">
        <v>652</v>
      </c>
      <c r="B162" s="22">
        <v>45200</v>
      </c>
      <c r="C162">
        <v>34.657001495361328</v>
      </c>
      <c r="D162">
        <v>44.949001312255859</v>
      </c>
      <c r="E162">
        <v>30.711000442504879</v>
      </c>
      <c r="F162">
        <v>42.339000701904297</v>
      </c>
      <c r="G162">
        <v>164158000</v>
      </c>
      <c r="H162">
        <v>42.339000701904297</v>
      </c>
      <c r="I162" s="156" t="s">
        <v>651</v>
      </c>
      <c r="J162" s="22">
        <v>45544</v>
      </c>
      <c r="L162">
        <v>9.5110015869140625</v>
      </c>
      <c r="M162">
        <v>0.28972224452665651</v>
      </c>
      <c r="N162">
        <v>7.6819992065429688</v>
      </c>
      <c r="O162">
        <v>10.291999816894529</v>
      </c>
      <c r="P162" s="156" t="s">
        <v>583</v>
      </c>
      <c r="Q162">
        <v>2023</v>
      </c>
    </row>
    <row r="163" spans="1:17" hidden="1" x14ac:dyDescent="0.35">
      <c r="A163" s="156" t="s">
        <v>652</v>
      </c>
      <c r="B163" s="22">
        <v>45231</v>
      </c>
      <c r="C163">
        <v>42.962001800537109</v>
      </c>
      <c r="D163">
        <v>53.520999908447273</v>
      </c>
      <c r="E163">
        <v>41.236000061035163</v>
      </c>
      <c r="F163">
        <v>49.830001831054688</v>
      </c>
      <c r="G163">
        <v>210076000</v>
      </c>
      <c r="H163">
        <v>49.830001831054688</v>
      </c>
      <c r="I163" s="156" t="s">
        <v>651</v>
      </c>
      <c r="J163" s="22">
        <v>45544</v>
      </c>
      <c r="L163">
        <v>7.4910011291503906</v>
      </c>
      <c r="M163">
        <v>0.17692909622246861</v>
      </c>
      <c r="N163">
        <v>6.8680000305175781</v>
      </c>
      <c r="O163">
        <v>10.55899810791016</v>
      </c>
      <c r="P163" s="156" t="s">
        <v>581</v>
      </c>
      <c r="Q163">
        <v>2023</v>
      </c>
    </row>
    <row r="164" spans="1:17" hidden="1" x14ac:dyDescent="0.35">
      <c r="A164" s="156" t="s">
        <v>652</v>
      </c>
      <c r="B164" s="22">
        <v>45261</v>
      </c>
      <c r="C164">
        <v>50.353000640869141</v>
      </c>
      <c r="D164">
        <v>68.93499755859375</v>
      </c>
      <c r="E164">
        <v>50.337001800537109</v>
      </c>
      <c r="F164">
        <v>63.161998748779297</v>
      </c>
      <c r="G164">
        <v>235900000</v>
      </c>
      <c r="H164">
        <v>63.161998748779297</v>
      </c>
      <c r="I164" s="156" t="s">
        <v>651</v>
      </c>
      <c r="J164" s="22">
        <v>45544</v>
      </c>
      <c r="L164">
        <v>13.331996917724609</v>
      </c>
      <c r="M164">
        <v>0.26754959718696902</v>
      </c>
      <c r="N164">
        <v>12.80899810791016</v>
      </c>
      <c r="O164">
        <v>18.581996917724609</v>
      </c>
      <c r="P164" s="156" t="s">
        <v>584</v>
      </c>
      <c r="Q164">
        <v>2023</v>
      </c>
    </row>
    <row r="165" spans="1:17" hidden="1" x14ac:dyDescent="0.35">
      <c r="A165" s="156" t="s">
        <v>654</v>
      </c>
      <c r="B165" s="22">
        <v>43466</v>
      </c>
      <c r="C165">
        <v>35.349998474121087</v>
      </c>
      <c r="D165">
        <v>41.689998626708977</v>
      </c>
      <c r="E165">
        <v>33.900001525878913</v>
      </c>
      <c r="F165">
        <v>40.009998321533203</v>
      </c>
      <c r="G165">
        <v>3682200</v>
      </c>
      <c r="H165">
        <v>36.794391632080078</v>
      </c>
      <c r="I165" s="156" t="s">
        <v>653</v>
      </c>
      <c r="J165" s="22">
        <v>45544</v>
      </c>
      <c r="K165">
        <v>0</v>
      </c>
      <c r="N165">
        <v>4.6599998474121094</v>
      </c>
      <c r="O165">
        <v>6.3400001525878906</v>
      </c>
      <c r="P165" s="156" t="s">
        <v>586</v>
      </c>
      <c r="Q165">
        <v>2019</v>
      </c>
    </row>
    <row r="166" spans="1:17" hidden="1" x14ac:dyDescent="0.35">
      <c r="A166" s="156" t="s">
        <v>654</v>
      </c>
      <c r="B166" s="22">
        <v>43497</v>
      </c>
      <c r="C166">
        <v>40.009998321533203</v>
      </c>
      <c r="D166">
        <v>50.090000152587891</v>
      </c>
      <c r="E166">
        <v>38.779998779296882</v>
      </c>
      <c r="F166">
        <v>46.330001831054688</v>
      </c>
      <c r="G166">
        <v>4713200</v>
      </c>
      <c r="H166">
        <v>42.606460571289063</v>
      </c>
      <c r="I166" s="156" t="s">
        <v>653</v>
      </c>
      <c r="J166" s="22">
        <v>45544</v>
      </c>
      <c r="K166">
        <v>0</v>
      </c>
      <c r="L166">
        <v>5.8120689392089844</v>
      </c>
      <c r="M166">
        <v>0.15796060421527411</v>
      </c>
      <c r="N166">
        <v>6.3200035095214844</v>
      </c>
      <c r="O166">
        <v>10.080001831054689</v>
      </c>
      <c r="P166" s="156" t="s">
        <v>584</v>
      </c>
      <c r="Q166">
        <v>2019</v>
      </c>
    </row>
    <row r="167" spans="1:17" hidden="1" x14ac:dyDescent="0.35">
      <c r="A167" s="156" t="s">
        <v>654</v>
      </c>
      <c r="B167" s="22">
        <v>43525</v>
      </c>
      <c r="C167">
        <v>46.639999389648438</v>
      </c>
      <c r="D167">
        <v>48.139999389648438</v>
      </c>
      <c r="E167">
        <v>44.740001678466797</v>
      </c>
      <c r="F167">
        <v>46.630001068115227</v>
      </c>
      <c r="G167">
        <v>5263500</v>
      </c>
      <c r="H167">
        <v>42.882354736328118</v>
      </c>
      <c r="I167" s="156" t="s">
        <v>653</v>
      </c>
      <c r="J167" s="22">
        <v>45544</v>
      </c>
      <c r="K167">
        <v>0</v>
      </c>
      <c r="L167">
        <v>0.2758941650390625</v>
      </c>
      <c r="M167">
        <v>6.4752692683784918E-3</v>
      </c>
      <c r="N167">
        <v>-9.998321533203125E-3</v>
      </c>
      <c r="O167">
        <v>1.5</v>
      </c>
      <c r="P167" s="156" t="s">
        <v>584</v>
      </c>
      <c r="Q167">
        <v>2019</v>
      </c>
    </row>
    <row r="168" spans="1:17" hidden="1" x14ac:dyDescent="0.35">
      <c r="A168" s="156" t="s">
        <v>654</v>
      </c>
      <c r="B168" s="22">
        <v>43556</v>
      </c>
      <c r="C168">
        <v>47</v>
      </c>
      <c r="D168">
        <v>48.340000152587891</v>
      </c>
      <c r="E168">
        <v>37.900001525878913</v>
      </c>
      <c r="F168">
        <v>40.450000762939453</v>
      </c>
      <c r="G168">
        <v>4442200</v>
      </c>
      <c r="H168">
        <v>37.199028015136719</v>
      </c>
      <c r="I168" s="156" t="s">
        <v>653</v>
      </c>
      <c r="J168" s="22">
        <v>45544</v>
      </c>
      <c r="K168">
        <v>0</v>
      </c>
      <c r="L168">
        <v>-5.6833267211914063</v>
      </c>
      <c r="M168">
        <v>-0.13253270777644391</v>
      </c>
      <c r="N168">
        <v>-6.5499992370605469</v>
      </c>
      <c r="O168">
        <v>1.3400001525878911</v>
      </c>
      <c r="P168" s="156" t="s">
        <v>585</v>
      </c>
      <c r="Q168">
        <v>2019</v>
      </c>
    </row>
    <row r="169" spans="1:17" hidden="1" x14ac:dyDescent="0.35">
      <c r="A169" s="156" t="s">
        <v>654</v>
      </c>
      <c r="B169" s="22">
        <v>43586</v>
      </c>
      <c r="C169">
        <v>40.689998626708977</v>
      </c>
      <c r="D169">
        <v>41.150001525878913</v>
      </c>
      <c r="E169">
        <v>37.439998626708977</v>
      </c>
      <c r="F169">
        <v>38.060001373291023</v>
      </c>
      <c r="G169">
        <v>4204600</v>
      </c>
      <c r="H169">
        <v>35.001113891601563</v>
      </c>
      <c r="I169" s="156" t="s">
        <v>653</v>
      </c>
      <c r="J169" s="22">
        <v>45544</v>
      </c>
      <c r="K169">
        <v>0</v>
      </c>
      <c r="L169">
        <v>-2.1979141235351558</v>
      </c>
      <c r="M169">
        <v>-5.9085274278614319E-2</v>
      </c>
      <c r="N169">
        <v>-2.6299972534179692</v>
      </c>
      <c r="O169">
        <v>0.46000289916992188</v>
      </c>
      <c r="P169" s="156" t="s">
        <v>581</v>
      </c>
      <c r="Q169">
        <v>2019</v>
      </c>
    </row>
    <row r="170" spans="1:17" hidden="1" x14ac:dyDescent="0.35">
      <c r="A170" s="156" t="s">
        <v>654</v>
      </c>
      <c r="B170" s="22">
        <v>43617</v>
      </c>
      <c r="C170">
        <v>38.020000457763672</v>
      </c>
      <c r="D170">
        <v>40.560001373291023</v>
      </c>
      <c r="E170">
        <v>37.240001678466797</v>
      </c>
      <c r="F170">
        <v>39.189998626708977</v>
      </c>
      <c r="G170">
        <v>3020100</v>
      </c>
      <c r="H170">
        <v>36.040298461914063</v>
      </c>
      <c r="I170" s="156" t="s">
        <v>653</v>
      </c>
      <c r="J170" s="22">
        <v>45544</v>
      </c>
      <c r="K170">
        <v>0</v>
      </c>
      <c r="L170">
        <v>1.0391845703125</v>
      </c>
      <c r="M170">
        <v>2.9689889980165859E-2</v>
      </c>
      <c r="N170">
        <v>1.1699981689453121</v>
      </c>
      <c r="O170">
        <v>2.5400009155273442</v>
      </c>
      <c r="P170" s="156" t="s">
        <v>582</v>
      </c>
      <c r="Q170">
        <v>2019</v>
      </c>
    </row>
    <row r="171" spans="1:17" hidden="1" x14ac:dyDescent="0.35">
      <c r="A171" s="156" t="s">
        <v>654</v>
      </c>
      <c r="B171" s="22">
        <v>43647</v>
      </c>
      <c r="C171">
        <v>39.75</v>
      </c>
      <c r="D171">
        <v>40.319999694824219</v>
      </c>
      <c r="E171">
        <v>36.900001525878913</v>
      </c>
      <c r="F171">
        <v>38.369998931884773</v>
      </c>
      <c r="G171">
        <v>3628100</v>
      </c>
      <c r="H171">
        <v>35.286197662353523</v>
      </c>
      <c r="I171" s="156" t="s">
        <v>653</v>
      </c>
      <c r="J171" s="22">
        <v>45544</v>
      </c>
      <c r="K171">
        <v>0</v>
      </c>
      <c r="L171">
        <v>-0.75410079956054688</v>
      </c>
      <c r="M171">
        <v>-2.092369797291516E-2</v>
      </c>
      <c r="N171">
        <v>-1.3800010681152339</v>
      </c>
      <c r="O171">
        <v>0.56999969482421875</v>
      </c>
      <c r="P171" s="156" t="s">
        <v>585</v>
      </c>
      <c r="Q171">
        <v>2019</v>
      </c>
    </row>
    <row r="172" spans="1:17" hidden="1" x14ac:dyDescent="0.35">
      <c r="A172" s="156" t="s">
        <v>654</v>
      </c>
      <c r="B172" s="22">
        <v>43678</v>
      </c>
      <c r="C172">
        <v>38.430000305175781</v>
      </c>
      <c r="D172">
        <v>39.409999847412109</v>
      </c>
      <c r="E172">
        <v>33.259998321533203</v>
      </c>
      <c r="F172">
        <v>35.110000610351563</v>
      </c>
      <c r="G172">
        <v>5580400</v>
      </c>
      <c r="H172">
        <v>32.288204193115227</v>
      </c>
      <c r="I172" s="156" t="s">
        <v>653</v>
      </c>
      <c r="J172" s="22">
        <v>45544</v>
      </c>
      <c r="K172">
        <v>0</v>
      </c>
      <c r="L172">
        <v>-2.9979934692382808</v>
      </c>
      <c r="M172">
        <v>-8.4962168680807637E-2</v>
      </c>
      <c r="N172">
        <v>-3.3199996948242192</v>
      </c>
      <c r="O172">
        <v>0.97999954223632813</v>
      </c>
      <c r="P172" s="156" t="s">
        <v>587</v>
      </c>
      <c r="Q172">
        <v>2019</v>
      </c>
    </row>
    <row r="173" spans="1:17" hidden="1" x14ac:dyDescent="0.35">
      <c r="A173" s="156" t="s">
        <v>654</v>
      </c>
      <c r="B173" s="22">
        <v>43709</v>
      </c>
      <c r="C173">
        <v>34.880001068115227</v>
      </c>
      <c r="D173">
        <v>38.330001831054688</v>
      </c>
      <c r="E173">
        <v>33.75</v>
      </c>
      <c r="F173">
        <v>36.119998931884773</v>
      </c>
      <c r="G173">
        <v>3396300</v>
      </c>
      <c r="H173">
        <v>33.217029571533203</v>
      </c>
      <c r="I173" s="156" t="s">
        <v>653</v>
      </c>
      <c r="J173" s="22">
        <v>45544</v>
      </c>
      <c r="K173">
        <v>0</v>
      </c>
      <c r="L173">
        <v>0.92882537841796875</v>
      </c>
      <c r="M173">
        <v>2.8766684818439581E-2</v>
      </c>
      <c r="N173">
        <v>1.239997863769531</v>
      </c>
      <c r="O173">
        <v>3.4500007629394531</v>
      </c>
      <c r="P173" s="156" t="s">
        <v>583</v>
      </c>
      <c r="Q173">
        <v>2019</v>
      </c>
    </row>
    <row r="174" spans="1:17" hidden="1" x14ac:dyDescent="0.35">
      <c r="A174" s="156" t="s">
        <v>654</v>
      </c>
      <c r="B174" s="22">
        <v>43739</v>
      </c>
      <c r="C174">
        <v>36.340000152587891</v>
      </c>
      <c r="D174">
        <v>41.439998626708977</v>
      </c>
      <c r="E174">
        <v>33.930000305175781</v>
      </c>
      <c r="F174">
        <v>40.580001831054688</v>
      </c>
      <c r="G174">
        <v>4903600</v>
      </c>
      <c r="H174">
        <v>37.318588256835938</v>
      </c>
      <c r="I174" s="156" t="s">
        <v>653</v>
      </c>
      <c r="J174" s="22">
        <v>45544</v>
      </c>
      <c r="K174">
        <v>0</v>
      </c>
      <c r="L174">
        <v>4.1015586853027344</v>
      </c>
      <c r="M174">
        <v>0.1234773818122368</v>
      </c>
      <c r="N174">
        <v>4.2400016784667969</v>
      </c>
      <c r="O174">
        <v>5.0999984741210938</v>
      </c>
      <c r="P174" s="156" t="s">
        <v>586</v>
      </c>
      <c r="Q174">
        <v>2019</v>
      </c>
    </row>
    <row r="175" spans="1:17" hidden="1" x14ac:dyDescent="0.35">
      <c r="A175" s="156" t="s">
        <v>654</v>
      </c>
      <c r="B175" s="22">
        <v>43770</v>
      </c>
      <c r="C175">
        <v>40.779998779296882</v>
      </c>
      <c r="D175">
        <v>45.979999542236328</v>
      </c>
      <c r="E175">
        <v>40.279998779296882</v>
      </c>
      <c r="F175">
        <v>41.580001831054688</v>
      </c>
      <c r="G175">
        <v>6193100</v>
      </c>
      <c r="H175">
        <v>38.238216400146477</v>
      </c>
      <c r="I175" s="156" t="s">
        <v>653</v>
      </c>
      <c r="J175" s="22">
        <v>45544</v>
      </c>
      <c r="K175">
        <v>0</v>
      </c>
      <c r="L175">
        <v>0.91962814331054688</v>
      </c>
      <c r="M175">
        <v>2.4642680011776941E-2</v>
      </c>
      <c r="N175">
        <v>0.8000030517578125</v>
      </c>
      <c r="O175">
        <v>5.2000007629394531</v>
      </c>
      <c r="P175" s="156" t="s">
        <v>584</v>
      </c>
      <c r="Q175">
        <v>2019</v>
      </c>
    </row>
    <row r="176" spans="1:17" hidden="1" x14ac:dyDescent="0.35">
      <c r="A176" s="156" t="s">
        <v>654</v>
      </c>
      <c r="B176" s="22">
        <v>43800</v>
      </c>
      <c r="C176">
        <v>41.720001220703118</v>
      </c>
      <c r="D176">
        <v>44.130001068115227</v>
      </c>
      <c r="E176">
        <v>41.009998321533203</v>
      </c>
      <c r="F176">
        <v>42.880001068115227</v>
      </c>
      <c r="G176">
        <v>3462500</v>
      </c>
      <c r="H176">
        <v>39.433727264404297</v>
      </c>
      <c r="I176" s="156" t="s">
        <v>653</v>
      </c>
      <c r="J176" s="22">
        <v>45544</v>
      </c>
      <c r="K176">
        <v>0</v>
      </c>
      <c r="L176">
        <v>1.1955108642578121</v>
      </c>
      <c r="M176">
        <v>3.1265011539504561E-2</v>
      </c>
      <c r="N176">
        <v>1.1599998474121089</v>
      </c>
      <c r="O176">
        <v>2.4099998474121089</v>
      </c>
      <c r="P176" s="156" t="s">
        <v>583</v>
      </c>
      <c r="Q176">
        <v>2019</v>
      </c>
    </row>
    <row r="177" spans="1:17" hidden="1" x14ac:dyDescent="0.35">
      <c r="A177" s="156" t="s">
        <v>654</v>
      </c>
      <c r="B177" s="22">
        <v>43831</v>
      </c>
      <c r="C177">
        <v>43.110000610351563</v>
      </c>
      <c r="D177">
        <v>45.319999694824219</v>
      </c>
      <c r="E177">
        <v>42.060001373291023</v>
      </c>
      <c r="F177">
        <v>43.330001831054688</v>
      </c>
      <c r="G177">
        <v>2534200</v>
      </c>
      <c r="H177">
        <v>39.847568511962891</v>
      </c>
      <c r="I177" s="156" t="s">
        <v>653</v>
      </c>
      <c r="J177" s="22">
        <v>45544</v>
      </c>
      <c r="K177">
        <v>0</v>
      </c>
      <c r="L177">
        <v>0.41384124755859381</v>
      </c>
      <c r="M177">
        <v>1.049442051609617E-2</v>
      </c>
      <c r="N177">
        <v>0.220001220703125</v>
      </c>
      <c r="O177">
        <v>2.2099990844726558</v>
      </c>
      <c r="P177" s="156" t="s">
        <v>581</v>
      </c>
      <c r="Q177">
        <v>2020</v>
      </c>
    </row>
    <row r="178" spans="1:17" hidden="1" x14ac:dyDescent="0.35">
      <c r="A178" s="156" t="s">
        <v>654</v>
      </c>
      <c r="B178" s="22">
        <v>43862</v>
      </c>
      <c r="C178">
        <v>43.529998779296882</v>
      </c>
      <c r="D178">
        <v>45.090000152587891</v>
      </c>
      <c r="E178">
        <v>37.619998931884773</v>
      </c>
      <c r="F178">
        <v>38.540000915527337</v>
      </c>
      <c r="G178">
        <v>3919500</v>
      </c>
      <c r="H178">
        <v>35.442543029785163</v>
      </c>
      <c r="I178" s="156" t="s">
        <v>653</v>
      </c>
      <c r="J178" s="22">
        <v>45544</v>
      </c>
      <c r="K178">
        <v>0</v>
      </c>
      <c r="L178">
        <v>-4.4050254821777344</v>
      </c>
      <c r="M178">
        <v>-0.1105469816088108</v>
      </c>
      <c r="N178">
        <v>-4.9899978637695313</v>
      </c>
      <c r="O178">
        <v>1.5600013732910161</v>
      </c>
      <c r="P178" s="156" t="s">
        <v>582</v>
      </c>
      <c r="Q178">
        <v>2020</v>
      </c>
    </row>
    <row r="179" spans="1:17" hidden="1" x14ac:dyDescent="0.35">
      <c r="A179" s="156" t="s">
        <v>654</v>
      </c>
      <c r="B179" s="22">
        <v>43891</v>
      </c>
      <c r="C179">
        <v>38.810001373291023</v>
      </c>
      <c r="D179">
        <v>39.479999542236328</v>
      </c>
      <c r="E179">
        <v>28.760000228881839</v>
      </c>
      <c r="F179">
        <v>32.159999847412109</v>
      </c>
      <c r="G179">
        <v>7928700</v>
      </c>
      <c r="H179">
        <v>29.575302124023441</v>
      </c>
      <c r="I179" s="156" t="s">
        <v>653</v>
      </c>
      <c r="J179" s="22">
        <v>45544</v>
      </c>
      <c r="K179">
        <v>0.17</v>
      </c>
      <c r="L179">
        <v>-5.8672409057617188</v>
      </c>
      <c r="M179">
        <v>-0.1655423175027689</v>
      </c>
      <c r="N179">
        <v>-6.6500015258789063</v>
      </c>
      <c r="O179">
        <v>0.6699981689453125</v>
      </c>
      <c r="P179" s="156" t="s">
        <v>583</v>
      </c>
      <c r="Q179">
        <v>2020</v>
      </c>
    </row>
    <row r="180" spans="1:17" hidden="1" x14ac:dyDescent="0.35">
      <c r="A180" s="156" t="s">
        <v>654</v>
      </c>
      <c r="B180" s="22">
        <v>43922</v>
      </c>
      <c r="C180">
        <v>31.379999160766602</v>
      </c>
      <c r="D180">
        <v>39.860000610351563</v>
      </c>
      <c r="E180">
        <v>29.110000610351559</v>
      </c>
      <c r="F180">
        <v>38</v>
      </c>
      <c r="G180">
        <v>5528300</v>
      </c>
      <c r="H180">
        <v>35.104393005371087</v>
      </c>
      <c r="I180" s="156" t="s">
        <v>653</v>
      </c>
      <c r="J180" s="22">
        <v>45544</v>
      </c>
      <c r="K180">
        <v>0</v>
      </c>
      <c r="L180">
        <v>5.5290908813476563</v>
      </c>
      <c r="M180">
        <v>0.1815920454072337</v>
      </c>
      <c r="N180">
        <v>6.6200008392333984</v>
      </c>
      <c r="O180">
        <v>8.4800014495849609</v>
      </c>
      <c r="P180" s="156" t="s">
        <v>581</v>
      </c>
      <c r="Q180">
        <v>2020</v>
      </c>
    </row>
    <row r="181" spans="1:17" hidden="1" x14ac:dyDescent="0.35">
      <c r="A181" s="156" t="s">
        <v>654</v>
      </c>
      <c r="B181" s="22">
        <v>43952</v>
      </c>
      <c r="C181">
        <v>37.020000457763672</v>
      </c>
      <c r="D181">
        <v>38.330001831054688</v>
      </c>
      <c r="E181">
        <v>34.5</v>
      </c>
      <c r="F181">
        <v>37.919998168945313</v>
      </c>
      <c r="G181">
        <v>4721800</v>
      </c>
      <c r="H181">
        <v>35.030490875244141</v>
      </c>
      <c r="I181" s="156" t="s">
        <v>653</v>
      </c>
      <c r="J181" s="22">
        <v>45544</v>
      </c>
      <c r="K181">
        <v>0</v>
      </c>
      <c r="L181">
        <v>-7.3902130126953125E-2</v>
      </c>
      <c r="M181">
        <v>-2.1053113435444142E-3</v>
      </c>
      <c r="N181">
        <v>0.89999771118164063</v>
      </c>
      <c r="O181">
        <v>1.3100013732910161</v>
      </c>
      <c r="P181" s="156" t="s">
        <v>584</v>
      </c>
      <c r="Q181">
        <v>2020</v>
      </c>
    </row>
    <row r="182" spans="1:17" hidden="1" x14ac:dyDescent="0.35">
      <c r="A182" s="156" t="s">
        <v>654</v>
      </c>
      <c r="B182" s="22">
        <v>43983</v>
      </c>
      <c r="C182">
        <v>37.860000610351563</v>
      </c>
      <c r="D182">
        <v>39.130001068115227</v>
      </c>
      <c r="E182">
        <v>33.450000762939453</v>
      </c>
      <c r="F182">
        <v>34.970001220703118</v>
      </c>
      <c r="G182">
        <v>4530400</v>
      </c>
      <c r="H182">
        <v>32.305294036865227</v>
      </c>
      <c r="I182" s="156" t="s">
        <v>653</v>
      </c>
      <c r="J182" s="22">
        <v>45544</v>
      </c>
      <c r="K182">
        <v>0.17</v>
      </c>
      <c r="L182">
        <v>-2.7251968383789058</v>
      </c>
      <c r="M182">
        <v>-7.7795281927468429E-2</v>
      </c>
      <c r="N182">
        <v>-2.8899993896484379</v>
      </c>
      <c r="O182">
        <v>1.2700004577636721</v>
      </c>
      <c r="P182" s="156" t="s">
        <v>585</v>
      </c>
      <c r="Q182">
        <v>2020</v>
      </c>
    </row>
    <row r="183" spans="1:17" hidden="1" x14ac:dyDescent="0.35">
      <c r="A183" s="156" t="s">
        <v>654</v>
      </c>
      <c r="B183" s="22">
        <v>44013</v>
      </c>
      <c r="C183">
        <v>34.959999084472663</v>
      </c>
      <c r="D183">
        <v>54.819999694824219</v>
      </c>
      <c r="E183">
        <v>34.740001678466797</v>
      </c>
      <c r="F183">
        <v>54.340000152587891</v>
      </c>
      <c r="G183">
        <v>6218300</v>
      </c>
      <c r="H183">
        <v>50.431507110595703</v>
      </c>
      <c r="I183" s="156" t="s">
        <v>653</v>
      </c>
      <c r="J183" s="22">
        <v>45544</v>
      </c>
      <c r="K183">
        <v>0</v>
      </c>
      <c r="L183">
        <v>18.126213073730469</v>
      </c>
      <c r="M183">
        <v>0.55390329584596176</v>
      </c>
      <c r="N183">
        <v>19.380001068115231</v>
      </c>
      <c r="O183">
        <v>19.860000610351559</v>
      </c>
      <c r="P183" s="156" t="s">
        <v>581</v>
      </c>
      <c r="Q183">
        <v>2020</v>
      </c>
    </row>
    <row r="184" spans="1:17" hidden="1" x14ac:dyDescent="0.35">
      <c r="A184" s="156" t="s">
        <v>654</v>
      </c>
      <c r="B184" s="22">
        <v>44044</v>
      </c>
      <c r="C184">
        <v>54.310001373291023</v>
      </c>
      <c r="D184">
        <v>59.450000762939453</v>
      </c>
      <c r="E184">
        <v>46.340000152587891</v>
      </c>
      <c r="F184">
        <v>50.319999694824219</v>
      </c>
      <c r="G184">
        <v>9750700</v>
      </c>
      <c r="H184">
        <v>46.700660705566413</v>
      </c>
      <c r="I184" s="156" t="s">
        <v>653</v>
      </c>
      <c r="J184" s="22">
        <v>45544</v>
      </c>
      <c r="K184">
        <v>0</v>
      </c>
      <c r="L184">
        <v>-3.7308464050292969</v>
      </c>
      <c r="M184">
        <v>-7.3978661142352298E-2</v>
      </c>
      <c r="N184">
        <v>-3.9900016784667969</v>
      </c>
      <c r="O184">
        <v>5.1399993896484384</v>
      </c>
      <c r="P184" s="156" t="s">
        <v>582</v>
      </c>
      <c r="Q184">
        <v>2020</v>
      </c>
    </row>
    <row r="185" spans="1:17" hidden="1" x14ac:dyDescent="0.35">
      <c r="A185" s="156" t="s">
        <v>654</v>
      </c>
      <c r="B185" s="22">
        <v>44075</v>
      </c>
      <c r="C185">
        <v>51</v>
      </c>
      <c r="D185">
        <v>54.490001678466797</v>
      </c>
      <c r="E185">
        <v>45.700000762939453</v>
      </c>
      <c r="F185">
        <v>52.040000915527337</v>
      </c>
      <c r="G185">
        <v>7561900</v>
      </c>
      <c r="H185">
        <v>48.296947479248047</v>
      </c>
      <c r="I185" s="156" t="s">
        <v>653</v>
      </c>
      <c r="J185" s="22">
        <v>45544</v>
      </c>
      <c r="K185">
        <v>0.17</v>
      </c>
      <c r="L185">
        <v>1.5962867736816411</v>
      </c>
      <c r="M185">
        <v>3.4181264529698392E-2</v>
      </c>
      <c r="N185">
        <v>1.040000915527344</v>
      </c>
      <c r="O185">
        <v>3.4900016784667969</v>
      </c>
      <c r="P185" s="156" t="s">
        <v>586</v>
      </c>
      <c r="Q185">
        <v>2020</v>
      </c>
    </row>
    <row r="186" spans="1:17" hidden="1" x14ac:dyDescent="0.35">
      <c r="A186" s="156" t="s">
        <v>654</v>
      </c>
      <c r="B186" s="22">
        <v>44105</v>
      </c>
      <c r="C186">
        <v>52.290000915527337</v>
      </c>
      <c r="D186">
        <v>71.44000244140625</v>
      </c>
      <c r="E186">
        <v>51.409999847412109</v>
      </c>
      <c r="F186">
        <v>65.449996948242188</v>
      </c>
      <c r="G186">
        <v>7661600</v>
      </c>
      <c r="H186">
        <v>60.942527770996087</v>
      </c>
      <c r="I186" s="156" t="s">
        <v>653</v>
      </c>
      <c r="J186" s="22">
        <v>45544</v>
      </c>
      <c r="K186">
        <v>0</v>
      </c>
      <c r="L186">
        <v>12.64558029174805</v>
      </c>
      <c r="M186">
        <v>0.25768631431199029</v>
      </c>
      <c r="N186">
        <v>13.15999603271484</v>
      </c>
      <c r="O186">
        <v>19.15000152587891</v>
      </c>
      <c r="P186" s="156" t="s">
        <v>587</v>
      </c>
      <c r="Q186">
        <v>2020</v>
      </c>
    </row>
    <row r="187" spans="1:17" hidden="1" x14ac:dyDescent="0.35">
      <c r="A187" s="156" t="s">
        <v>654</v>
      </c>
      <c r="B187" s="22">
        <v>44136</v>
      </c>
      <c r="C187">
        <v>65.760002136230469</v>
      </c>
      <c r="D187">
        <v>71.970001220703125</v>
      </c>
      <c r="E187">
        <v>63.310001373291023</v>
      </c>
      <c r="F187">
        <v>68.760002136230469</v>
      </c>
      <c r="G187">
        <v>5702400</v>
      </c>
      <c r="H187">
        <v>64.024581909179688</v>
      </c>
      <c r="I187" s="156" t="s">
        <v>653</v>
      </c>
      <c r="J187" s="22">
        <v>45544</v>
      </c>
      <c r="K187">
        <v>0</v>
      </c>
      <c r="L187">
        <v>3.0820541381835942</v>
      </c>
      <c r="M187">
        <v>5.0573038079831052E-2</v>
      </c>
      <c r="N187">
        <v>3</v>
      </c>
      <c r="O187">
        <v>6.2099990844726563</v>
      </c>
      <c r="P187" s="156" t="s">
        <v>583</v>
      </c>
      <c r="Q187">
        <v>2020</v>
      </c>
    </row>
    <row r="188" spans="1:17" hidden="1" x14ac:dyDescent="0.35">
      <c r="A188" s="156" t="s">
        <v>654</v>
      </c>
      <c r="B188" s="22">
        <v>44166</v>
      </c>
      <c r="C188">
        <v>70.050003051757813</v>
      </c>
      <c r="D188">
        <v>74.260002136230469</v>
      </c>
      <c r="E188">
        <v>65.830001831054688</v>
      </c>
      <c r="F188">
        <v>71.699996948242188</v>
      </c>
      <c r="G188">
        <v>7882600</v>
      </c>
      <c r="H188">
        <v>66.762092590332031</v>
      </c>
      <c r="I188" s="156" t="s">
        <v>653</v>
      </c>
      <c r="J188" s="22">
        <v>45544</v>
      </c>
      <c r="K188">
        <v>0.17</v>
      </c>
      <c r="L188">
        <v>2.7375106811523442</v>
      </c>
      <c r="M188">
        <v>4.2757340323911867E-2</v>
      </c>
      <c r="N188">
        <v>1.649993896484375</v>
      </c>
      <c r="O188">
        <v>4.2099990844726563</v>
      </c>
      <c r="P188" s="156" t="s">
        <v>586</v>
      </c>
      <c r="Q188">
        <v>2020</v>
      </c>
    </row>
    <row r="189" spans="1:17" hidden="1" x14ac:dyDescent="0.35">
      <c r="A189" s="156" t="s">
        <v>654</v>
      </c>
      <c r="B189" s="22">
        <v>44197</v>
      </c>
      <c r="C189">
        <v>72.739997863769531</v>
      </c>
      <c r="D189">
        <v>77.069999694824219</v>
      </c>
      <c r="E189">
        <v>64.980003356933594</v>
      </c>
      <c r="F189">
        <v>64.989997863769531</v>
      </c>
      <c r="G189">
        <v>5732700</v>
      </c>
      <c r="H189">
        <v>60.660602569580078</v>
      </c>
      <c r="I189" s="156" t="s">
        <v>653</v>
      </c>
      <c r="J189" s="22">
        <v>45544</v>
      </c>
      <c r="K189">
        <v>0</v>
      </c>
      <c r="L189">
        <v>-6.1014900207519531</v>
      </c>
      <c r="M189">
        <v>-9.3584370572796227E-2</v>
      </c>
      <c r="N189">
        <v>-7.75</v>
      </c>
      <c r="O189">
        <v>4.3300018310546884</v>
      </c>
      <c r="P189" s="156" t="s">
        <v>584</v>
      </c>
      <c r="Q189">
        <v>2021</v>
      </c>
    </row>
    <row r="190" spans="1:17" hidden="1" x14ac:dyDescent="0.35">
      <c r="A190" s="156" t="s">
        <v>654</v>
      </c>
      <c r="B190" s="22">
        <v>44228</v>
      </c>
      <c r="C190">
        <v>65.30999755859375</v>
      </c>
      <c r="D190">
        <v>96.5</v>
      </c>
      <c r="E190">
        <v>62.209999084472663</v>
      </c>
      <c r="F190">
        <v>88.230003356933594</v>
      </c>
      <c r="G190">
        <v>7679500</v>
      </c>
      <c r="H190">
        <v>82.352455139160156</v>
      </c>
      <c r="I190" s="156" t="s">
        <v>653</v>
      </c>
      <c r="J190" s="22">
        <v>45544</v>
      </c>
      <c r="K190">
        <v>0</v>
      </c>
      <c r="L190">
        <v>21.691852569580082</v>
      </c>
      <c r="M190">
        <v>0.35759357219674343</v>
      </c>
      <c r="N190">
        <v>22.92000579833984</v>
      </c>
      <c r="O190">
        <v>31.19000244140625</v>
      </c>
      <c r="P190" s="156" t="s">
        <v>585</v>
      </c>
      <c r="Q190">
        <v>2021</v>
      </c>
    </row>
    <row r="191" spans="1:17" hidden="1" x14ac:dyDescent="0.35">
      <c r="A191" s="156" t="s">
        <v>654</v>
      </c>
      <c r="B191" s="22">
        <v>44256</v>
      </c>
      <c r="C191">
        <v>89.470001220703125</v>
      </c>
      <c r="D191">
        <v>95.290000915527344</v>
      </c>
      <c r="E191">
        <v>79.150001525878906</v>
      </c>
      <c r="F191">
        <v>89.040000915527344</v>
      </c>
      <c r="G191">
        <v>6816200</v>
      </c>
      <c r="H191">
        <v>83.108489990234375</v>
      </c>
      <c r="I191" s="156" t="s">
        <v>653</v>
      </c>
      <c r="J191" s="22">
        <v>45544</v>
      </c>
      <c r="K191">
        <v>0.21</v>
      </c>
      <c r="L191">
        <v>0.75603485107421875</v>
      </c>
      <c r="M191">
        <v>9.1805228128227778E-3</v>
      </c>
      <c r="N191">
        <v>-0.43000030517578119</v>
      </c>
      <c r="O191">
        <v>5.8199996948242188</v>
      </c>
      <c r="P191" s="156" t="s">
        <v>585</v>
      </c>
      <c r="Q191">
        <v>2021</v>
      </c>
    </row>
    <row r="192" spans="1:17" hidden="1" x14ac:dyDescent="0.35">
      <c r="A192" s="156" t="s">
        <v>654</v>
      </c>
      <c r="B192" s="22">
        <v>44287</v>
      </c>
      <c r="C192">
        <v>89.470001220703125</v>
      </c>
      <c r="D192">
        <v>104.5699996948242</v>
      </c>
      <c r="E192">
        <v>86.349998474121094</v>
      </c>
      <c r="F192">
        <v>87.180000305175781</v>
      </c>
      <c r="G192">
        <v>6392200</v>
      </c>
      <c r="H192">
        <v>81.571220397949219</v>
      </c>
      <c r="I192" s="156" t="s">
        <v>653</v>
      </c>
      <c r="J192" s="22">
        <v>45544</v>
      </c>
      <c r="K192">
        <v>0</v>
      </c>
      <c r="L192">
        <v>-1.537269592285156</v>
      </c>
      <c r="M192">
        <v>-2.088949451063182E-2</v>
      </c>
      <c r="N192">
        <v>-2.2900009155273442</v>
      </c>
      <c r="O192">
        <v>15.09999847412109</v>
      </c>
      <c r="P192" s="156" t="s">
        <v>587</v>
      </c>
      <c r="Q192">
        <v>2021</v>
      </c>
    </row>
    <row r="193" spans="1:17" hidden="1" x14ac:dyDescent="0.35">
      <c r="A193" s="156" t="s">
        <v>654</v>
      </c>
      <c r="B193" s="22">
        <v>44317</v>
      </c>
      <c r="C193">
        <v>88.260002136230469</v>
      </c>
      <c r="D193">
        <v>91.720001220703125</v>
      </c>
      <c r="E193">
        <v>77.379997253417969</v>
      </c>
      <c r="F193">
        <v>90.75</v>
      </c>
      <c r="G193">
        <v>6135000</v>
      </c>
      <c r="H193">
        <v>84.91156005859375</v>
      </c>
      <c r="I193" s="156" t="s">
        <v>653</v>
      </c>
      <c r="J193" s="22">
        <v>45544</v>
      </c>
      <c r="K193">
        <v>0</v>
      </c>
      <c r="L193">
        <v>3.3403396606445308</v>
      </c>
      <c r="M193">
        <v>4.0949755475193188E-2</v>
      </c>
      <c r="N193">
        <v>2.4899978637695308</v>
      </c>
      <c r="O193">
        <v>3.4599990844726558</v>
      </c>
      <c r="P193" s="156" t="s">
        <v>582</v>
      </c>
      <c r="Q193">
        <v>2021</v>
      </c>
    </row>
    <row r="194" spans="1:17" hidden="1" x14ac:dyDescent="0.35">
      <c r="A194" s="156" t="s">
        <v>654</v>
      </c>
      <c r="B194" s="22">
        <v>44348</v>
      </c>
      <c r="C194">
        <v>91.370002746582031</v>
      </c>
      <c r="D194">
        <v>104.3199996948242</v>
      </c>
      <c r="E194">
        <v>86.900001525878906</v>
      </c>
      <c r="F194">
        <v>98.169998168945313</v>
      </c>
      <c r="G194">
        <v>4590300</v>
      </c>
      <c r="H194">
        <v>91.854164123535156</v>
      </c>
      <c r="I194" s="156" t="s">
        <v>653</v>
      </c>
      <c r="J194" s="22">
        <v>45544</v>
      </c>
      <c r="K194">
        <v>0.21</v>
      </c>
      <c r="L194">
        <v>6.9426040649414063</v>
      </c>
      <c r="M194">
        <v>8.1763065222537845E-2</v>
      </c>
      <c r="N194">
        <v>6.7999954223632813</v>
      </c>
      <c r="O194">
        <v>12.949996948242189</v>
      </c>
      <c r="P194" s="156" t="s">
        <v>586</v>
      </c>
      <c r="Q194">
        <v>2021</v>
      </c>
    </row>
    <row r="195" spans="1:17" hidden="1" x14ac:dyDescent="0.35">
      <c r="A195" s="156" t="s">
        <v>654</v>
      </c>
      <c r="B195" s="22">
        <v>44378</v>
      </c>
      <c r="C195">
        <v>98.370002746582031</v>
      </c>
      <c r="D195">
        <v>108.9599990844727</v>
      </c>
      <c r="E195">
        <v>96.379997253417969</v>
      </c>
      <c r="F195">
        <v>108.4899978637695</v>
      </c>
      <c r="G195">
        <v>6087800</v>
      </c>
      <c r="H195">
        <v>101.73944091796881</v>
      </c>
      <c r="I195" s="156" t="s">
        <v>653</v>
      </c>
      <c r="J195" s="22">
        <v>45544</v>
      </c>
      <c r="K195">
        <v>0</v>
      </c>
      <c r="L195">
        <v>9.8852767944335938</v>
      </c>
      <c r="M195">
        <v>0.105123763749736</v>
      </c>
      <c r="N195">
        <v>10.1199951171875</v>
      </c>
      <c r="O195">
        <v>10.58999633789062</v>
      </c>
      <c r="P195" s="156" t="s">
        <v>587</v>
      </c>
      <c r="Q195">
        <v>2021</v>
      </c>
    </row>
    <row r="196" spans="1:17" hidden="1" x14ac:dyDescent="0.35">
      <c r="A196" s="156" t="s">
        <v>654</v>
      </c>
      <c r="B196" s="22">
        <v>44409</v>
      </c>
      <c r="C196">
        <v>108.90000152587891</v>
      </c>
      <c r="D196">
        <v>118.379997253418</v>
      </c>
      <c r="E196">
        <v>97.970001220703125</v>
      </c>
      <c r="F196">
        <v>115.2600021362305</v>
      </c>
      <c r="G196">
        <v>3954600</v>
      </c>
      <c r="H196">
        <v>108.0881881713867</v>
      </c>
      <c r="I196" s="156" t="s">
        <v>653</v>
      </c>
      <c r="J196" s="22">
        <v>45544</v>
      </c>
      <c r="K196">
        <v>0</v>
      </c>
      <c r="L196">
        <v>6.3487472534179688</v>
      </c>
      <c r="M196">
        <v>6.2402105316307743E-2</v>
      </c>
      <c r="N196">
        <v>6.3600006103515616</v>
      </c>
      <c r="O196">
        <v>9.4799957275390625</v>
      </c>
      <c r="P196" s="156" t="s">
        <v>583</v>
      </c>
      <c r="Q196">
        <v>2021</v>
      </c>
    </row>
    <row r="197" spans="1:17" hidden="1" x14ac:dyDescent="0.35">
      <c r="A197" s="156" t="s">
        <v>654</v>
      </c>
      <c r="B197" s="22">
        <v>44440</v>
      </c>
      <c r="C197">
        <v>115.65000152587891</v>
      </c>
      <c r="D197">
        <v>120.38999938964839</v>
      </c>
      <c r="E197">
        <v>108.120002746582</v>
      </c>
      <c r="F197">
        <v>113.3199996948242</v>
      </c>
      <c r="G197">
        <v>4711400</v>
      </c>
      <c r="H197">
        <v>106.2688903808594</v>
      </c>
      <c r="I197" s="156" t="s">
        <v>653</v>
      </c>
      <c r="J197" s="22">
        <v>45544</v>
      </c>
      <c r="K197">
        <v>0.21</v>
      </c>
      <c r="L197">
        <v>-1.819297790527344</v>
      </c>
      <c r="M197">
        <v>-1.683153223538281E-2</v>
      </c>
      <c r="N197">
        <v>-2.3300018310546879</v>
      </c>
      <c r="O197">
        <v>4.7399978637695313</v>
      </c>
      <c r="P197" s="156" t="s">
        <v>581</v>
      </c>
      <c r="Q197">
        <v>2021</v>
      </c>
    </row>
    <row r="198" spans="1:17" hidden="1" x14ac:dyDescent="0.35">
      <c r="A198" s="156" t="s">
        <v>654</v>
      </c>
      <c r="B198" s="22">
        <v>44470</v>
      </c>
      <c r="C198">
        <v>113.59999847412109</v>
      </c>
      <c r="D198">
        <v>128.36000061035159</v>
      </c>
      <c r="E198">
        <v>111.3199996948242</v>
      </c>
      <c r="F198">
        <v>121.15000152587891</v>
      </c>
      <c r="G198">
        <v>4368300</v>
      </c>
      <c r="H198">
        <v>113.81906890869141</v>
      </c>
      <c r="I198" s="156" t="s">
        <v>653</v>
      </c>
      <c r="J198" s="22">
        <v>45544</v>
      </c>
      <c r="K198">
        <v>0</v>
      </c>
      <c r="L198">
        <v>7.5501785278320313</v>
      </c>
      <c r="M198">
        <v>6.909638062249579E-2</v>
      </c>
      <c r="N198">
        <v>7.5500030517578116</v>
      </c>
      <c r="O198">
        <v>14.760002136230471</v>
      </c>
      <c r="P198" s="156" t="s">
        <v>584</v>
      </c>
      <c r="Q198">
        <v>2021</v>
      </c>
    </row>
    <row r="199" spans="1:17" hidden="1" x14ac:dyDescent="0.35">
      <c r="A199" s="156" t="s">
        <v>654</v>
      </c>
      <c r="B199" s="22">
        <v>44501</v>
      </c>
      <c r="C199">
        <v>121.5699996948242</v>
      </c>
      <c r="D199">
        <v>125.4300003051758</v>
      </c>
      <c r="E199">
        <v>107.9499969482422</v>
      </c>
      <c r="F199">
        <v>114.0100021362305</v>
      </c>
      <c r="G199">
        <v>4458200</v>
      </c>
      <c r="H199">
        <v>107.1111145019531</v>
      </c>
      <c r="I199" s="156" t="s">
        <v>653</v>
      </c>
      <c r="J199" s="22">
        <v>45544</v>
      </c>
      <c r="K199">
        <v>0</v>
      </c>
      <c r="L199">
        <v>-6.7079544067382813</v>
      </c>
      <c r="M199">
        <v>-5.8935198511931193E-2</v>
      </c>
      <c r="N199">
        <v>-7.55999755859375</v>
      </c>
      <c r="O199">
        <v>3.8600006103515621</v>
      </c>
      <c r="P199" s="156" t="s">
        <v>585</v>
      </c>
      <c r="Q199">
        <v>2021</v>
      </c>
    </row>
    <row r="200" spans="1:17" hidden="1" x14ac:dyDescent="0.35">
      <c r="A200" s="156" t="s">
        <v>654</v>
      </c>
      <c r="B200" s="22">
        <v>44531</v>
      </c>
      <c r="C200">
        <v>115.5</v>
      </c>
      <c r="D200">
        <v>116.19000244140619</v>
      </c>
      <c r="E200">
        <v>102.15000152587891</v>
      </c>
      <c r="F200">
        <v>110.879997253418</v>
      </c>
      <c r="G200">
        <v>5237100</v>
      </c>
      <c r="H200">
        <v>104.17051696777339</v>
      </c>
      <c r="I200" s="156" t="s">
        <v>653</v>
      </c>
      <c r="J200" s="22">
        <v>45544</v>
      </c>
      <c r="K200">
        <v>0.21</v>
      </c>
      <c r="L200">
        <v>-2.9405975341796879</v>
      </c>
      <c r="M200">
        <v>-2.7453774442285028E-2</v>
      </c>
      <c r="N200">
        <v>-4.6200027465820313</v>
      </c>
      <c r="O200">
        <v>0.69000244140625</v>
      </c>
      <c r="P200" s="156" t="s">
        <v>581</v>
      </c>
      <c r="Q200">
        <v>2021</v>
      </c>
    </row>
    <row r="201" spans="1:17" hidden="1" x14ac:dyDescent="0.35">
      <c r="A201" s="156" t="s">
        <v>654</v>
      </c>
      <c r="B201" s="22">
        <v>44562</v>
      </c>
      <c r="C201">
        <v>111.1600036621094</v>
      </c>
      <c r="D201">
        <v>111.6600036621094</v>
      </c>
      <c r="E201">
        <v>83.720001220703125</v>
      </c>
      <c r="F201">
        <v>96.970001220703125</v>
      </c>
      <c r="G201">
        <v>5368800</v>
      </c>
      <c r="H201">
        <v>91.270347595214844</v>
      </c>
      <c r="I201" s="156" t="s">
        <v>653</v>
      </c>
      <c r="J201" s="22">
        <v>45544</v>
      </c>
      <c r="K201">
        <v>0</v>
      </c>
      <c r="L201">
        <v>-12.90016937255859</v>
      </c>
      <c r="M201">
        <v>-0.12545090527846359</v>
      </c>
      <c r="N201">
        <v>-14.19000244140625</v>
      </c>
      <c r="O201">
        <v>0.5</v>
      </c>
      <c r="P201" s="156" t="s">
        <v>582</v>
      </c>
      <c r="Q201">
        <v>2022</v>
      </c>
    </row>
    <row r="202" spans="1:17" hidden="1" x14ac:dyDescent="0.35">
      <c r="A202" s="156" t="s">
        <v>654</v>
      </c>
      <c r="B202" s="22">
        <v>44593</v>
      </c>
      <c r="C202">
        <v>97.339996337890625</v>
      </c>
      <c r="D202">
        <v>97.400001525878906</v>
      </c>
      <c r="E202">
        <v>82.419998168945313</v>
      </c>
      <c r="F202">
        <v>90.529998779296875</v>
      </c>
      <c r="G202">
        <v>6009300</v>
      </c>
      <c r="H202">
        <v>85.208854675292969</v>
      </c>
      <c r="I202" s="156" t="s">
        <v>653</v>
      </c>
      <c r="J202" s="22">
        <v>45544</v>
      </c>
      <c r="K202">
        <v>0</v>
      </c>
      <c r="L202">
        <v>-6.061492919921875</v>
      </c>
      <c r="M202">
        <v>-6.6412316802480387E-2</v>
      </c>
      <c r="N202">
        <v>-6.80999755859375</v>
      </c>
      <c r="O202">
        <v>6.000518798828125E-2</v>
      </c>
      <c r="P202" s="156" t="s">
        <v>586</v>
      </c>
      <c r="Q202">
        <v>2022</v>
      </c>
    </row>
    <row r="203" spans="1:17" hidden="1" x14ac:dyDescent="0.35">
      <c r="A203" s="156" t="s">
        <v>654</v>
      </c>
      <c r="B203" s="22">
        <v>44621</v>
      </c>
      <c r="C203">
        <v>91.330001831054688</v>
      </c>
      <c r="D203">
        <v>98.739997863769531</v>
      </c>
      <c r="E203">
        <v>84.699996948242188</v>
      </c>
      <c r="F203">
        <v>93.080001831054688</v>
      </c>
      <c r="G203">
        <v>6495500</v>
      </c>
      <c r="H203">
        <v>87.608993530273438</v>
      </c>
      <c r="I203" s="156" t="s">
        <v>653</v>
      </c>
      <c r="J203" s="22">
        <v>45544</v>
      </c>
      <c r="K203">
        <v>0.24</v>
      </c>
      <c r="L203">
        <v>2.4001388549804692</v>
      </c>
      <c r="M203">
        <v>2.8167492390831269E-2</v>
      </c>
      <c r="N203">
        <v>1.75</v>
      </c>
      <c r="O203">
        <v>7.4099960327148438</v>
      </c>
      <c r="P203" s="156" t="s">
        <v>586</v>
      </c>
      <c r="Q203">
        <v>2022</v>
      </c>
    </row>
    <row r="204" spans="1:17" hidden="1" x14ac:dyDescent="0.35">
      <c r="A204" s="156" t="s">
        <v>654</v>
      </c>
      <c r="B204" s="22">
        <v>44652</v>
      </c>
      <c r="C204">
        <v>93.900001525878906</v>
      </c>
      <c r="D204">
        <v>95.370002746582031</v>
      </c>
      <c r="E204">
        <v>73.410003662109375</v>
      </c>
      <c r="F204">
        <v>75.720001220703125</v>
      </c>
      <c r="G204">
        <v>6798100</v>
      </c>
      <c r="H204">
        <v>71.462646484375</v>
      </c>
      <c r="I204" s="156" t="s">
        <v>653</v>
      </c>
      <c r="J204" s="22">
        <v>45544</v>
      </c>
      <c r="K204">
        <v>0</v>
      </c>
      <c r="L204">
        <v>-16.146347045898441</v>
      </c>
      <c r="M204">
        <v>-0.18650623408732761</v>
      </c>
      <c r="N204">
        <v>-18.180000305175781</v>
      </c>
      <c r="O204">
        <v>1.470001220703125</v>
      </c>
      <c r="P204" s="156" t="s">
        <v>584</v>
      </c>
      <c r="Q204">
        <v>2022</v>
      </c>
    </row>
    <row r="205" spans="1:17" hidden="1" x14ac:dyDescent="0.35">
      <c r="A205" s="156" t="s">
        <v>654</v>
      </c>
      <c r="B205" s="22">
        <v>44682</v>
      </c>
      <c r="C205">
        <v>75.230003356933594</v>
      </c>
      <c r="D205">
        <v>77.19000244140625</v>
      </c>
      <c r="E205">
        <v>55.119998931884773</v>
      </c>
      <c r="F205">
        <v>60.200000762939453</v>
      </c>
      <c r="G205">
        <v>8640400</v>
      </c>
      <c r="H205">
        <v>56.815254211425781</v>
      </c>
      <c r="I205" s="156" t="s">
        <v>653</v>
      </c>
      <c r="J205" s="22">
        <v>45544</v>
      </c>
      <c r="K205">
        <v>0</v>
      </c>
      <c r="L205">
        <v>-14.647392272949221</v>
      </c>
      <c r="M205">
        <v>-0.20496566571000319</v>
      </c>
      <c r="N205">
        <v>-15.030002593994141</v>
      </c>
      <c r="O205">
        <v>1.959999084472656</v>
      </c>
      <c r="P205" s="156" t="s">
        <v>583</v>
      </c>
      <c r="Q205">
        <v>2022</v>
      </c>
    </row>
    <row r="206" spans="1:17" hidden="1" x14ac:dyDescent="0.35">
      <c r="A206" s="156" t="s">
        <v>654</v>
      </c>
      <c r="B206" s="22">
        <v>44713</v>
      </c>
      <c r="C206">
        <v>60.400001525878913</v>
      </c>
      <c r="D206">
        <v>61.540000915527337</v>
      </c>
      <c r="E206">
        <v>51.680000305175781</v>
      </c>
      <c r="F206">
        <v>57.310001373291023</v>
      </c>
      <c r="G206">
        <v>9144800</v>
      </c>
      <c r="H206">
        <v>54.087745666503913</v>
      </c>
      <c r="I206" s="156" t="s">
        <v>653</v>
      </c>
      <c r="J206" s="22">
        <v>45544</v>
      </c>
      <c r="K206">
        <v>0.24</v>
      </c>
      <c r="L206">
        <v>-2.727508544921875</v>
      </c>
      <c r="M206">
        <v>-4.8006633771134233E-2</v>
      </c>
      <c r="N206">
        <v>-3.0900001525878911</v>
      </c>
      <c r="O206">
        <v>1.1399993896484379</v>
      </c>
      <c r="P206" s="156" t="s">
        <v>581</v>
      </c>
      <c r="Q206">
        <v>2022</v>
      </c>
    </row>
    <row r="207" spans="1:17" hidden="1" x14ac:dyDescent="0.35">
      <c r="A207" s="156" t="s">
        <v>654</v>
      </c>
      <c r="B207" s="22">
        <v>44743</v>
      </c>
      <c r="C207">
        <v>57.110000610351563</v>
      </c>
      <c r="D207">
        <v>63.110000610351563</v>
      </c>
      <c r="E207">
        <v>50.040000915527337</v>
      </c>
      <c r="F207">
        <v>56.5</v>
      </c>
      <c r="G207">
        <v>6828900</v>
      </c>
      <c r="H207">
        <v>53.536720275878913</v>
      </c>
      <c r="I207" s="156" t="s">
        <v>653</v>
      </c>
      <c r="J207" s="22">
        <v>45544</v>
      </c>
      <c r="K207">
        <v>0</v>
      </c>
      <c r="L207">
        <v>-0.551025390625</v>
      </c>
      <c r="M207">
        <v>-1.41336826711107E-2</v>
      </c>
      <c r="N207">
        <v>-0.6100006103515625</v>
      </c>
      <c r="O207">
        <v>6</v>
      </c>
      <c r="P207" s="156" t="s">
        <v>584</v>
      </c>
      <c r="Q207">
        <v>2022</v>
      </c>
    </row>
    <row r="208" spans="1:17" hidden="1" x14ac:dyDescent="0.35">
      <c r="A208" s="156" t="s">
        <v>654</v>
      </c>
      <c r="B208" s="22">
        <v>44774</v>
      </c>
      <c r="C208">
        <v>56.139999389648438</v>
      </c>
      <c r="D208">
        <v>65.120002746582031</v>
      </c>
      <c r="E208">
        <v>55.040000915527337</v>
      </c>
      <c r="F208">
        <v>55.409999847412109</v>
      </c>
      <c r="G208">
        <v>6504300</v>
      </c>
      <c r="H208">
        <v>52.503887176513672</v>
      </c>
      <c r="I208" s="156" t="s">
        <v>653</v>
      </c>
      <c r="J208" s="22">
        <v>45544</v>
      </c>
      <c r="K208">
        <v>0.24</v>
      </c>
      <c r="L208">
        <v>-1.0328330993652339</v>
      </c>
      <c r="M208">
        <v>-1.929203809890068E-2</v>
      </c>
      <c r="N208">
        <v>-0.72999954223632813</v>
      </c>
      <c r="O208">
        <v>8.9800033569335938</v>
      </c>
      <c r="P208" s="156" t="s">
        <v>585</v>
      </c>
      <c r="Q208">
        <v>2022</v>
      </c>
    </row>
    <row r="209" spans="1:17" hidden="1" x14ac:dyDescent="0.35">
      <c r="A209" s="156" t="s">
        <v>654</v>
      </c>
      <c r="B209" s="22">
        <v>44805</v>
      </c>
      <c r="C209">
        <v>54.979999542236328</v>
      </c>
      <c r="D209">
        <v>59.389999389648438</v>
      </c>
      <c r="E209">
        <v>48.639999389648438</v>
      </c>
      <c r="F209">
        <v>50.169998168945313</v>
      </c>
      <c r="G209">
        <v>7515300</v>
      </c>
      <c r="H209">
        <v>47.744464874267578</v>
      </c>
      <c r="I209" s="156" t="s">
        <v>653</v>
      </c>
      <c r="J209" s="22">
        <v>45544</v>
      </c>
      <c r="K209">
        <v>0</v>
      </c>
      <c r="L209">
        <v>-4.7594223022460938</v>
      </c>
      <c r="M209">
        <v>-9.4567798103170841E-2</v>
      </c>
      <c r="N209">
        <v>-4.8100013732910156</v>
      </c>
      <c r="O209">
        <v>4.4099998474121094</v>
      </c>
      <c r="P209" s="156" t="s">
        <v>587</v>
      </c>
      <c r="Q209">
        <v>2022</v>
      </c>
    </row>
    <row r="210" spans="1:17" hidden="1" x14ac:dyDescent="0.35">
      <c r="A210" s="156" t="s">
        <v>654</v>
      </c>
      <c r="B210" s="22">
        <v>44835</v>
      </c>
      <c r="C210">
        <v>50.639999389648438</v>
      </c>
      <c r="D210">
        <v>54</v>
      </c>
      <c r="E210">
        <v>45.720001220703118</v>
      </c>
      <c r="F210">
        <v>50.029998779296882</v>
      </c>
      <c r="G210">
        <v>7945300</v>
      </c>
      <c r="H210">
        <v>47.611236572265618</v>
      </c>
      <c r="I210" s="156" t="s">
        <v>653</v>
      </c>
      <c r="J210" s="22">
        <v>45544</v>
      </c>
      <c r="K210">
        <v>0</v>
      </c>
      <c r="L210">
        <v>-0.1332283020019531</v>
      </c>
      <c r="M210">
        <v>-2.7905001944986681E-3</v>
      </c>
      <c r="N210">
        <v>-0.6100006103515625</v>
      </c>
      <c r="O210">
        <v>3.3600006103515621</v>
      </c>
      <c r="P210" s="156" t="s">
        <v>582</v>
      </c>
      <c r="Q210">
        <v>2022</v>
      </c>
    </row>
    <row r="211" spans="1:17" hidden="1" x14ac:dyDescent="0.35">
      <c r="A211" s="156" t="s">
        <v>654</v>
      </c>
      <c r="B211" s="22">
        <v>44866</v>
      </c>
      <c r="C211">
        <v>51.130001068115227</v>
      </c>
      <c r="D211">
        <v>56.279998779296882</v>
      </c>
      <c r="E211">
        <v>44.610000610351563</v>
      </c>
      <c r="F211">
        <v>53.819999694824219</v>
      </c>
      <c r="G211">
        <v>5174600</v>
      </c>
      <c r="H211">
        <v>51.218013763427727</v>
      </c>
      <c r="I211" s="156" t="s">
        <v>653</v>
      </c>
      <c r="J211" s="22">
        <v>45544</v>
      </c>
      <c r="K211">
        <v>0.24</v>
      </c>
      <c r="L211">
        <v>3.6067771911621089</v>
      </c>
      <c r="M211">
        <v>7.5754567419571872E-2</v>
      </c>
      <c r="N211">
        <v>2.6899986267089839</v>
      </c>
      <c r="O211">
        <v>5.1499977111816406</v>
      </c>
      <c r="P211" s="156" t="s">
        <v>586</v>
      </c>
      <c r="Q211">
        <v>2022</v>
      </c>
    </row>
    <row r="212" spans="1:17" hidden="1" x14ac:dyDescent="0.35">
      <c r="A212" s="156" t="s">
        <v>654</v>
      </c>
      <c r="B212" s="22">
        <v>44896</v>
      </c>
      <c r="C212">
        <v>53.939998626708977</v>
      </c>
      <c r="D212">
        <v>55.020000457763672</v>
      </c>
      <c r="E212">
        <v>48.970001220703118</v>
      </c>
      <c r="F212">
        <v>52.720001220703118</v>
      </c>
      <c r="G212">
        <v>6262700</v>
      </c>
      <c r="H212">
        <v>50.408828735351563</v>
      </c>
      <c r="I212" s="156" t="s">
        <v>653</v>
      </c>
      <c r="J212" s="22">
        <v>45544</v>
      </c>
      <c r="K212">
        <v>0</v>
      </c>
      <c r="L212">
        <v>-0.80918502807617188</v>
      </c>
      <c r="M212">
        <v>-2.0438470463738811E-2</v>
      </c>
      <c r="N212">
        <v>-1.2199974060058589</v>
      </c>
      <c r="O212">
        <v>1.0800018310546879</v>
      </c>
      <c r="P212" s="156" t="s">
        <v>587</v>
      </c>
      <c r="Q212">
        <v>2022</v>
      </c>
    </row>
    <row r="213" spans="1:17" hidden="1" x14ac:dyDescent="0.35">
      <c r="A213" s="156" t="s">
        <v>654</v>
      </c>
      <c r="B213" s="22">
        <v>44927</v>
      </c>
      <c r="C213">
        <v>54.099998474121087</v>
      </c>
      <c r="D213">
        <v>78.639999389648438</v>
      </c>
      <c r="E213">
        <v>52.659999847412109</v>
      </c>
      <c r="F213">
        <v>75.269996643066406</v>
      </c>
      <c r="G213">
        <v>6733000</v>
      </c>
      <c r="H213">
        <v>71.970268249511719</v>
      </c>
      <c r="I213" s="156" t="s">
        <v>653</v>
      </c>
      <c r="J213" s="22">
        <v>45544</v>
      </c>
      <c r="K213">
        <v>0</v>
      </c>
      <c r="L213">
        <v>21.56143951416016</v>
      </c>
      <c r="M213">
        <v>0.42773131449602292</v>
      </c>
      <c r="N213">
        <v>21.169998168945309</v>
      </c>
      <c r="O213">
        <v>24.54000091552734</v>
      </c>
      <c r="P213" s="156" t="s">
        <v>583</v>
      </c>
      <c r="Q213">
        <v>2023</v>
      </c>
    </row>
    <row r="214" spans="1:17" hidden="1" x14ac:dyDescent="0.35">
      <c r="A214" s="156" t="s">
        <v>654</v>
      </c>
      <c r="B214" s="22">
        <v>44958</v>
      </c>
      <c r="C214">
        <v>74.919998168945313</v>
      </c>
      <c r="D214">
        <v>81.230003356933594</v>
      </c>
      <c r="E214">
        <v>71.870002746582031</v>
      </c>
      <c r="F214">
        <v>75.220001220703125</v>
      </c>
      <c r="G214">
        <v>9829800</v>
      </c>
      <c r="H214">
        <v>71.922462463378906</v>
      </c>
      <c r="I214" s="156" t="s">
        <v>653</v>
      </c>
      <c r="J214" s="22">
        <v>45544</v>
      </c>
      <c r="K214">
        <v>0</v>
      </c>
      <c r="L214">
        <v>-4.78057861328125E-2</v>
      </c>
      <c r="M214">
        <v>-6.6421448907938441E-4</v>
      </c>
      <c r="N214">
        <v>0.3000030517578125</v>
      </c>
      <c r="O214">
        <v>6.3100051879882813</v>
      </c>
      <c r="P214" s="156" t="s">
        <v>581</v>
      </c>
      <c r="Q214">
        <v>2023</v>
      </c>
    </row>
    <row r="215" spans="1:17" hidden="1" x14ac:dyDescent="0.35">
      <c r="A215" s="156" t="s">
        <v>654</v>
      </c>
      <c r="B215" s="22">
        <v>44986</v>
      </c>
      <c r="C215">
        <v>75.30999755859375</v>
      </c>
      <c r="D215">
        <v>78.19000244140625</v>
      </c>
      <c r="E215">
        <v>67.389999389648438</v>
      </c>
      <c r="F215">
        <v>72.599998474121094</v>
      </c>
      <c r="G215">
        <v>10599300</v>
      </c>
      <c r="H215">
        <v>69.417304992675781</v>
      </c>
      <c r="I215" s="156" t="s">
        <v>653</v>
      </c>
      <c r="J215" s="22">
        <v>45544</v>
      </c>
      <c r="K215">
        <v>0.27</v>
      </c>
      <c r="L215">
        <v>-2.505157470703125</v>
      </c>
      <c r="M215">
        <v>-3.4831197873750108E-2</v>
      </c>
      <c r="N215">
        <v>-2.7099990844726558</v>
      </c>
      <c r="O215">
        <v>2.8800048828125</v>
      </c>
      <c r="P215" s="156" t="s">
        <v>581</v>
      </c>
      <c r="Q215">
        <v>2023</v>
      </c>
    </row>
    <row r="216" spans="1:17" hidden="1" x14ac:dyDescent="0.35">
      <c r="A216" s="156" t="s">
        <v>654</v>
      </c>
      <c r="B216" s="22">
        <v>45017</v>
      </c>
      <c r="C216">
        <v>72.05999755859375</v>
      </c>
      <c r="D216">
        <v>75.959999084472656</v>
      </c>
      <c r="E216">
        <v>65.010002136230469</v>
      </c>
      <c r="F216">
        <v>67</v>
      </c>
      <c r="G216">
        <v>8445000</v>
      </c>
      <c r="H216">
        <v>64.293586730957031</v>
      </c>
      <c r="I216" s="156" t="s">
        <v>653</v>
      </c>
      <c r="J216" s="22">
        <v>45544</v>
      </c>
      <c r="K216">
        <v>0</v>
      </c>
      <c r="L216">
        <v>-5.12371826171875</v>
      </c>
      <c r="M216">
        <v>-7.7134966829472629E-2</v>
      </c>
      <c r="N216">
        <v>-5.05999755859375</v>
      </c>
      <c r="O216">
        <v>3.9000015258789058</v>
      </c>
      <c r="P216" s="156" t="s">
        <v>582</v>
      </c>
      <c r="Q216">
        <v>2023</v>
      </c>
    </row>
    <row r="217" spans="1:17" hidden="1" x14ac:dyDescent="0.35">
      <c r="A217" s="156" t="s">
        <v>654</v>
      </c>
      <c r="B217" s="22">
        <v>45047</v>
      </c>
      <c r="C217">
        <v>66.650001525878906</v>
      </c>
      <c r="D217">
        <v>67.480003356933594</v>
      </c>
      <c r="E217">
        <v>46.669998168945313</v>
      </c>
      <c r="F217">
        <v>49.770000457763672</v>
      </c>
      <c r="G217">
        <v>19770600</v>
      </c>
      <c r="H217">
        <v>47.75958251953125</v>
      </c>
      <c r="I217" s="156" t="s">
        <v>653</v>
      </c>
      <c r="J217" s="22">
        <v>45544</v>
      </c>
      <c r="K217">
        <v>0.27</v>
      </c>
      <c r="L217">
        <v>-16.534004211425781</v>
      </c>
      <c r="M217">
        <v>-0.25716417227218402</v>
      </c>
      <c r="N217">
        <v>-16.880001068115231</v>
      </c>
      <c r="O217">
        <v>0.8300018310546875</v>
      </c>
      <c r="P217" s="156" t="s">
        <v>585</v>
      </c>
      <c r="Q217">
        <v>2023</v>
      </c>
    </row>
    <row r="218" spans="1:17" hidden="1" x14ac:dyDescent="0.35">
      <c r="A218" s="156" t="s">
        <v>654</v>
      </c>
      <c r="B218" s="22">
        <v>45078</v>
      </c>
      <c r="C218">
        <v>50</v>
      </c>
      <c r="D218">
        <v>53.990001678466797</v>
      </c>
      <c r="E218">
        <v>46.650001525878913</v>
      </c>
      <c r="F218">
        <v>48.669998168945313</v>
      </c>
      <c r="G218">
        <v>15176900</v>
      </c>
      <c r="H218">
        <v>46.97259521484375</v>
      </c>
      <c r="I218" s="156" t="s">
        <v>653</v>
      </c>
      <c r="J218" s="22">
        <v>45544</v>
      </c>
      <c r="K218">
        <v>0</v>
      </c>
      <c r="L218">
        <v>-0.7869873046875</v>
      </c>
      <c r="M218">
        <v>-2.210171345591716E-2</v>
      </c>
      <c r="N218">
        <v>-1.3300018310546879</v>
      </c>
      <c r="O218">
        <v>3.9900016784667969</v>
      </c>
      <c r="P218" s="156" t="s">
        <v>587</v>
      </c>
      <c r="Q218">
        <v>2023</v>
      </c>
    </row>
    <row r="219" spans="1:17" hidden="1" x14ac:dyDescent="0.35">
      <c r="A219" s="156" t="s">
        <v>654</v>
      </c>
      <c r="B219" s="22">
        <v>45108</v>
      </c>
      <c r="C219">
        <v>49</v>
      </c>
      <c r="D219">
        <v>58.419998168945313</v>
      </c>
      <c r="E219">
        <v>48.229999542236328</v>
      </c>
      <c r="F219">
        <v>51.450000762939453</v>
      </c>
      <c r="G219">
        <v>15026900</v>
      </c>
      <c r="H219">
        <v>49.655647277832031</v>
      </c>
      <c r="I219" s="156" t="s">
        <v>653</v>
      </c>
      <c r="J219" s="22">
        <v>45544</v>
      </c>
      <c r="K219">
        <v>0</v>
      </c>
      <c r="L219">
        <v>2.6830520629882808</v>
      </c>
      <c r="M219">
        <v>5.711943083178439E-2</v>
      </c>
      <c r="N219">
        <v>2.4500007629394531</v>
      </c>
      <c r="O219">
        <v>9.4199981689453125</v>
      </c>
      <c r="P219" s="156" t="s">
        <v>582</v>
      </c>
      <c r="Q219">
        <v>2023</v>
      </c>
    </row>
    <row r="220" spans="1:17" hidden="1" x14ac:dyDescent="0.35">
      <c r="A220" s="156" t="s">
        <v>654</v>
      </c>
      <c r="B220" s="22">
        <v>45139</v>
      </c>
      <c r="C220">
        <v>52.119998931884773</v>
      </c>
      <c r="D220">
        <v>52.490001678466797</v>
      </c>
      <c r="E220">
        <v>40.610000610351563</v>
      </c>
      <c r="F220">
        <v>42.110000610351563</v>
      </c>
      <c r="G220">
        <v>14573200</v>
      </c>
      <c r="H220">
        <v>40.641387939453118</v>
      </c>
      <c r="I220" s="156" t="s">
        <v>653</v>
      </c>
      <c r="J220" s="22">
        <v>45544</v>
      </c>
      <c r="K220">
        <v>0.27</v>
      </c>
      <c r="L220">
        <v>-9.0142593383789063</v>
      </c>
      <c r="M220">
        <v>-0.1815354716051957</v>
      </c>
      <c r="N220">
        <v>-10.0099983215332</v>
      </c>
      <c r="O220">
        <v>0.37000274658203119</v>
      </c>
      <c r="P220" s="156" t="s">
        <v>586</v>
      </c>
      <c r="Q220">
        <v>2023</v>
      </c>
    </row>
    <row r="221" spans="1:17" hidden="1" x14ac:dyDescent="0.35">
      <c r="A221" s="156" t="s">
        <v>654</v>
      </c>
      <c r="B221" s="22">
        <v>45170</v>
      </c>
      <c r="C221">
        <v>42.560001373291023</v>
      </c>
      <c r="D221">
        <v>42.560001373291023</v>
      </c>
      <c r="E221">
        <v>36.200000762939453</v>
      </c>
      <c r="F221">
        <v>38.049999237060547</v>
      </c>
      <c r="G221">
        <v>9813000</v>
      </c>
      <c r="H221">
        <v>36.959621429443359</v>
      </c>
      <c r="I221" s="156" t="s">
        <v>653</v>
      </c>
      <c r="J221" s="22">
        <v>45544</v>
      </c>
      <c r="K221">
        <v>0</v>
      </c>
      <c r="L221">
        <v>-3.6817665100097661</v>
      </c>
      <c r="M221">
        <v>-9.6414184622286125E-2</v>
      </c>
      <c r="N221">
        <v>-4.5100021362304688</v>
      </c>
      <c r="O221">
        <v>0</v>
      </c>
      <c r="P221" s="156" t="s">
        <v>584</v>
      </c>
      <c r="Q221">
        <v>2023</v>
      </c>
    </row>
    <row r="222" spans="1:17" hidden="1" x14ac:dyDescent="0.35">
      <c r="A222" s="156" t="s">
        <v>654</v>
      </c>
      <c r="B222" s="22">
        <v>45200</v>
      </c>
      <c r="C222">
        <v>37.950000762939453</v>
      </c>
      <c r="D222">
        <v>42.020000457763672</v>
      </c>
      <c r="E222">
        <v>33.799999237060547</v>
      </c>
      <c r="F222">
        <v>40.680000305175781</v>
      </c>
      <c r="G222">
        <v>10364400</v>
      </c>
      <c r="H222">
        <v>39.514255523681641</v>
      </c>
      <c r="I222" s="156" t="s">
        <v>653</v>
      </c>
      <c r="J222" s="22">
        <v>45544</v>
      </c>
      <c r="K222">
        <v>0</v>
      </c>
      <c r="L222">
        <v>2.5546340942382808</v>
      </c>
      <c r="M222">
        <v>6.9119608957932011E-2</v>
      </c>
      <c r="N222">
        <v>2.7299995422363281</v>
      </c>
      <c r="O222">
        <v>4.0699996948242188</v>
      </c>
      <c r="P222" s="156" t="s">
        <v>583</v>
      </c>
      <c r="Q222">
        <v>2023</v>
      </c>
    </row>
    <row r="223" spans="1:17" hidden="1" x14ac:dyDescent="0.35">
      <c r="A223" s="156" t="s">
        <v>654</v>
      </c>
      <c r="B223" s="22">
        <v>45231</v>
      </c>
      <c r="C223">
        <v>40.709999084472663</v>
      </c>
      <c r="D223">
        <v>46.380001068115227</v>
      </c>
      <c r="E223">
        <v>37.029998779296882</v>
      </c>
      <c r="F223">
        <v>43.909999847412109</v>
      </c>
      <c r="G223">
        <v>10420700</v>
      </c>
      <c r="H223">
        <v>42.651691436767578</v>
      </c>
      <c r="I223" s="156" t="s">
        <v>653</v>
      </c>
      <c r="J223" s="22">
        <v>45544</v>
      </c>
      <c r="K223">
        <v>0.27</v>
      </c>
      <c r="L223">
        <v>3.1374359130859379</v>
      </c>
      <c r="M223">
        <v>7.9400184808390284E-2</v>
      </c>
      <c r="N223">
        <v>3.2000007629394531</v>
      </c>
      <c r="O223">
        <v>5.6700019836425781</v>
      </c>
      <c r="P223" s="156" t="s">
        <v>581</v>
      </c>
      <c r="Q223">
        <v>2023</v>
      </c>
    </row>
    <row r="224" spans="1:17" hidden="1" x14ac:dyDescent="0.35">
      <c r="A224" s="156" t="s">
        <v>654</v>
      </c>
      <c r="B224" s="22">
        <v>45261</v>
      </c>
      <c r="C224">
        <v>43.830001831054688</v>
      </c>
      <c r="D224">
        <v>50.990001678466797</v>
      </c>
      <c r="E224">
        <v>43.099998474121087</v>
      </c>
      <c r="F224">
        <v>48.279998779296882</v>
      </c>
      <c r="G224">
        <v>10460600</v>
      </c>
      <c r="H224">
        <v>47.179855346679688</v>
      </c>
      <c r="I224" s="156" t="s">
        <v>653</v>
      </c>
      <c r="J224" s="22">
        <v>45544</v>
      </c>
      <c r="K224">
        <v>0</v>
      </c>
      <c r="L224">
        <v>4.5281639099121094</v>
      </c>
      <c r="M224">
        <v>9.9521725052848398E-2</v>
      </c>
      <c r="N224">
        <v>4.4499969482421884</v>
      </c>
      <c r="O224">
        <v>7.1599998474121094</v>
      </c>
      <c r="P224" s="156" t="s">
        <v>584</v>
      </c>
      <c r="Q224">
        <v>2023</v>
      </c>
    </row>
    <row r="225" spans="1:17" hidden="1" x14ac:dyDescent="0.35">
      <c r="A225" s="156" t="s">
        <v>656</v>
      </c>
      <c r="B225" s="22">
        <v>43831</v>
      </c>
      <c r="C225">
        <v>32.259998321533203</v>
      </c>
      <c r="D225">
        <v>34.979999542236328</v>
      </c>
      <c r="E225">
        <v>30.670000076293949</v>
      </c>
      <c r="F225">
        <v>34.090000152587891</v>
      </c>
      <c r="G225">
        <v>8194400</v>
      </c>
      <c r="H225">
        <v>27.776348114013668</v>
      </c>
      <c r="I225" s="156" t="s">
        <v>655</v>
      </c>
      <c r="J225" s="22">
        <v>45544</v>
      </c>
      <c r="K225">
        <v>0</v>
      </c>
      <c r="N225">
        <v>1.8300018310546879</v>
      </c>
      <c r="O225">
        <v>2.720001220703125</v>
      </c>
      <c r="P225" s="156" t="s">
        <v>581</v>
      </c>
      <c r="Q225">
        <v>2020</v>
      </c>
    </row>
    <row r="226" spans="1:17" hidden="1" x14ac:dyDescent="0.35">
      <c r="A226" s="156" t="s">
        <v>656</v>
      </c>
      <c r="B226" s="22">
        <v>43862</v>
      </c>
      <c r="C226">
        <v>34.200000762939453</v>
      </c>
      <c r="D226">
        <v>39.909999847412109</v>
      </c>
      <c r="E226">
        <v>32.900001525878913</v>
      </c>
      <c r="F226">
        <v>33.950000762939453</v>
      </c>
      <c r="G226">
        <v>10300900</v>
      </c>
      <c r="H226">
        <v>27.662277221679691</v>
      </c>
      <c r="I226" s="156" t="s">
        <v>655</v>
      </c>
      <c r="J226" s="22">
        <v>45544</v>
      </c>
      <c r="K226">
        <v>0</v>
      </c>
      <c r="L226">
        <v>-0.1140708923339844</v>
      </c>
      <c r="M226">
        <v>-4.1067582581928441E-3</v>
      </c>
      <c r="N226">
        <v>-0.25</v>
      </c>
      <c r="O226">
        <v>5.7099990844726563</v>
      </c>
      <c r="P226" s="156" t="s">
        <v>582</v>
      </c>
      <c r="Q226">
        <v>2020</v>
      </c>
    </row>
    <row r="227" spans="1:17" hidden="1" x14ac:dyDescent="0.35">
      <c r="A227" s="156" t="s">
        <v>656</v>
      </c>
      <c r="B227" s="22">
        <v>43891</v>
      </c>
      <c r="C227">
        <v>34.279998779296882</v>
      </c>
      <c r="D227">
        <v>38.029998779296882</v>
      </c>
      <c r="E227">
        <v>15.010000228881839</v>
      </c>
      <c r="F227">
        <v>20.409999847412109</v>
      </c>
      <c r="G227">
        <v>32909300</v>
      </c>
      <c r="H227">
        <v>16.62995719909668</v>
      </c>
      <c r="I227" s="156" t="s">
        <v>655</v>
      </c>
      <c r="J227" s="22">
        <v>45544</v>
      </c>
      <c r="K227">
        <v>0</v>
      </c>
      <c r="L227">
        <v>-11.03232002258301</v>
      </c>
      <c r="M227">
        <v>-0.39882181476437251</v>
      </c>
      <c r="N227">
        <v>-13.869998931884769</v>
      </c>
      <c r="O227">
        <v>3.75</v>
      </c>
      <c r="P227" s="156" t="s">
        <v>583</v>
      </c>
      <c r="Q227">
        <v>2020</v>
      </c>
    </row>
    <row r="228" spans="1:17" hidden="1" x14ac:dyDescent="0.35">
      <c r="A228" s="156" t="s">
        <v>656</v>
      </c>
      <c r="B228" s="22">
        <v>43922</v>
      </c>
      <c r="C228">
        <v>19.010000228881839</v>
      </c>
      <c r="D228">
        <v>29.620000839233398</v>
      </c>
      <c r="E228">
        <v>16.25</v>
      </c>
      <c r="F228">
        <v>27.989999771118161</v>
      </c>
      <c r="G228">
        <v>21738700</v>
      </c>
      <c r="H228">
        <v>22.806098937988281</v>
      </c>
      <c r="I228" s="156" t="s">
        <v>655</v>
      </c>
      <c r="J228" s="22">
        <v>45544</v>
      </c>
      <c r="K228">
        <v>0.34</v>
      </c>
      <c r="L228">
        <v>6.1761417388916016</v>
      </c>
      <c r="M228">
        <v>0.37138657424670019</v>
      </c>
      <c r="N228">
        <v>8.9799995422363281</v>
      </c>
      <c r="O228">
        <v>10.610000610351561</v>
      </c>
      <c r="P228" s="156" t="s">
        <v>581</v>
      </c>
      <c r="Q228">
        <v>2020</v>
      </c>
    </row>
    <row r="229" spans="1:17" hidden="1" x14ac:dyDescent="0.35">
      <c r="A229" s="156" t="s">
        <v>656</v>
      </c>
      <c r="B229" s="22">
        <v>43952</v>
      </c>
      <c r="C229">
        <v>26.930000305175781</v>
      </c>
      <c r="D229">
        <v>31.829999923706051</v>
      </c>
      <c r="E229">
        <v>24.760000228881839</v>
      </c>
      <c r="F229">
        <v>29.010000228881839</v>
      </c>
      <c r="G229">
        <v>18095400</v>
      </c>
      <c r="H229">
        <v>24.037624359130859</v>
      </c>
      <c r="I229" s="156" t="s">
        <v>655</v>
      </c>
      <c r="J229" s="22">
        <v>45544</v>
      </c>
      <c r="K229">
        <v>0</v>
      </c>
      <c r="L229">
        <v>1.2315254211425779</v>
      </c>
      <c r="M229">
        <v>3.6441602933350969E-2</v>
      </c>
      <c r="N229">
        <v>2.0799999237060551</v>
      </c>
      <c r="O229">
        <v>4.8999996185302734</v>
      </c>
      <c r="P229" s="156" t="s">
        <v>584</v>
      </c>
      <c r="Q229">
        <v>2020</v>
      </c>
    </row>
    <row r="230" spans="1:17" hidden="1" x14ac:dyDescent="0.35">
      <c r="A230" s="156" t="s">
        <v>656</v>
      </c>
      <c r="B230" s="22">
        <v>43983</v>
      </c>
      <c r="C230">
        <v>29.270000457763668</v>
      </c>
      <c r="D230">
        <v>31.389999389648441</v>
      </c>
      <c r="E230">
        <v>27</v>
      </c>
      <c r="F230">
        <v>28.45999908447266</v>
      </c>
      <c r="G230">
        <v>16481300</v>
      </c>
      <c r="H230">
        <v>23.581890106201168</v>
      </c>
      <c r="I230" s="156" t="s">
        <v>655</v>
      </c>
      <c r="J230" s="22">
        <v>45544</v>
      </c>
      <c r="K230">
        <v>0</v>
      </c>
      <c r="L230">
        <v>-0.4557342529296875</v>
      </c>
      <c r="M230">
        <v>-1.895901896138585E-2</v>
      </c>
      <c r="N230">
        <v>-0.81000137329101563</v>
      </c>
      <c r="O230">
        <v>2.1199989318847661</v>
      </c>
      <c r="P230" s="156" t="s">
        <v>585</v>
      </c>
      <c r="Q230">
        <v>2020</v>
      </c>
    </row>
    <row r="231" spans="1:17" hidden="1" x14ac:dyDescent="0.35">
      <c r="A231" s="156" t="s">
        <v>656</v>
      </c>
      <c r="B231" s="22">
        <v>44013</v>
      </c>
      <c r="C231">
        <v>28.270000457763668</v>
      </c>
      <c r="D231">
        <v>35.669998168945313</v>
      </c>
      <c r="E231">
        <v>27.879999160766602</v>
      </c>
      <c r="F231">
        <v>35.029998779296882</v>
      </c>
      <c r="G231">
        <v>14376200</v>
      </c>
      <c r="H231">
        <v>29.025772094726559</v>
      </c>
      <c r="I231" s="156" t="s">
        <v>655</v>
      </c>
      <c r="J231" s="22">
        <v>45544</v>
      </c>
      <c r="K231">
        <v>0.34</v>
      </c>
      <c r="L231">
        <v>5.4438819885253906</v>
      </c>
      <c r="M231">
        <v>0.23085031293654221</v>
      </c>
      <c r="N231">
        <v>6.7599983215332031</v>
      </c>
      <c r="O231">
        <v>7.3999977111816406</v>
      </c>
      <c r="P231" s="156" t="s">
        <v>581</v>
      </c>
      <c r="Q231">
        <v>2020</v>
      </c>
    </row>
    <row r="232" spans="1:17" hidden="1" x14ac:dyDescent="0.35">
      <c r="A232" s="156" t="s">
        <v>656</v>
      </c>
      <c r="B232" s="22">
        <v>44044</v>
      </c>
      <c r="C232">
        <v>35.220001220703118</v>
      </c>
      <c r="D232">
        <v>42.799999237060547</v>
      </c>
      <c r="E232">
        <v>34.909999847412109</v>
      </c>
      <c r="F232">
        <v>42.459999084472663</v>
      </c>
      <c r="G232">
        <v>17510600</v>
      </c>
      <c r="H232">
        <v>35.607643127441413</v>
      </c>
      <c r="I232" s="156" t="s">
        <v>655</v>
      </c>
      <c r="J232" s="22">
        <v>45544</v>
      </c>
      <c r="K232">
        <v>0</v>
      </c>
      <c r="L232">
        <v>6.5818710327148438</v>
      </c>
      <c r="M232">
        <v>0.21210392703658881</v>
      </c>
      <c r="N232">
        <v>7.2399978637695313</v>
      </c>
      <c r="O232">
        <v>7.5799980163574219</v>
      </c>
      <c r="P232" s="156" t="s">
        <v>582</v>
      </c>
      <c r="Q232">
        <v>2020</v>
      </c>
    </row>
    <row r="233" spans="1:17" hidden="1" x14ac:dyDescent="0.35">
      <c r="A233" s="156" t="s">
        <v>656</v>
      </c>
      <c r="B233" s="22">
        <v>44075</v>
      </c>
      <c r="C233">
        <v>42.669998168945313</v>
      </c>
      <c r="D233">
        <v>43.790000915527337</v>
      </c>
      <c r="E233">
        <v>37.069999694824219</v>
      </c>
      <c r="F233">
        <v>42.270000457763672</v>
      </c>
      <c r="G233">
        <v>15634500</v>
      </c>
      <c r="H233">
        <v>35.448310852050781</v>
      </c>
      <c r="I233" s="156" t="s">
        <v>655</v>
      </c>
      <c r="J233" s="22">
        <v>45544</v>
      </c>
      <c r="K233">
        <v>0</v>
      </c>
      <c r="L233">
        <v>-0.159332275390625</v>
      </c>
      <c r="M233">
        <v>-4.4747675649023932E-3</v>
      </c>
      <c r="N233">
        <v>-0.39999771118164063</v>
      </c>
      <c r="O233">
        <v>1.120002746582031</v>
      </c>
      <c r="P233" s="156" t="s">
        <v>586</v>
      </c>
      <c r="Q233">
        <v>2020</v>
      </c>
    </row>
    <row r="234" spans="1:17" hidden="1" x14ac:dyDescent="0.35">
      <c r="A234" s="156" t="s">
        <v>656</v>
      </c>
      <c r="B234" s="22">
        <v>44105</v>
      </c>
      <c r="C234">
        <v>42.240001678466797</v>
      </c>
      <c r="D234">
        <v>46.439998626708977</v>
      </c>
      <c r="E234">
        <v>40.810001373291023</v>
      </c>
      <c r="F234">
        <v>41.849998474121087</v>
      </c>
      <c r="G234">
        <v>10910700</v>
      </c>
      <c r="H234">
        <v>35.096080780029297</v>
      </c>
      <c r="I234" s="156" t="s">
        <v>655</v>
      </c>
      <c r="J234" s="22">
        <v>45544</v>
      </c>
      <c r="K234">
        <v>0.34</v>
      </c>
      <c r="L234">
        <v>-0.35223007202148438</v>
      </c>
      <c r="M234">
        <v>-9.9361717315864517E-3</v>
      </c>
      <c r="N234">
        <v>-0.39000320434570313</v>
      </c>
      <c r="O234">
        <v>4.1999969482421884</v>
      </c>
      <c r="P234" s="156" t="s">
        <v>587</v>
      </c>
      <c r="Q234">
        <v>2020</v>
      </c>
    </row>
    <row r="235" spans="1:17" hidden="1" x14ac:dyDescent="0.35">
      <c r="A235" s="156" t="s">
        <v>656</v>
      </c>
      <c r="B235" s="22">
        <v>44136</v>
      </c>
      <c r="C235">
        <v>42.459999084472663</v>
      </c>
      <c r="D235">
        <v>56.869998931884773</v>
      </c>
      <c r="E235">
        <v>41.900001525878913</v>
      </c>
      <c r="F235">
        <v>54.659999847412109</v>
      </c>
      <c r="G235">
        <v>16098400</v>
      </c>
      <c r="H235">
        <v>46.210460662841797</v>
      </c>
      <c r="I235" s="156" t="s">
        <v>655</v>
      </c>
      <c r="J235" s="22">
        <v>45544</v>
      </c>
      <c r="K235">
        <v>0</v>
      </c>
      <c r="L235">
        <v>11.1143798828125</v>
      </c>
      <c r="M235">
        <v>0.30609323393912141</v>
      </c>
      <c r="N235">
        <v>12.20000076293945</v>
      </c>
      <c r="O235">
        <v>14.409999847412109</v>
      </c>
      <c r="P235" s="156" t="s">
        <v>583</v>
      </c>
      <c r="Q235">
        <v>2020</v>
      </c>
    </row>
    <row r="236" spans="1:17" hidden="1" x14ac:dyDescent="0.35">
      <c r="A236" s="156" t="s">
        <v>656</v>
      </c>
      <c r="B236" s="22">
        <v>44166</v>
      </c>
      <c r="C236">
        <v>55.119998931884773</v>
      </c>
      <c r="D236">
        <v>66.349998474121094</v>
      </c>
      <c r="E236">
        <v>52.090000152587891</v>
      </c>
      <c r="F236">
        <v>63.430000305175781</v>
      </c>
      <c r="G236">
        <v>15911500</v>
      </c>
      <c r="H236">
        <v>53.624763488769531</v>
      </c>
      <c r="I236" s="156" t="s">
        <v>655</v>
      </c>
      <c r="J236" s="22">
        <v>45544</v>
      </c>
      <c r="K236">
        <v>0.34</v>
      </c>
      <c r="L236">
        <v>7.4143028259277344</v>
      </c>
      <c r="M236">
        <v>0.16044640472458571</v>
      </c>
      <c r="N236">
        <v>8.3100013732910156</v>
      </c>
      <c r="O236">
        <v>11.22999954223633</v>
      </c>
      <c r="P236" s="156" t="s">
        <v>586</v>
      </c>
      <c r="Q236">
        <v>2020</v>
      </c>
    </row>
    <row r="237" spans="1:17" hidden="1" x14ac:dyDescent="0.35">
      <c r="A237" s="156" t="s">
        <v>656</v>
      </c>
      <c r="B237" s="22">
        <v>44197</v>
      </c>
      <c r="C237">
        <v>64.910003662109375</v>
      </c>
      <c r="D237">
        <v>72.419998168945313</v>
      </c>
      <c r="E237">
        <v>58.310001373291023</v>
      </c>
      <c r="F237">
        <v>59.150001525878913</v>
      </c>
      <c r="G237">
        <v>16044900</v>
      </c>
      <c r="H237">
        <v>50.267677307128913</v>
      </c>
      <c r="I237" s="156" t="s">
        <v>655</v>
      </c>
      <c r="J237" s="22">
        <v>45544</v>
      </c>
      <c r="K237">
        <v>0</v>
      </c>
      <c r="L237">
        <v>-3.357086181640625</v>
      </c>
      <c r="M237">
        <v>-6.7475938179171524E-2</v>
      </c>
      <c r="N237">
        <v>-5.7600021362304688</v>
      </c>
      <c r="O237">
        <v>7.5099945068359384</v>
      </c>
      <c r="P237" s="156" t="s">
        <v>584</v>
      </c>
      <c r="Q237">
        <v>2021</v>
      </c>
    </row>
    <row r="238" spans="1:17" hidden="1" x14ac:dyDescent="0.35">
      <c r="A238" s="156" t="s">
        <v>656</v>
      </c>
      <c r="B238" s="22">
        <v>44228</v>
      </c>
      <c r="C238">
        <v>59.779998779296882</v>
      </c>
      <c r="D238">
        <v>65.900001525878906</v>
      </c>
      <c r="E238">
        <v>52.240001678466797</v>
      </c>
      <c r="F238">
        <v>56.229999542236328</v>
      </c>
      <c r="G238">
        <v>14362200</v>
      </c>
      <c r="H238">
        <v>47.786155700683587</v>
      </c>
      <c r="I238" s="156" t="s">
        <v>655</v>
      </c>
      <c r="J238" s="22">
        <v>45544</v>
      </c>
      <c r="K238">
        <v>0</v>
      </c>
      <c r="L238">
        <v>-2.4815216064453121</v>
      </c>
      <c r="M238">
        <v>-4.9366050859103283E-2</v>
      </c>
      <c r="N238">
        <v>-3.5499992370605469</v>
      </c>
      <c r="O238">
        <v>6.1200027465820313</v>
      </c>
      <c r="P238" s="156" t="s">
        <v>585</v>
      </c>
      <c r="Q238">
        <v>2021</v>
      </c>
    </row>
    <row r="239" spans="1:17" hidden="1" x14ac:dyDescent="0.35">
      <c r="A239" s="156" t="s">
        <v>656</v>
      </c>
      <c r="B239" s="22">
        <v>44256</v>
      </c>
      <c r="C239">
        <v>57.310001373291023</v>
      </c>
      <c r="D239">
        <v>61</v>
      </c>
      <c r="E239">
        <v>48.930000305175781</v>
      </c>
      <c r="F239">
        <v>56.099998474121087</v>
      </c>
      <c r="G239">
        <v>20427100</v>
      </c>
      <c r="H239">
        <v>47.675682067871087</v>
      </c>
      <c r="I239" s="156" t="s">
        <v>655</v>
      </c>
      <c r="J239" s="22">
        <v>45544</v>
      </c>
      <c r="K239">
        <v>0</v>
      </c>
      <c r="L239">
        <v>-0.1104736328125</v>
      </c>
      <c r="M239">
        <v>-2.3119521460708281E-3</v>
      </c>
      <c r="N239">
        <v>-1.2100028991699221</v>
      </c>
      <c r="O239">
        <v>3.6899986267089839</v>
      </c>
      <c r="P239" s="156" t="s">
        <v>585</v>
      </c>
      <c r="Q239">
        <v>2021</v>
      </c>
    </row>
    <row r="240" spans="1:17" hidden="1" x14ac:dyDescent="0.35">
      <c r="A240" s="156" t="s">
        <v>656</v>
      </c>
      <c r="B240" s="22">
        <v>44287</v>
      </c>
      <c r="C240">
        <v>56.25</v>
      </c>
      <c r="D240">
        <v>57.740001678466797</v>
      </c>
      <c r="E240">
        <v>50.720001220703118</v>
      </c>
      <c r="F240">
        <v>52.400001525878913</v>
      </c>
      <c r="G240">
        <v>10478400</v>
      </c>
      <c r="H240">
        <v>44.531303405761719</v>
      </c>
      <c r="I240" s="156" t="s">
        <v>655</v>
      </c>
      <c r="J240" s="22">
        <v>45544</v>
      </c>
      <c r="K240">
        <v>0.35</v>
      </c>
      <c r="L240">
        <v>-3.144378662109375</v>
      </c>
      <c r="M240">
        <v>-6.5953601584302968E-2</v>
      </c>
      <c r="N240">
        <v>-3.8499984741210942</v>
      </c>
      <c r="O240">
        <v>1.4900016784667971</v>
      </c>
      <c r="P240" s="156" t="s">
        <v>587</v>
      </c>
      <c r="Q240">
        <v>2021</v>
      </c>
    </row>
    <row r="241" spans="1:17" hidden="1" x14ac:dyDescent="0.35">
      <c r="A241" s="156" t="s">
        <v>656</v>
      </c>
      <c r="B241" s="22">
        <v>44317</v>
      </c>
      <c r="C241">
        <v>52.959999084472663</v>
      </c>
      <c r="D241">
        <v>53</v>
      </c>
      <c r="E241">
        <v>44.689998626708977</v>
      </c>
      <c r="F241">
        <v>49.209999084472663</v>
      </c>
      <c r="G241">
        <v>15574800</v>
      </c>
      <c r="H241">
        <v>42.082874298095703</v>
      </c>
      <c r="I241" s="156" t="s">
        <v>655</v>
      </c>
      <c r="J241" s="22">
        <v>45544</v>
      </c>
      <c r="K241">
        <v>0</v>
      </c>
      <c r="L241">
        <v>-2.4484291076660161</v>
      </c>
      <c r="M241">
        <v>-6.0877907414388033E-2</v>
      </c>
      <c r="N241">
        <v>-3.75</v>
      </c>
      <c r="O241">
        <v>4.000091552734375E-2</v>
      </c>
      <c r="P241" s="156" t="s">
        <v>582</v>
      </c>
      <c r="Q241">
        <v>2021</v>
      </c>
    </row>
    <row r="242" spans="1:17" hidden="1" x14ac:dyDescent="0.35">
      <c r="A242" s="156" t="s">
        <v>656</v>
      </c>
      <c r="B242" s="22">
        <v>44348</v>
      </c>
      <c r="C242">
        <v>49.959999084472663</v>
      </c>
      <c r="D242">
        <v>58.090000152587891</v>
      </c>
      <c r="E242">
        <v>47.900001525878913</v>
      </c>
      <c r="F242">
        <v>56.150001525878913</v>
      </c>
      <c r="G242">
        <v>13268500</v>
      </c>
      <c r="H242">
        <v>48.017749786376953</v>
      </c>
      <c r="I242" s="156" t="s">
        <v>655</v>
      </c>
      <c r="J242" s="22">
        <v>45544</v>
      </c>
      <c r="K242">
        <v>0</v>
      </c>
      <c r="L242">
        <v>5.93487548828125</v>
      </c>
      <c r="M242">
        <v>0.1410282985271594</v>
      </c>
      <c r="N242">
        <v>6.19000244140625</v>
      </c>
      <c r="O242">
        <v>8.1300010681152344</v>
      </c>
      <c r="P242" s="156" t="s">
        <v>586</v>
      </c>
      <c r="Q242">
        <v>2021</v>
      </c>
    </row>
    <row r="243" spans="1:17" hidden="1" x14ac:dyDescent="0.35">
      <c r="A243" s="156" t="s">
        <v>656</v>
      </c>
      <c r="B243" s="22">
        <v>44378</v>
      </c>
      <c r="C243">
        <v>55.830001831054688</v>
      </c>
      <c r="D243">
        <v>59.25</v>
      </c>
      <c r="E243">
        <v>52.060001373291023</v>
      </c>
      <c r="F243">
        <v>56.799999237060547</v>
      </c>
      <c r="G243">
        <v>8437600</v>
      </c>
      <c r="H243">
        <v>48.573612213134773</v>
      </c>
      <c r="I243" s="156" t="s">
        <v>655</v>
      </c>
      <c r="J243" s="22">
        <v>45544</v>
      </c>
      <c r="K243">
        <v>0.35</v>
      </c>
      <c r="L243">
        <v>0.5558624267578125</v>
      </c>
      <c r="M243">
        <v>1.1576094274584611E-2</v>
      </c>
      <c r="N243">
        <v>0.96999740600585938</v>
      </c>
      <c r="O243">
        <v>3.4199981689453121</v>
      </c>
      <c r="P243" s="156" t="s">
        <v>587</v>
      </c>
      <c r="Q243">
        <v>2021</v>
      </c>
    </row>
    <row r="244" spans="1:17" hidden="1" x14ac:dyDescent="0.35">
      <c r="A244" s="156" t="s">
        <v>656</v>
      </c>
      <c r="B244" s="22">
        <v>44409</v>
      </c>
      <c r="C244">
        <v>57.299999237060547</v>
      </c>
      <c r="D244">
        <v>60.779998779296882</v>
      </c>
      <c r="E244">
        <v>54.770000457763672</v>
      </c>
      <c r="F244">
        <v>60.369998931884773</v>
      </c>
      <c r="G244">
        <v>7349000</v>
      </c>
      <c r="H244">
        <v>51.950389862060547</v>
      </c>
      <c r="I244" s="156" t="s">
        <v>655</v>
      </c>
      <c r="J244" s="22">
        <v>45544</v>
      </c>
      <c r="K244">
        <v>0</v>
      </c>
      <c r="L244">
        <v>3.3767776489257808</v>
      </c>
      <c r="M244">
        <v>6.2852108147474883E-2</v>
      </c>
      <c r="N244">
        <v>3.0699996948242192</v>
      </c>
      <c r="O244">
        <v>3.4799995422363281</v>
      </c>
      <c r="P244" s="156" t="s">
        <v>583</v>
      </c>
      <c r="Q244">
        <v>2021</v>
      </c>
    </row>
    <row r="245" spans="1:17" hidden="1" x14ac:dyDescent="0.35">
      <c r="A245" s="156" t="s">
        <v>656</v>
      </c>
      <c r="B245" s="22">
        <v>44440</v>
      </c>
      <c r="C245">
        <v>60.549999237060547</v>
      </c>
      <c r="D245">
        <v>61.849998474121087</v>
      </c>
      <c r="E245">
        <v>53.450000762939453</v>
      </c>
      <c r="F245">
        <v>53.479999542236328</v>
      </c>
      <c r="G245">
        <v>9558300</v>
      </c>
      <c r="H245">
        <v>46.021316528320313</v>
      </c>
      <c r="I245" s="156" t="s">
        <v>655</v>
      </c>
      <c r="J245" s="22">
        <v>45544</v>
      </c>
      <c r="K245">
        <v>0.35</v>
      </c>
      <c r="L245">
        <v>-5.9290733337402344</v>
      </c>
      <c r="M245">
        <v>-0.1141295264461144</v>
      </c>
      <c r="N245">
        <v>-7.0699996948242188</v>
      </c>
      <c r="O245">
        <v>1.2999992370605471</v>
      </c>
      <c r="P245" s="156" t="s">
        <v>581</v>
      </c>
      <c r="Q245">
        <v>2021</v>
      </c>
    </row>
    <row r="246" spans="1:17" hidden="1" x14ac:dyDescent="0.35">
      <c r="A246" s="156" t="s">
        <v>656</v>
      </c>
      <c r="B246" s="22">
        <v>44470</v>
      </c>
      <c r="C246">
        <v>53.569999694824219</v>
      </c>
      <c r="D246">
        <v>62.279998779296882</v>
      </c>
      <c r="E246">
        <v>52.529998779296882</v>
      </c>
      <c r="F246">
        <v>60.400001525878913</v>
      </c>
      <c r="G246">
        <v>9287800</v>
      </c>
      <c r="H246">
        <v>52.314655303955078</v>
      </c>
      <c r="I246" s="156" t="s">
        <v>655</v>
      </c>
      <c r="J246" s="22">
        <v>45544</v>
      </c>
      <c r="K246">
        <v>0</v>
      </c>
      <c r="L246">
        <v>6.2933387756347656</v>
      </c>
      <c r="M246">
        <v>0.12939420424223161</v>
      </c>
      <c r="N246">
        <v>6.8300018310546884</v>
      </c>
      <c r="O246">
        <v>8.7099990844726563</v>
      </c>
      <c r="P246" s="156" t="s">
        <v>584</v>
      </c>
      <c r="Q246">
        <v>2021</v>
      </c>
    </row>
    <row r="247" spans="1:17" hidden="1" x14ac:dyDescent="0.35">
      <c r="A247" s="156" t="s">
        <v>656</v>
      </c>
      <c r="B247" s="22">
        <v>44501</v>
      </c>
      <c r="C247">
        <v>60.459999084472663</v>
      </c>
      <c r="D247">
        <v>65.739997863769531</v>
      </c>
      <c r="E247">
        <v>56.229999542236328</v>
      </c>
      <c r="F247">
        <v>56.880001068115227</v>
      </c>
      <c r="G247">
        <v>8208400</v>
      </c>
      <c r="H247">
        <v>49.265853881835938</v>
      </c>
      <c r="I247" s="156" t="s">
        <v>655</v>
      </c>
      <c r="J247" s="22">
        <v>45544</v>
      </c>
      <c r="K247">
        <v>0</v>
      </c>
      <c r="L247">
        <v>-3.0488014221191411</v>
      </c>
      <c r="M247">
        <v>-5.8278151801958063E-2</v>
      </c>
      <c r="N247">
        <v>-3.5799980163574219</v>
      </c>
      <c r="O247">
        <v>5.279998779296875</v>
      </c>
      <c r="P247" s="156" t="s">
        <v>585</v>
      </c>
      <c r="Q247">
        <v>2021</v>
      </c>
    </row>
    <row r="248" spans="1:17" hidden="1" x14ac:dyDescent="0.35">
      <c r="A248" s="156" t="s">
        <v>656</v>
      </c>
      <c r="B248" s="22">
        <v>44531</v>
      </c>
      <c r="C248">
        <v>58</v>
      </c>
      <c r="D248">
        <v>59.25</v>
      </c>
      <c r="E248">
        <v>50.279998779296882</v>
      </c>
      <c r="F248">
        <v>53.119998931884773</v>
      </c>
      <c r="G248">
        <v>11056100</v>
      </c>
      <c r="H248">
        <v>46.009174346923828</v>
      </c>
      <c r="I248" s="156" t="s">
        <v>655</v>
      </c>
      <c r="J248" s="22">
        <v>45544</v>
      </c>
      <c r="K248">
        <v>0.35</v>
      </c>
      <c r="L248">
        <v>-3.2566795349121089</v>
      </c>
      <c r="M248">
        <v>-6.6104115077771697E-2</v>
      </c>
      <c r="N248">
        <v>-4.8800010681152344</v>
      </c>
      <c r="O248">
        <v>1.25</v>
      </c>
      <c r="P248" s="156" t="s">
        <v>581</v>
      </c>
      <c r="Q248">
        <v>2021</v>
      </c>
    </row>
    <row r="249" spans="1:17" hidden="1" x14ac:dyDescent="0.35">
      <c r="A249" s="156" t="s">
        <v>656</v>
      </c>
      <c r="B249" s="22">
        <v>44562</v>
      </c>
      <c r="C249">
        <v>53.299999237060547</v>
      </c>
      <c r="D249">
        <v>54.689998626708977</v>
      </c>
      <c r="E249">
        <v>34.659999847412109</v>
      </c>
      <c r="F249">
        <v>41.479999542236328</v>
      </c>
      <c r="G249">
        <v>16846000</v>
      </c>
      <c r="H249">
        <v>36.165500640869141</v>
      </c>
      <c r="I249" s="156" t="s">
        <v>655</v>
      </c>
      <c r="J249" s="22">
        <v>45544</v>
      </c>
      <c r="K249">
        <v>0</v>
      </c>
      <c r="L249">
        <v>-9.8436737060546875</v>
      </c>
      <c r="M249">
        <v>-0.21912649894015029</v>
      </c>
      <c r="N249">
        <v>-11.819999694824221</v>
      </c>
      <c r="O249">
        <v>1.3899993896484379</v>
      </c>
      <c r="P249" s="156" t="s">
        <v>582</v>
      </c>
      <c r="Q249">
        <v>2022</v>
      </c>
    </row>
    <row r="250" spans="1:17" hidden="1" x14ac:dyDescent="0.35">
      <c r="A250" s="156" t="s">
        <v>656</v>
      </c>
      <c r="B250" s="22">
        <v>44593</v>
      </c>
      <c r="C250">
        <v>41.479999542236328</v>
      </c>
      <c r="D250">
        <v>49.650001525878913</v>
      </c>
      <c r="E250">
        <v>38.889999389648438</v>
      </c>
      <c r="F250">
        <v>47.340000152587891</v>
      </c>
      <c r="G250">
        <v>15754500</v>
      </c>
      <c r="H250">
        <v>41.274703979492188</v>
      </c>
      <c r="I250" s="156" t="s">
        <v>655</v>
      </c>
      <c r="J250" s="22">
        <v>45544</v>
      </c>
      <c r="K250">
        <v>0</v>
      </c>
      <c r="L250">
        <v>5.1092033386230469</v>
      </c>
      <c r="M250">
        <v>0.14127291887707741</v>
      </c>
      <c r="N250">
        <v>5.8600006103515616</v>
      </c>
      <c r="O250">
        <v>8.1700019836425781</v>
      </c>
      <c r="P250" s="156" t="s">
        <v>586</v>
      </c>
      <c r="Q250">
        <v>2022</v>
      </c>
    </row>
    <row r="251" spans="1:17" hidden="1" x14ac:dyDescent="0.35">
      <c r="A251" s="156" t="s">
        <v>656</v>
      </c>
      <c r="B251" s="22">
        <v>44621</v>
      </c>
      <c r="C251">
        <v>46.959999084472663</v>
      </c>
      <c r="D251">
        <v>51.709999084472663</v>
      </c>
      <c r="E251">
        <v>44.180000305175781</v>
      </c>
      <c r="F251">
        <v>47.430000305175781</v>
      </c>
      <c r="G251">
        <v>16422500</v>
      </c>
      <c r="H251">
        <v>41.353179931640618</v>
      </c>
      <c r="I251" s="156" t="s">
        <v>655</v>
      </c>
      <c r="J251" s="22">
        <v>45544</v>
      </c>
      <c r="K251">
        <v>0</v>
      </c>
      <c r="L251">
        <v>7.84759521484375E-2</v>
      </c>
      <c r="M251">
        <v>1.9011439015166329E-3</v>
      </c>
      <c r="N251">
        <v>0.470001220703125</v>
      </c>
      <c r="O251">
        <v>4.75</v>
      </c>
      <c r="P251" s="156" t="s">
        <v>586</v>
      </c>
      <c r="Q251">
        <v>2022</v>
      </c>
    </row>
    <row r="252" spans="1:17" hidden="1" x14ac:dyDescent="0.35">
      <c r="A252" s="156" t="s">
        <v>656</v>
      </c>
      <c r="B252" s="22">
        <v>44652</v>
      </c>
      <c r="C252">
        <v>47.200000762939453</v>
      </c>
      <c r="D252">
        <v>49.709999084472663</v>
      </c>
      <c r="E252">
        <v>39.069999694824219</v>
      </c>
      <c r="F252">
        <v>39.990001678466797</v>
      </c>
      <c r="G252">
        <v>16945000</v>
      </c>
      <c r="H252">
        <v>34.866405487060547</v>
      </c>
      <c r="I252" s="156" t="s">
        <v>655</v>
      </c>
      <c r="J252" s="22">
        <v>45544</v>
      </c>
      <c r="K252">
        <v>0.375</v>
      </c>
      <c r="L252">
        <v>-6.4867744445800781</v>
      </c>
      <c r="M252">
        <v>-0.15686271513468861</v>
      </c>
      <c r="N252">
        <v>-7.2099990844726563</v>
      </c>
      <c r="O252">
        <v>2.5099983215332031</v>
      </c>
      <c r="P252" s="156" t="s">
        <v>584</v>
      </c>
      <c r="Q252">
        <v>2022</v>
      </c>
    </row>
    <row r="253" spans="1:17" hidden="1" x14ac:dyDescent="0.35">
      <c r="A253" s="156" t="s">
        <v>656</v>
      </c>
      <c r="B253" s="22">
        <v>44682</v>
      </c>
      <c r="C253">
        <v>40</v>
      </c>
      <c r="D253">
        <v>43.299999237060547</v>
      </c>
      <c r="E253">
        <v>33.610000610351563</v>
      </c>
      <c r="F253">
        <v>38.069999694824219</v>
      </c>
      <c r="G253">
        <v>17661700</v>
      </c>
      <c r="H253">
        <v>33.456916809082031</v>
      </c>
      <c r="I253" s="156" t="s">
        <v>655</v>
      </c>
      <c r="J253" s="22">
        <v>45544</v>
      </c>
      <c r="K253">
        <v>0</v>
      </c>
      <c r="L253">
        <v>-1.4094886779785161</v>
      </c>
      <c r="M253">
        <v>-4.8012050589045903E-2</v>
      </c>
      <c r="N253">
        <v>-1.930000305175781</v>
      </c>
      <c r="O253">
        <v>3.2999992370605469</v>
      </c>
      <c r="P253" s="156" t="s">
        <v>583</v>
      </c>
      <c r="Q253">
        <v>2022</v>
      </c>
    </row>
    <row r="254" spans="1:17" hidden="1" x14ac:dyDescent="0.35">
      <c r="A254" s="156" t="s">
        <v>656</v>
      </c>
      <c r="B254" s="22">
        <v>44713</v>
      </c>
      <c r="C254">
        <v>38.419998168945313</v>
      </c>
      <c r="D254">
        <v>40.659999847412109</v>
      </c>
      <c r="E254">
        <v>34.080001831054688</v>
      </c>
      <c r="F254">
        <v>37.860000610351563</v>
      </c>
      <c r="G254">
        <v>14636800</v>
      </c>
      <c r="H254">
        <v>33.272373199462891</v>
      </c>
      <c r="I254" s="156" t="s">
        <v>655</v>
      </c>
      <c r="J254" s="22">
        <v>45544</v>
      </c>
      <c r="K254">
        <v>0</v>
      </c>
      <c r="L254">
        <v>-0.1845436096191406</v>
      </c>
      <c r="M254">
        <v>-5.5161304480180204E-3</v>
      </c>
      <c r="N254">
        <v>-0.55999755859375</v>
      </c>
      <c r="O254">
        <v>2.2400016784667969</v>
      </c>
      <c r="P254" s="156" t="s">
        <v>581</v>
      </c>
      <c r="Q254">
        <v>2022</v>
      </c>
    </row>
    <row r="255" spans="1:17" hidden="1" x14ac:dyDescent="0.35">
      <c r="A255" s="156" t="s">
        <v>656</v>
      </c>
      <c r="B255" s="22">
        <v>44743</v>
      </c>
      <c r="C255">
        <v>37.569999694824219</v>
      </c>
      <c r="D255">
        <v>39.259998321533203</v>
      </c>
      <c r="E255">
        <v>28.680000305175781</v>
      </c>
      <c r="F255">
        <v>36.090000152587891</v>
      </c>
      <c r="G255">
        <v>31502000</v>
      </c>
      <c r="H255">
        <v>31.716840744018551</v>
      </c>
      <c r="I255" s="156" t="s">
        <v>655</v>
      </c>
      <c r="J255" s="22">
        <v>45544</v>
      </c>
      <c r="K255">
        <v>0.375</v>
      </c>
      <c r="L255">
        <v>-1.5555324554443359</v>
      </c>
      <c r="M255">
        <v>-4.6751199926809428E-2</v>
      </c>
      <c r="N255">
        <v>-1.4799995422363279</v>
      </c>
      <c r="O255">
        <v>1.6899986267089839</v>
      </c>
      <c r="P255" s="156" t="s">
        <v>584</v>
      </c>
      <c r="Q255">
        <v>2022</v>
      </c>
    </row>
    <row r="256" spans="1:17" hidden="1" x14ac:dyDescent="0.35">
      <c r="A256" s="156" t="s">
        <v>656</v>
      </c>
      <c r="B256" s="22">
        <v>44774</v>
      </c>
      <c r="C256">
        <v>35.810001373291023</v>
      </c>
      <c r="D256">
        <v>46.240001678466797</v>
      </c>
      <c r="E256">
        <v>35.409999847412109</v>
      </c>
      <c r="F256">
        <v>39.520000457763672</v>
      </c>
      <c r="G256">
        <v>17414800</v>
      </c>
      <c r="H256">
        <v>35.078666687011719</v>
      </c>
      <c r="I256" s="156" t="s">
        <v>655</v>
      </c>
      <c r="J256" s="22">
        <v>45544</v>
      </c>
      <c r="K256">
        <v>0</v>
      </c>
      <c r="L256">
        <v>3.3618259429931641</v>
      </c>
      <c r="M256">
        <v>9.5040185388578502E-2</v>
      </c>
      <c r="N256">
        <v>3.7099990844726558</v>
      </c>
      <c r="O256">
        <v>10.430000305175779</v>
      </c>
      <c r="P256" s="156" t="s">
        <v>585</v>
      </c>
      <c r="Q256">
        <v>2022</v>
      </c>
    </row>
    <row r="257" spans="1:17" hidden="1" x14ac:dyDescent="0.35">
      <c r="A257" s="156" t="s">
        <v>656</v>
      </c>
      <c r="B257" s="22">
        <v>44805</v>
      </c>
      <c r="C257">
        <v>39.369998931884773</v>
      </c>
      <c r="D257">
        <v>41.240001678466797</v>
      </c>
      <c r="E257">
        <v>28.670000076293949</v>
      </c>
      <c r="F257">
        <v>29.930000305175781</v>
      </c>
      <c r="G257">
        <v>14030100</v>
      </c>
      <c r="H257">
        <v>26.566408157348629</v>
      </c>
      <c r="I257" s="156" t="s">
        <v>655</v>
      </c>
      <c r="J257" s="22">
        <v>45544</v>
      </c>
      <c r="K257">
        <v>0</v>
      </c>
      <c r="L257">
        <v>-8.5122585296630859</v>
      </c>
      <c r="M257">
        <v>-0.24266194437009281</v>
      </c>
      <c r="N257">
        <v>-9.4399986267089844</v>
      </c>
      <c r="O257">
        <v>1.870002746582031</v>
      </c>
      <c r="P257" s="156" t="s">
        <v>587</v>
      </c>
      <c r="Q257">
        <v>2022</v>
      </c>
    </row>
    <row r="258" spans="1:17" hidden="1" x14ac:dyDescent="0.35">
      <c r="A258" s="156" t="s">
        <v>656</v>
      </c>
      <c r="B258" s="22">
        <v>44835</v>
      </c>
      <c r="C258">
        <v>29.930000305175781</v>
      </c>
      <c r="D258">
        <v>31.940000534057621</v>
      </c>
      <c r="E258">
        <v>21.559999465942379</v>
      </c>
      <c r="F258">
        <v>27.180000305175781</v>
      </c>
      <c r="G258">
        <v>22719500</v>
      </c>
      <c r="H258">
        <v>24.12546539306641</v>
      </c>
      <c r="I258" s="156" t="s">
        <v>655</v>
      </c>
      <c r="J258" s="22">
        <v>45544</v>
      </c>
      <c r="K258">
        <v>0.375</v>
      </c>
      <c r="L258">
        <v>-2.440942764282227</v>
      </c>
      <c r="M258">
        <v>-9.1881054860010969E-2</v>
      </c>
      <c r="N258">
        <v>-2.75</v>
      </c>
      <c r="O258">
        <v>2.0100002288818359</v>
      </c>
      <c r="P258" s="156" t="s">
        <v>582</v>
      </c>
      <c r="Q258">
        <v>2022</v>
      </c>
    </row>
    <row r="259" spans="1:17" hidden="1" x14ac:dyDescent="0.35">
      <c r="A259" s="156" t="s">
        <v>656</v>
      </c>
      <c r="B259" s="22">
        <v>44866</v>
      </c>
      <c r="C259">
        <v>27.85000038146973</v>
      </c>
      <c r="D259">
        <v>33.569999694824219</v>
      </c>
      <c r="E259">
        <v>25.260000228881839</v>
      </c>
      <c r="F259">
        <v>32.439998626708977</v>
      </c>
      <c r="G259">
        <v>17166000</v>
      </c>
      <c r="H259">
        <v>29.15968132019043</v>
      </c>
      <c r="I259" s="156" t="s">
        <v>655</v>
      </c>
      <c r="J259" s="22">
        <v>45544</v>
      </c>
      <c r="K259">
        <v>0</v>
      </c>
      <c r="L259">
        <v>5.0342159271240234</v>
      </c>
      <c r="M259">
        <v>0.19352458655166241</v>
      </c>
      <c r="N259">
        <v>4.5899982452392578</v>
      </c>
      <c r="O259">
        <v>5.7199993133544922</v>
      </c>
      <c r="P259" s="156" t="s">
        <v>586</v>
      </c>
      <c r="Q259">
        <v>2022</v>
      </c>
    </row>
    <row r="260" spans="1:17" hidden="1" x14ac:dyDescent="0.35">
      <c r="A260" s="156" t="s">
        <v>656</v>
      </c>
      <c r="B260" s="22">
        <v>44896</v>
      </c>
      <c r="C260">
        <v>32.540000915527337</v>
      </c>
      <c r="D260">
        <v>35.310001373291023</v>
      </c>
      <c r="E260">
        <v>28.20999908447266</v>
      </c>
      <c r="F260">
        <v>28.979999542236332</v>
      </c>
      <c r="G260">
        <v>11911200</v>
      </c>
      <c r="H260">
        <v>26.049554824829102</v>
      </c>
      <c r="I260" s="156" t="s">
        <v>655</v>
      </c>
      <c r="J260" s="22">
        <v>45544</v>
      </c>
      <c r="K260">
        <v>0.375</v>
      </c>
      <c r="L260">
        <v>-3.1101264953613281</v>
      </c>
      <c r="M260">
        <v>-0.10665842265553969</v>
      </c>
      <c r="N260">
        <v>-3.5600013732910161</v>
      </c>
      <c r="O260">
        <v>2.7700004577636719</v>
      </c>
      <c r="P260" s="156" t="s">
        <v>587</v>
      </c>
      <c r="Q260">
        <v>2022</v>
      </c>
    </row>
    <row r="261" spans="1:17" hidden="1" x14ac:dyDescent="0.35">
      <c r="A261" s="156" t="s">
        <v>656</v>
      </c>
      <c r="B261" s="22">
        <v>44927</v>
      </c>
      <c r="C261">
        <v>29.520000457763668</v>
      </c>
      <c r="D261">
        <v>37.270000457763672</v>
      </c>
      <c r="E261">
        <v>28.20999908447266</v>
      </c>
      <c r="F261">
        <v>36.909999847412109</v>
      </c>
      <c r="G261">
        <v>10322800</v>
      </c>
      <c r="H261">
        <v>33.594417572021477</v>
      </c>
      <c r="I261" s="156" t="s">
        <v>655</v>
      </c>
      <c r="J261" s="22">
        <v>45544</v>
      </c>
      <c r="K261">
        <v>0</v>
      </c>
      <c r="L261">
        <v>7.5448627471923828</v>
      </c>
      <c r="M261">
        <v>0.27363700588118922</v>
      </c>
      <c r="N261">
        <v>7.3899993896484384</v>
      </c>
      <c r="O261">
        <v>7.75</v>
      </c>
      <c r="P261" s="156" t="s">
        <v>583</v>
      </c>
      <c r="Q261">
        <v>2023</v>
      </c>
    </row>
    <row r="262" spans="1:17" hidden="1" x14ac:dyDescent="0.35">
      <c r="A262" s="156" t="s">
        <v>656</v>
      </c>
      <c r="B262" s="22">
        <v>44958</v>
      </c>
      <c r="C262">
        <v>36.639999389648438</v>
      </c>
      <c r="D262">
        <v>39.669998168945313</v>
      </c>
      <c r="E262">
        <v>30.739999771118161</v>
      </c>
      <c r="F262">
        <v>31.409999847412109</v>
      </c>
      <c r="G262">
        <v>11204200</v>
      </c>
      <c r="H262">
        <v>28.588472366333011</v>
      </c>
      <c r="I262" s="156" t="s">
        <v>655</v>
      </c>
      <c r="J262" s="22">
        <v>45544</v>
      </c>
      <c r="K262">
        <v>0</v>
      </c>
      <c r="L262">
        <v>-5.0059452056884766</v>
      </c>
      <c r="M262">
        <v>-0.14901110871680551</v>
      </c>
      <c r="N262">
        <v>-5.2299995422363281</v>
      </c>
      <c r="O262">
        <v>3.029998779296875</v>
      </c>
      <c r="P262" s="156" t="s">
        <v>581</v>
      </c>
      <c r="Q262">
        <v>2023</v>
      </c>
    </row>
    <row r="263" spans="1:17" hidden="1" x14ac:dyDescent="0.35">
      <c r="A263" s="156" t="s">
        <v>656</v>
      </c>
      <c r="B263" s="22">
        <v>44986</v>
      </c>
      <c r="C263">
        <v>31.5</v>
      </c>
      <c r="D263">
        <v>31.629999160766602</v>
      </c>
      <c r="E263">
        <v>23.5</v>
      </c>
      <c r="F263">
        <v>28.60000038146973</v>
      </c>
      <c r="G263">
        <v>23223800</v>
      </c>
      <c r="H263">
        <v>26.030893325805661</v>
      </c>
      <c r="I263" s="156" t="s">
        <v>655</v>
      </c>
      <c r="J263" s="22">
        <v>45544</v>
      </c>
      <c r="K263">
        <v>0.39500000000000002</v>
      </c>
      <c r="L263">
        <v>-2.5575790405273442</v>
      </c>
      <c r="M263">
        <v>-8.9461938223278969E-2</v>
      </c>
      <c r="N263">
        <v>-2.899999618530273</v>
      </c>
      <c r="O263">
        <v>0.12999916076660159</v>
      </c>
      <c r="P263" s="156" t="s">
        <v>581</v>
      </c>
      <c r="Q263">
        <v>2023</v>
      </c>
    </row>
    <row r="264" spans="1:17" hidden="1" x14ac:dyDescent="0.35">
      <c r="A264" s="156" t="s">
        <v>656</v>
      </c>
      <c r="B264" s="22">
        <v>45017</v>
      </c>
      <c r="C264">
        <v>28.690000534057621</v>
      </c>
      <c r="D264">
        <v>29.090000152587891</v>
      </c>
      <c r="E264">
        <v>26.180000305175781</v>
      </c>
      <c r="F264">
        <v>28.379999160766602</v>
      </c>
      <c r="G264">
        <v>9157400</v>
      </c>
      <c r="H264">
        <v>26.19681549072266</v>
      </c>
      <c r="I264" s="156" t="s">
        <v>655</v>
      </c>
      <c r="J264" s="22">
        <v>45544</v>
      </c>
      <c r="K264">
        <v>0</v>
      </c>
      <c r="L264">
        <v>0.16592216491699219</v>
      </c>
      <c r="M264">
        <v>-7.69235027163373E-3</v>
      </c>
      <c r="N264">
        <v>-0.31000137329101563</v>
      </c>
      <c r="O264">
        <v>0.39999961853027338</v>
      </c>
      <c r="P264" s="156" t="s">
        <v>582</v>
      </c>
      <c r="Q264">
        <v>2023</v>
      </c>
    </row>
    <row r="265" spans="1:17" hidden="1" x14ac:dyDescent="0.35">
      <c r="A265" s="156" t="s">
        <v>656</v>
      </c>
      <c r="B265" s="22">
        <v>45047</v>
      </c>
      <c r="C265">
        <v>28.389999389648441</v>
      </c>
      <c r="D265">
        <v>28.520000457763668</v>
      </c>
      <c r="E265">
        <v>22.430000305175781</v>
      </c>
      <c r="F265">
        <v>23.530000686645511</v>
      </c>
      <c r="G265">
        <v>30016200</v>
      </c>
      <c r="H265">
        <v>21.719911575317379</v>
      </c>
      <c r="I265" s="156" t="s">
        <v>655</v>
      </c>
      <c r="J265" s="22">
        <v>45544</v>
      </c>
      <c r="K265">
        <v>0</v>
      </c>
      <c r="L265">
        <v>-4.4769039154052734</v>
      </c>
      <c r="M265">
        <v>-0.1708949477639832</v>
      </c>
      <c r="N265">
        <v>-4.8599987030029297</v>
      </c>
      <c r="O265">
        <v>0.1300010681152344</v>
      </c>
      <c r="P265" s="156" t="s">
        <v>585</v>
      </c>
      <c r="Q265">
        <v>2023</v>
      </c>
    </row>
    <row r="266" spans="1:17" hidden="1" x14ac:dyDescent="0.35">
      <c r="A266" s="156" t="s">
        <v>656</v>
      </c>
      <c r="B266" s="22">
        <v>45078</v>
      </c>
      <c r="C266">
        <v>23.530000686645511</v>
      </c>
      <c r="D266">
        <v>28.54999923706055</v>
      </c>
      <c r="E266">
        <v>23.10000038146973</v>
      </c>
      <c r="F266">
        <v>25</v>
      </c>
      <c r="G266">
        <v>22893000</v>
      </c>
      <c r="H266">
        <v>23.07682991027832</v>
      </c>
      <c r="I266" s="156" t="s">
        <v>655</v>
      </c>
      <c r="J266" s="22">
        <v>45544</v>
      </c>
      <c r="K266">
        <v>0</v>
      </c>
      <c r="L266">
        <v>1.3569183349609379</v>
      </c>
      <c r="M266">
        <v>6.2473407159260752E-2</v>
      </c>
      <c r="N266">
        <v>1.469999313354492</v>
      </c>
      <c r="O266">
        <v>5.0199985504150391</v>
      </c>
      <c r="P266" s="156" t="s">
        <v>587</v>
      </c>
      <c r="Q266">
        <v>2023</v>
      </c>
    </row>
    <row r="267" spans="1:17" hidden="1" x14ac:dyDescent="0.35">
      <c r="A267" s="156" t="s">
        <v>656</v>
      </c>
      <c r="B267" s="22">
        <v>45108</v>
      </c>
      <c r="C267">
        <v>24.60000038146973</v>
      </c>
      <c r="D267">
        <v>29.430000305175781</v>
      </c>
      <c r="E267">
        <v>23.409999847412109</v>
      </c>
      <c r="F267">
        <v>26.110000610351559</v>
      </c>
      <c r="G267">
        <v>12938800</v>
      </c>
      <c r="H267">
        <v>24.1014404296875</v>
      </c>
      <c r="I267" s="156" t="s">
        <v>655</v>
      </c>
      <c r="J267" s="22">
        <v>45544</v>
      </c>
      <c r="K267">
        <v>0.39500000000000002</v>
      </c>
      <c r="L267">
        <v>1.0246105194091799</v>
      </c>
      <c r="M267">
        <v>4.4400024414062537E-2</v>
      </c>
      <c r="N267">
        <v>1.5100002288818359</v>
      </c>
      <c r="O267">
        <v>4.8299999237060547</v>
      </c>
      <c r="P267" s="156" t="s">
        <v>582</v>
      </c>
      <c r="Q267">
        <v>2023</v>
      </c>
    </row>
    <row r="268" spans="1:17" hidden="1" x14ac:dyDescent="0.35">
      <c r="A268" s="156" t="s">
        <v>656</v>
      </c>
      <c r="B268" s="22">
        <v>45139</v>
      </c>
      <c r="C268">
        <v>25.909999847412109</v>
      </c>
      <c r="D268">
        <v>26</v>
      </c>
      <c r="E268">
        <v>19.45999908447266</v>
      </c>
      <c r="F268">
        <v>22.370000839233398</v>
      </c>
      <c r="G268">
        <v>38013400</v>
      </c>
      <c r="H268">
        <v>20.980642318725589</v>
      </c>
      <c r="I268" s="156" t="s">
        <v>655</v>
      </c>
      <c r="J268" s="22">
        <v>45544</v>
      </c>
      <c r="K268">
        <v>0</v>
      </c>
      <c r="L268">
        <v>-3.1207981109619141</v>
      </c>
      <c r="M268">
        <v>-0.14324012576374301</v>
      </c>
      <c r="N268">
        <v>-3.5399990081787109</v>
      </c>
      <c r="O268">
        <v>9.0000152587890625E-2</v>
      </c>
      <c r="P268" s="156" t="s">
        <v>586</v>
      </c>
      <c r="Q268">
        <v>2023</v>
      </c>
    </row>
    <row r="269" spans="1:17" hidden="1" x14ac:dyDescent="0.35">
      <c r="A269" s="156" t="s">
        <v>656</v>
      </c>
      <c r="B269" s="22">
        <v>45170</v>
      </c>
      <c r="C269">
        <v>22.739999771118161</v>
      </c>
      <c r="D269">
        <v>25.469999313354489</v>
      </c>
      <c r="E269">
        <v>20.85000038146973</v>
      </c>
      <c r="F269">
        <v>21.20000076293945</v>
      </c>
      <c r="G269">
        <v>62566000</v>
      </c>
      <c r="H269">
        <v>19.883308410644531</v>
      </c>
      <c r="I269" s="156" t="s">
        <v>655</v>
      </c>
      <c r="J269" s="22">
        <v>45544</v>
      </c>
      <c r="K269">
        <v>0</v>
      </c>
      <c r="L269">
        <v>-1.0973339080810549</v>
      </c>
      <c r="M269">
        <v>-5.2302191881993698E-2</v>
      </c>
      <c r="N269">
        <v>-1.5399990081787109</v>
      </c>
      <c r="O269">
        <v>2.7299995422363281</v>
      </c>
      <c r="P269" s="156" t="s">
        <v>584</v>
      </c>
      <c r="Q269">
        <v>2023</v>
      </c>
    </row>
    <row r="270" spans="1:17" hidden="1" x14ac:dyDescent="0.35">
      <c r="A270" s="156" t="s">
        <v>656</v>
      </c>
      <c r="B270" s="22">
        <v>45200</v>
      </c>
      <c r="C270">
        <v>21.020000457763668</v>
      </c>
      <c r="D270">
        <v>21.170000076293949</v>
      </c>
      <c r="E270">
        <v>13.22000026702881</v>
      </c>
      <c r="F270">
        <v>17.139999389648441</v>
      </c>
      <c r="G270">
        <v>57474600</v>
      </c>
      <c r="H270">
        <v>16.075468063354489</v>
      </c>
      <c r="I270" s="156" t="s">
        <v>655</v>
      </c>
      <c r="J270" s="22">
        <v>45544</v>
      </c>
      <c r="K270">
        <v>0.39500000000000002</v>
      </c>
      <c r="L270">
        <v>-3.8078403472900391</v>
      </c>
      <c r="M270">
        <v>-0.19150949184815411</v>
      </c>
      <c r="N270">
        <v>-3.8800010681152339</v>
      </c>
      <c r="O270">
        <v>0.14999961853027341</v>
      </c>
      <c r="P270" s="156" t="s">
        <v>583</v>
      </c>
      <c r="Q270">
        <v>2023</v>
      </c>
    </row>
    <row r="271" spans="1:17" hidden="1" x14ac:dyDescent="0.35">
      <c r="A271" s="156" t="s">
        <v>656</v>
      </c>
      <c r="B271" s="22">
        <v>45231</v>
      </c>
      <c r="C271">
        <v>17.29999923706055</v>
      </c>
      <c r="D271">
        <v>24.70000076293945</v>
      </c>
      <c r="E271">
        <v>16.79999923706055</v>
      </c>
      <c r="F271">
        <v>24.20999908447266</v>
      </c>
      <c r="G271">
        <v>28992000</v>
      </c>
      <c r="H271">
        <v>23.171438217163089</v>
      </c>
      <c r="I271" s="156" t="s">
        <v>655</v>
      </c>
      <c r="J271" s="22">
        <v>45544</v>
      </c>
      <c r="K271">
        <v>0</v>
      </c>
      <c r="L271">
        <v>7.0959701538085938</v>
      </c>
      <c r="M271">
        <v>0.41248541111933101</v>
      </c>
      <c r="N271">
        <v>6.9099998474121094</v>
      </c>
      <c r="O271">
        <v>7.4000015258789063</v>
      </c>
      <c r="P271" s="156" t="s">
        <v>581</v>
      </c>
      <c r="Q271">
        <v>2023</v>
      </c>
    </row>
    <row r="272" spans="1:17" hidden="1" x14ac:dyDescent="0.35">
      <c r="A272" s="156" t="s">
        <v>656</v>
      </c>
      <c r="B272" s="22">
        <v>45261</v>
      </c>
      <c r="C272">
        <v>23.969999313354489</v>
      </c>
      <c r="D272">
        <v>29.879999160766602</v>
      </c>
      <c r="E272">
        <v>23.729999542236332</v>
      </c>
      <c r="F272">
        <v>27.579999923706051</v>
      </c>
      <c r="G272">
        <v>28544200</v>
      </c>
      <c r="H272">
        <v>26.39687538146973</v>
      </c>
      <c r="I272" s="156" t="s">
        <v>655</v>
      </c>
      <c r="J272" s="22">
        <v>45544</v>
      </c>
      <c r="K272">
        <v>0.39500000000000002</v>
      </c>
      <c r="L272">
        <v>3.2254371643066411</v>
      </c>
      <c r="M272">
        <v>0.13919871816082741</v>
      </c>
      <c r="N272">
        <v>3.6100006103515621</v>
      </c>
      <c r="O272">
        <v>5.9099998474121094</v>
      </c>
      <c r="P272" s="156" t="s">
        <v>584</v>
      </c>
      <c r="Q272">
        <v>2023</v>
      </c>
    </row>
    <row r="273" spans="1:17" hidden="1" x14ac:dyDescent="0.35">
      <c r="A273" s="156" t="s">
        <v>658</v>
      </c>
      <c r="B273" s="22">
        <v>43466</v>
      </c>
      <c r="C273">
        <v>3.0099999904632568</v>
      </c>
      <c r="D273">
        <v>3.880000114440918</v>
      </c>
      <c r="E273">
        <v>3.0099999904632568</v>
      </c>
      <c r="F273">
        <v>3.839999914169312</v>
      </c>
      <c r="G273">
        <v>623600</v>
      </c>
      <c r="H273">
        <v>3.839999914169312</v>
      </c>
      <c r="I273" s="156" t="s">
        <v>657</v>
      </c>
      <c r="J273" s="22">
        <v>45544</v>
      </c>
      <c r="N273">
        <v>0.82999992370605469</v>
      </c>
      <c r="O273">
        <v>0.87000012397766113</v>
      </c>
      <c r="P273" s="156" t="s">
        <v>586</v>
      </c>
      <c r="Q273">
        <v>2019</v>
      </c>
    </row>
    <row r="274" spans="1:17" hidden="1" x14ac:dyDescent="0.35">
      <c r="A274" s="156" t="s">
        <v>658</v>
      </c>
      <c r="B274" s="22">
        <v>43497</v>
      </c>
      <c r="C274">
        <v>3.8299999237060551</v>
      </c>
      <c r="D274">
        <v>4.2899999618530273</v>
      </c>
      <c r="E274">
        <v>3.7899999618530269</v>
      </c>
      <c r="F274">
        <v>4.2100000381469727</v>
      </c>
      <c r="G274">
        <v>558500</v>
      </c>
      <c r="H274">
        <v>4.2100000381469727</v>
      </c>
      <c r="I274" s="156" t="s">
        <v>657</v>
      </c>
      <c r="J274" s="22">
        <v>45544</v>
      </c>
      <c r="L274">
        <v>0.37000012397766108</v>
      </c>
      <c r="M274">
        <v>9.6354201106200188E-2</v>
      </c>
      <c r="N274">
        <v>0.38000011444091802</v>
      </c>
      <c r="O274">
        <v>0.46000003814697271</v>
      </c>
      <c r="P274" s="156" t="s">
        <v>584</v>
      </c>
      <c r="Q274">
        <v>2019</v>
      </c>
    </row>
    <row r="275" spans="1:17" hidden="1" x14ac:dyDescent="0.35">
      <c r="A275" s="156" t="s">
        <v>658</v>
      </c>
      <c r="B275" s="22">
        <v>43525</v>
      </c>
      <c r="C275">
        <v>4.25</v>
      </c>
      <c r="D275">
        <v>4.6500000953674316</v>
      </c>
      <c r="E275">
        <v>3.4900000095367432</v>
      </c>
      <c r="F275">
        <v>3.4900000095367432</v>
      </c>
      <c r="G275">
        <v>828600</v>
      </c>
      <c r="H275">
        <v>3.4900000095367432</v>
      </c>
      <c r="I275" s="156" t="s">
        <v>657</v>
      </c>
      <c r="J275" s="22">
        <v>45544</v>
      </c>
      <c r="L275">
        <v>-0.72000002861022949</v>
      </c>
      <c r="M275">
        <v>-0.1710213829183567</v>
      </c>
      <c r="N275">
        <v>-0.75999999046325684</v>
      </c>
      <c r="O275">
        <v>0.40000009536743159</v>
      </c>
      <c r="P275" s="156" t="s">
        <v>584</v>
      </c>
      <c r="Q275">
        <v>2019</v>
      </c>
    </row>
    <row r="276" spans="1:17" hidden="1" x14ac:dyDescent="0.35">
      <c r="A276" s="156" t="s">
        <v>658</v>
      </c>
      <c r="B276" s="22">
        <v>43556</v>
      </c>
      <c r="C276">
        <v>3.5</v>
      </c>
      <c r="D276">
        <v>3.8199999332427979</v>
      </c>
      <c r="E276">
        <v>3.2999999523162842</v>
      </c>
      <c r="F276">
        <v>3.5199999809265141</v>
      </c>
      <c r="G276">
        <v>357600</v>
      </c>
      <c r="H276">
        <v>3.5199999809265141</v>
      </c>
      <c r="I276" s="156" t="s">
        <v>657</v>
      </c>
      <c r="J276" s="22">
        <v>45544</v>
      </c>
      <c r="L276">
        <v>2.9999971389770511E-2</v>
      </c>
      <c r="M276">
        <v>8.5959803174191496E-3</v>
      </c>
      <c r="N276">
        <v>1.9999980926513668E-2</v>
      </c>
      <c r="O276">
        <v>0.31999993324279791</v>
      </c>
      <c r="P276" s="156" t="s">
        <v>585</v>
      </c>
      <c r="Q276">
        <v>2019</v>
      </c>
    </row>
    <row r="277" spans="1:17" hidden="1" x14ac:dyDescent="0.35">
      <c r="A277" s="156" t="s">
        <v>658</v>
      </c>
      <c r="B277" s="22">
        <v>43586</v>
      </c>
      <c r="C277">
        <v>3.5</v>
      </c>
      <c r="D277">
        <v>3.970000028610229</v>
      </c>
      <c r="E277">
        <v>3.25</v>
      </c>
      <c r="F277">
        <v>3.2599999904632568</v>
      </c>
      <c r="G277">
        <v>2314900</v>
      </c>
      <c r="H277">
        <v>3.2599999904632568</v>
      </c>
      <c r="I277" s="156" t="s">
        <v>657</v>
      </c>
      <c r="J277" s="22">
        <v>45544</v>
      </c>
      <c r="L277">
        <v>-0.25999999046325678</v>
      </c>
      <c r="M277">
        <v>-7.386363405457208E-2</v>
      </c>
      <c r="N277">
        <v>-0.24000000953674319</v>
      </c>
      <c r="O277">
        <v>0.47000002861022949</v>
      </c>
      <c r="P277" s="156" t="s">
        <v>581</v>
      </c>
      <c r="Q277">
        <v>2019</v>
      </c>
    </row>
    <row r="278" spans="1:17" hidden="1" x14ac:dyDescent="0.35">
      <c r="A278" s="156" t="s">
        <v>658</v>
      </c>
      <c r="B278" s="22">
        <v>43617</v>
      </c>
      <c r="C278">
        <v>3.2599999904632568</v>
      </c>
      <c r="D278">
        <v>3.7999999523162842</v>
      </c>
      <c r="E278">
        <v>3.2599999904632568</v>
      </c>
      <c r="F278">
        <v>3.7999999523162842</v>
      </c>
      <c r="G278">
        <v>541600</v>
      </c>
      <c r="H278">
        <v>3.7999999523162842</v>
      </c>
      <c r="I278" s="156" t="s">
        <v>657</v>
      </c>
      <c r="J278" s="22">
        <v>45544</v>
      </c>
      <c r="L278">
        <v>0.53999996185302734</v>
      </c>
      <c r="M278">
        <v>0.16564416056218809</v>
      </c>
      <c r="N278">
        <v>0.53999996185302734</v>
      </c>
      <c r="O278">
        <v>0.53999996185302734</v>
      </c>
      <c r="P278" s="156" t="s">
        <v>582</v>
      </c>
      <c r="Q278">
        <v>2019</v>
      </c>
    </row>
    <row r="279" spans="1:17" hidden="1" x14ac:dyDescent="0.35">
      <c r="A279" s="156" t="s">
        <v>658</v>
      </c>
      <c r="B279" s="22">
        <v>43647</v>
      </c>
      <c r="C279">
        <v>3.8199999332427979</v>
      </c>
      <c r="D279">
        <v>3.8199999332427979</v>
      </c>
      <c r="E279">
        <v>3.5199999809265141</v>
      </c>
      <c r="F279">
        <v>3.6500000953674321</v>
      </c>
      <c r="G279">
        <v>192600</v>
      </c>
      <c r="H279">
        <v>3.6500000953674321</v>
      </c>
      <c r="I279" s="156" t="s">
        <v>657</v>
      </c>
      <c r="J279" s="22">
        <v>45544</v>
      </c>
      <c r="L279">
        <v>-0.14999985694885251</v>
      </c>
      <c r="M279">
        <v>-3.9473647060816457E-2</v>
      </c>
      <c r="N279">
        <v>-0.16999983787536621</v>
      </c>
      <c r="O279">
        <v>0</v>
      </c>
      <c r="P279" s="156" t="s">
        <v>585</v>
      </c>
      <c r="Q279">
        <v>2019</v>
      </c>
    </row>
    <row r="280" spans="1:17" hidden="1" x14ac:dyDescent="0.35">
      <c r="A280" s="156" t="s">
        <v>658</v>
      </c>
      <c r="B280" s="22">
        <v>43678</v>
      </c>
      <c r="C280">
        <v>3.6800000667572021</v>
      </c>
      <c r="D280">
        <v>3.7000000476837158</v>
      </c>
      <c r="E280">
        <v>3.4000000953674321</v>
      </c>
      <c r="F280">
        <v>3.5499999523162842</v>
      </c>
      <c r="G280">
        <v>238000</v>
      </c>
      <c r="H280">
        <v>3.5499999523162842</v>
      </c>
      <c r="I280" s="156" t="s">
        <v>657</v>
      </c>
      <c r="J280" s="22">
        <v>45544</v>
      </c>
      <c r="L280">
        <v>-0.1000001430511475</v>
      </c>
      <c r="M280">
        <v>-2.7397298750229448E-2</v>
      </c>
      <c r="N280">
        <v>-0.130000114440918</v>
      </c>
      <c r="O280">
        <v>1.9999980926513668E-2</v>
      </c>
      <c r="P280" s="156" t="s">
        <v>587</v>
      </c>
      <c r="Q280">
        <v>2019</v>
      </c>
    </row>
    <row r="281" spans="1:17" hidden="1" x14ac:dyDescent="0.35">
      <c r="A281" s="156" t="s">
        <v>658</v>
      </c>
      <c r="B281" s="22">
        <v>43709</v>
      </c>
      <c r="C281">
        <v>3.5199999809265141</v>
      </c>
      <c r="D281">
        <v>3.7000000476837158</v>
      </c>
      <c r="E281">
        <v>3.2899999618530269</v>
      </c>
      <c r="F281">
        <v>3.589999914169312</v>
      </c>
      <c r="G281">
        <v>237700</v>
      </c>
      <c r="H281">
        <v>3.589999914169312</v>
      </c>
      <c r="I281" s="156" t="s">
        <v>657</v>
      </c>
      <c r="J281" s="22">
        <v>45544</v>
      </c>
      <c r="L281">
        <v>3.9999961853027337E-2</v>
      </c>
      <c r="M281">
        <v>1.126759503952335E-2</v>
      </c>
      <c r="N281">
        <v>6.9999933242797852E-2</v>
      </c>
      <c r="O281">
        <v>0.18000006675720209</v>
      </c>
      <c r="P281" s="156" t="s">
        <v>583</v>
      </c>
      <c r="Q281">
        <v>2019</v>
      </c>
    </row>
    <row r="282" spans="1:17" hidden="1" x14ac:dyDescent="0.35">
      <c r="A282" s="156" t="s">
        <v>658</v>
      </c>
      <c r="B282" s="22">
        <v>43739</v>
      </c>
      <c r="C282">
        <v>3.4000000953674321</v>
      </c>
      <c r="D282">
        <v>3.589999914169312</v>
      </c>
      <c r="E282">
        <v>3.059999942779541</v>
      </c>
      <c r="F282">
        <v>3.4000000953674321</v>
      </c>
      <c r="G282">
        <v>190900</v>
      </c>
      <c r="H282">
        <v>3.4000000953674321</v>
      </c>
      <c r="I282" s="156" t="s">
        <v>657</v>
      </c>
      <c r="J282" s="22">
        <v>45544</v>
      </c>
      <c r="L282">
        <v>-0.18999981880187991</v>
      </c>
      <c r="M282">
        <v>-5.2924741878676018E-2</v>
      </c>
      <c r="N282">
        <v>0</v>
      </c>
      <c r="O282">
        <v>0.18999981880187991</v>
      </c>
      <c r="P282" s="156" t="s">
        <v>586</v>
      </c>
      <c r="Q282">
        <v>2019</v>
      </c>
    </row>
    <row r="283" spans="1:17" hidden="1" x14ac:dyDescent="0.35">
      <c r="A283" s="156" t="s">
        <v>658</v>
      </c>
      <c r="B283" s="22">
        <v>43770</v>
      </c>
      <c r="C283">
        <v>3.3199999332427979</v>
      </c>
      <c r="D283">
        <v>3.5999999046325679</v>
      </c>
      <c r="E283">
        <v>3.2300000190734859</v>
      </c>
      <c r="F283">
        <v>3.3499999046325679</v>
      </c>
      <c r="G283">
        <v>461300</v>
      </c>
      <c r="H283">
        <v>3.3499999046325679</v>
      </c>
      <c r="I283" s="156" t="s">
        <v>657</v>
      </c>
      <c r="J283" s="22">
        <v>45544</v>
      </c>
      <c r="L283">
        <v>-5.0000190734863281E-2</v>
      </c>
      <c r="M283">
        <v>-1.470593803893994E-2</v>
      </c>
      <c r="N283">
        <v>2.9999971389770511E-2</v>
      </c>
      <c r="O283">
        <v>0.27999997138977051</v>
      </c>
      <c r="P283" s="156" t="s">
        <v>584</v>
      </c>
      <c r="Q283">
        <v>2019</v>
      </c>
    </row>
    <row r="284" spans="1:17" hidden="1" x14ac:dyDescent="0.35">
      <c r="A284" s="156" t="s">
        <v>658</v>
      </c>
      <c r="B284" s="22">
        <v>43800</v>
      </c>
      <c r="C284">
        <v>3.4500000476837158</v>
      </c>
      <c r="D284">
        <v>3.5</v>
      </c>
      <c r="E284">
        <v>3.1800000667572021</v>
      </c>
      <c r="F284">
        <v>3.369999885559082</v>
      </c>
      <c r="G284">
        <v>134000</v>
      </c>
      <c r="H284">
        <v>3.369999885559082</v>
      </c>
      <c r="I284" s="156" t="s">
        <v>657</v>
      </c>
      <c r="J284" s="22">
        <v>45544</v>
      </c>
      <c r="L284">
        <v>1.9999980926513668E-2</v>
      </c>
      <c r="M284">
        <v>5.970143730110733E-3</v>
      </c>
      <c r="N284">
        <v>-8.0000162124633789E-2</v>
      </c>
      <c r="O284">
        <v>4.999995231628418E-2</v>
      </c>
      <c r="P284" s="156" t="s">
        <v>583</v>
      </c>
      <c r="Q284">
        <v>2019</v>
      </c>
    </row>
    <row r="285" spans="1:17" hidden="1" x14ac:dyDescent="0.35">
      <c r="A285" s="156" t="s">
        <v>658</v>
      </c>
      <c r="B285" s="22">
        <v>43831</v>
      </c>
      <c r="C285">
        <v>3.410000085830688</v>
      </c>
      <c r="D285">
        <v>3.5799999237060551</v>
      </c>
      <c r="E285">
        <v>3.3299999237060551</v>
      </c>
      <c r="F285">
        <v>3.4800000190734859</v>
      </c>
      <c r="G285">
        <v>228700</v>
      </c>
      <c r="H285">
        <v>3.4800000190734859</v>
      </c>
      <c r="I285" s="156" t="s">
        <v>657</v>
      </c>
      <c r="J285" s="22">
        <v>45544</v>
      </c>
      <c r="L285">
        <v>0.1100001335144043</v>
      </c>
      <c r="M285">
        <v>3.2640990281860287E-2</v>
      </c>
      <c r="N285">
        <v>6.9999933242797852E-2</v>
      </c>
      <c r="O285">
        <v>0.16999983787536621</v>
      </c>
      <c r="P285" s="156" t="s">
        <v>581</v>
      </c>
      <c r="Q285">
        <v>2020</v>
      </c>
    </row>
    <row r="286" spans="1:17" hidden="1" x14ac:dyDescent="0.35">
      <c r="A286" s="156" t="s">
        <v>658</v>
      </c>
      <c r="B286" s="22">
        <v>43862</v>
      </c>
      <c r="C286">
        <v>3.5699999332427979</v>
      </c>
      <c r="D286">
        <v>4.3000001907348633</v>
      </c>
      <c r="E286">
        <v>3.309999942779541</v>
      </c>
      <c r="F286">
        <v>3.6700000762939449</v>
      </c>
      <c r="G286">
        <v>467600</v>
      </c>
      <c r="H286">
        <v>3.6700000762939449</v>
      </c>
      <c r="I286" s="156" t="s">
        <v>657</v>
      </c>
      <c r="J286" s="22">
        <v>45544</v>
      </c>
      <c r="L286">
        <v>0.19000005722045901</v>
      </c>
      <c r="M286">
        <v>5.4597717292842018E-2</v>
      </c>
      <c r="N286">
        <v>0.1000001430511475</v>
      </c>
      <c r="O286">
        <v>0.73000025749206543</v>
      </c>
      <c r="P286" s="156" t="s">
        <v>582</v>
      </c>
      <c r="Q286">
        <v>2020</v>
      </c>
    </row>
    <row r="287" spans="1:17" hidden="1" x14ac:dyDescent="0.35">
      <c r="A287" s="156" t="s">
        <v>658</v>
      </c>
      <c r="B287" s="22">
        <v>43891</v>
      </c>
      <c r="C287">
        <v>3.6700000762939449</v>
      </c>
      <c r="D287">
        <v>3.839999914169312</v>
      </c>
      <c r="E287">
        <v>1</v>
      </c>
      <c r="F287">
        <v>1.360000014305115</v>
      </c>
      <c r="G287">
        <v>464800</v>
      </c>
      <c r="H287">
        <v>1.360000014305115</v>
      </c>
      <c r="I287" s="156" t="s">
        <v>657</v>
      </c>
      <c r="J287" s="22">
        <v>45544</v>
      </c>
      <c r="L287">
        <v>-2.310000061988831</v>
      </c>
      <c r="M287">
        <v>-0.62942779672133531</v>
      </c>
      <c r="N287">
        <v>-2.310000061988831</v>
      </c>
      <c r="O287">
        <v>0.16999983787536621</v>
      </c>
      <c r="P287" s="156" t="s">
        <v>583</v>
      </c>
      <c r="Q287">
        <v>2020</v>
      </c>
    </row>
    <row r="288" spans="1:17" hidden="1" x14ac:dyDescent="0.35">
      <c r="A288" s="156" t="s">
        <v>658</v>
      </c>
      <c r="B288" s="22">
        <v>43922</v>
      </c>
      <c r="C288">
        <v>1.6000000238418579</v>
      </c>
      <c r="D288">
        <v>3.309999942779541</v>
      </c>
      <c r="E288">
        <v>1.1000000238418579</v>
      </c>
      <c r="F288">
        <v>2.9600000381469731</v>
      </c>
      <c r="G288">
        <v>1398500</v>
      </c>
      <c r="H288">
        <v>2.9600000381469731</v>
      </c>
      <c r="I288" s="156" t="s">
        <v>657</v>
      </c>
      <c r="J288" s="22">
        <v>45544</v>
      </c>
      <c r="L288">
        <v>1.6000000238418579</v>
      </c>
      <c r="M288">
        <v>1.176470593391405</v>
      </c>
      <c r="N288">
        <v>1.360000014305115</v>
      </c>
      <c r="O288">
        <v>1.7099999189376831</v>
      </c>
      <c r="P288" s="156" t="s">
        <v>581</v>
      </c>
      <c r="Q288">
        <v>2020</v>
      </c>
    </row>
    <row r="289" spans="1:17" hidden="1" x14ac:dyDescent="0.35">
      <c r="A289" s="156" t="s">
        <v>658</v>
      </c>
      <c r="B289" s="22">
        <v>43952</v>
      </c>
      <c r="C289">
        <v>2.970000028610229</v>
      </c>
      <c r="D289">
        <v>3.029999971389771</v>
      </c>
      <c r="E289">
        <v>2.2999999523162842</v>
      </c>
      <c r="F289">
        <v>2.559999942779541</v>
      </c>
      <c r="G289">
        <v>219700</v>
      </c>
      <c r="H289">
        <v>2.559999942779541</v>
      </c>
      <c r="I289" s="156" t="s">
        <v>657</v>
      </c>
      <c r="J289" s="22">
        <v>45544</v>
      </c>
      <c r="L289">
        <v>-0.40000009536743159</v>
      </c>
      <c r="M289">
        <v>-0.1351351656123089</v>
      </c>
      <c r="N289">
        <v>-0.41000008583068848</v>
      </c>
      <c r="O289">
        <v>5.9999942779541023E-2</v>
      </c>
      <c r="P289" s="156" t="s">
        <v>584</v>
      </c>
      <c r="Q289">
        <v>2020</v>
      </c>
    </row>
    <row r="290" spans="1:17" hidden="1" x14ac:dyDescent="0.35">
      <c r="A290" s="156" t="s">
        <v>658</v>
      </c>
      <c r="B290" s="22">
        <v>43983</v>
      </c>
      <c r="C290">
        <v>2.5</v>
      </c>
      <c r="D290">
        <v>3.2300000190734859</v>
      </c>
      <c r="E290">
        <v>2.440000057220459</v>
      </c>
      <c r="F290">
        <v>2.8299999237060551</v>
      </c>
      <c r="G290">
        <v>336600</v>
      </c>
      <c r="H290">
        <v>2.8299999237060551</v>
      </c>
      <c r="I290" s="156" t="s">
        <v>657</v>
      </c>
      <c r="J290" s="22">
        <v>45544</v>
      </c>
      <c r="L290">
        <v>0.26999998092651373</v>
      </c>
      <c r="M290">
        <v>0.10546874490682941</v>
      </c>
      <c r="N290">
        <v>0.32999992370605469</v>
      </c>
      <c r="O290">
        <v>0.73000001907348633</v>
      </c>
      <c r="P290" s="156" t="s">
        <v>585</v>
      </c>
      <c r="Q290">
        <v>2020</v>
      </c>
    </row>
    <row r="291" spans="1:17" hidden="1" x14ac:dyDescent="0.35">
      <c r="A291" s="156" t="s">
        <v>658</v>
      </c>
      <c r="B291" s="22">
        <v>44013</v>
      </c>
      <c r="C291">
        <v>2.910000085830688</v>
      </c>
      <c r="D291">
        <v>3.4300000667572021</v>
      </c>
      <c r="E291">
        <v>2.7699999809265141</v>
      </c>
      <c r="F291">
        <v>3.2699999809265141</v>
      </c>
      <c r="G291">
        <v>398100</v>
      </c>
      <c r="H291">
        <v>3.2699999809265141</v>
      </c>
      <c r="I291" s="156" t="s">
        <v>657</v>
      </c>
      <c r="J291" s="22">
        <v>45544</v>
      </c>
      <c r="L291">
        <v>0.44000005722045898</v>
      </c>
      <c r="M291">
        <v>0.1554770562128682</v>
      </c>
      <c r="N291">
        <v>0.3599998950958252</v>
      </c>
      <c r="O291">
        <v>0.51999998092651367</v>
      </c>
      <c r="P291" s="156" t="s">
        <v>581</v>
      </c>
      <c r="Q291">
        <v>2020</v>
      </c>
    </row>
    <row r="292" spans="1:17" hidden="1" x14ac:dyDescent="0.35">
      <c r="A292" s="156" t="s">
        <v>658</v>
      </c>
      <c r="B292" s="22">
        <v>44044</v>
      </c>
      <c r="C292">
        <v>3.25</v>
      </c>
      <c r="D292">
        <v>3.4300000667572021</v>
      </c>
      <c r="E292">
        <v>3</v>
      </c>
      <c r="F292">
        <v>3.2400000095367432</v>
      </c>
      <c r="G292">
        <v>329300</v>
      </c>
      <c r="H292">
        <v>3.2400000095367432</v>
      </c>
      <c r="I292" s="156" t="s">
        <v>657</v>
      </c>
      <c r="J292" s="22">
        <v>45544</v>
      </c>
      <c r="L292">
        <v>-2.9999971389770511E-2</v>
      </c>
      <c r="M292">
        <v>-9.174303230812364E-3</v>
      </c>
      <c r="N292">
        <v>-9.9999904632568359E-3</v>
      </c>
      <c r="O292">
        <v>0.18000006675720209</v>
      </c>
      <c r="P292" s="156" t="s">
        <v>582</v>
      </c>
      <c r="Q292">
        <v>2020</v>
      </c>
    </row>
    <row r="293" spans="1:17" hidden="1" x14ac:dyDescent="0.35">
      <c r="A293" s="156" t="s">
        <v>658</v>
      </c>
      <c r="B293" s="22">
        <v>44075</v>
      </c>
      <c r="C293">
        <v>3.0699999332427979</v>
      </c>
      <c r="D293">
        <v>3.7300000190734859</v>
      </c>
      <c r="E293">
        <v>3.0699999332427979</v>
      </c>
      <c r="F293">
        <v>3.2999999523162842</v>
      </c>
      <c r="G293">
        <v>417500</v>
      </c>
      <c r="H293">
        <v>3.2999999523162842</v>
      </c>
      <c r="I293" s="156" t="s">
        <v>657</v>
      </c>
      <c r="J293" s="22">
        <v>45544</v>
      </c>
      <c r="L293">
        <v>5.9999942779541023E-2</v>
      </c>
      <c r="M293">
        <v>1.851850080337503E-2</v>
      </c>
      <c r="N293">
        <v>0.2300000190734863</v>
      </c>
      <c r="O293">
        <v>0.66000008583068848</v>
      </c>
      <c r="P293" s="156" t="s">
        <v>586</v>
      </c>
      <c r="Q293">
        <v>2020</v>
      </c>
    </row>
    <row r="294" spans="1:17" hidden="1" x14ac:dyDescent="0.35">
      <c r="A294" s="156" t="s">
        <v>658</v>
      </c>
      <c r="B294" s="22">
        <v>44105</v>
      </c>
      <c r="C294">
        <v>3.3199999332427979</v>
      </c>
      <c r="D294">
        <v>5.119999885559082</v>
      </c>
      <c r="E294">
        <v>3.220000028610229</v>
      </c>
      <c r="F294">
        <v>3.75</v>
      </c>
      <c r="G294">
        <v>7567400</v>
      </c>
      <c r="H294">
        <v>3.75</v>
      </c>
      <c r="I294" s="156" t="s">
        <v>657</v>
      </c>
      <c r="J294" s="22">
        <v>45544</v>
      </c>
      <c r="L294">
        <v>0.45000004768371582</v>
      </c>
      <c r="M294">
        <v>0.1363636527836489</v>
      </c>
      <c r="N294">
        <v>0.43000006675720209</v>
      </c>
      <c r="O294">
        <v>1.799999952316284</v>
      </c>
      <c r="P294" s="156" t="s">
        <v>587</v>
      </c>
      <c r="Q294">
        <v>2020</v>
      </c>
    </row>
    <row r="295" spans="1:17" hidden="1" x14ac:dyDescent="0.35">
      <c r="A295" s="156" t="s">
        <v>658</v>
      </c>
      <c r="B295" s="22">
        <v>44136</v>
      </c>
      <c r="C295">
        <v>3.7300000190734859</v>
      </c>
      <c r="D295">
        <v>4.2300000190734863</v>
      </c>
      <c r="E295">
        <v>3.3900001049041748</v>
      </c>
      <c r="F295">
        <v>3.9900000095367432</v>
      </c>
      <c r="G295">
        <v>880400</v>
      </c>
      <c r="H295">
        <v>3.9900000095367432</v>
      </c>
      <c r="I295" s="156" t="s">
        <v>657</v>
      </c>
      <c r="J295" s="22">
        <v>45544</v>
      </c>
      <c r="L295">
        <v>0.24000000953674319</v>
      </c>
      <c r="M295">
        <v>6.400000254313154E-2</v>
      </c>
      <c r="N295">
        <v>0.25999999046325678</v>
      </c>
      <c r="O295">
        <v>0.5</v>
      </c>
      <c r="P295" s="156" t="s">
        <v>583</v>
      </c>
      <c r="Q295">
        <v>2020</v>
      </c>
    </row>
    <row r="296" spans="1:17" hidden="1" x14ac:dyDescent="0.35">
      <c r="A296" s="156" t="s">
        <v>658</v>
      </c>
      <c r="B296" s="22">
        <v>44166</v>
      </c>
      <c r="C296">
        <v>4</v>
      </c>
      <c r="D296">
        <v>4.6500000953674316</v>
      </c>
      <c r="E296">
        <v>3.869999885559082</v>
      </c>
      <c r="F296">
        <v>4.2399997711181641</v>
      </c>
      <c r="G296">
        <v>901000</v>
      </c>
      <c r="H296">
        <v>4.2399997711181641</v>
      </c>
      <c r="I296" s="156" t="s">
        <v>657</v>
      </c>
      <c r="J296" s="22">
        <v>45544</v>
      </c>
      <c r="L296">
        <v>0.2499997615814209</v>
      </c>
      <c r="M296">
        <v>6.2656581700220926E-2</v>
      </c>
      <c r="N296">
        <v>0.23999977111816409</v>
      </c>
      <c r="O296">
        <v>0.65000009536743164</v>
      </c>
      <c r="P296" s="156" t="s">
        <v>586</v>
      </c>
      <c r="Q296">
        <v>2020</v>
      </c>
    </row>
    <row r="297" spans="1:17" hidden="1" x14ac:dyDescent="0.35">
      <c r="A297" s="156" t="s">
        <v>658</v>
      </c>
      <c r="B297" s="22">
        <v>44197</v>
      </c>
      <c r="C297">
        <v>4.2100000381469727</v>
      </c>
      <c r="D297">
        <v>4.9499998092651367</v>
      </c>
      <c r="E297">
        <v>4.0399999618530273</v>
      </c>
      <c r="F297">
        <v>4.2300000190734863</v>
      </c>
      <c r="G297">
        <v>395400</v>
      </c>
      <c r="H297">
        <v>4.2300000190734863</v>
      </c>
      <c r="I297" s="156" t="s">
        <v>657</v>
      </c>
      <c r="J297" s="22">
        <v>45544</v>
      </c>
      <c r="L297">
        <v>-9.9997520446777344E-3</v>
      </c>
      <c r="M297">
        <v>-2.3584322133207709E-3</v>
      </c>
      <c r="N297">
        <v>1.9999980926513668E-2</v>
      </c>
      <c r="O297">
        <v>0.73999977111816406</v>
      </c>
      <c r="P297" s="156" t="s">
        <v>584</v>
      </c>
      <c r="Q297">
        <v>2021</v>
      </c>
    </row>
    <row r="298" spans="1:17" hidden="1" x14ac:dyDescent="0.35">
      <c r="A298" s="156" t="s">
        <v>658</v>
      </c>
      <c r="B298" s="22">
        <v>44228</v>
      </c>
      <c r="C298">
        <v>4.1399998664855957</v>
      </c>
      <c r="D298">
        <v>4.5999999046325684</v>
      </c>
      <c r="E298">
        <v>3.7999999523162842</v>
      </c>
      <c r="F298">
        <v>4.1599998474121094</v>
      </c>
      <c r="G298">
        <v>644900</v>
      </c>
      <c r="H298">
        <v>4.1599998474121094</v>
      </c>
      <c r="I298" s="156" t="s">
        <v>657</v>
      </c>
      <c r="J298" s="22">
        <v>45544</v>
      </c>
      <c r="L298">
        <v>-7.0000171661376953E-2</v>
      </c>
      <c r="M298">
        <v>-1.6548503864241001E-2</v>
      </c>
      <c r="N298">
        <v>1.9999980926513668E-2</v>
      </c>
      <c r="O298">
        <v>0.46000003814697271</v>
      </c>
      <c r="P298" s="156" t="s">
        <v>585</v>
      </c>
      <c r="Q298">
        <v>2021</v>
      </c>
    </row>
    <row r="299" spans="1:17" hidden="1" x14ac:dyDescent="0.35">
      <c r="A299" s="156" t="s">
        <v>658</v>
      </c>
      <c r="B299" s="22">
        <v>44256</v>
      </c>
      <c r="C299">
        <v>4.1999998092651367</v>
      </c>
      <c r="D299">
        <v>4.380000114440918</v>
      </c>
      <c r="E299">
        <v>3.7999999523162842</v>
      </c>
      <c r="F299">
        <v>4.0300002098083496</v>
      </c>
      <c r="G299">
        <v>431500</v>
      </c>
      <c r="H299">
        <v>4.0300002098083496</v>
      </c>
      <c r="I299" s="156" t="s">
        <v>657</v>
      </c>
      <c r="J299" s="22">
        <v>45544</v>
      </c>
      <c r="L299">
        <v>-0.12999963760375979</v>
      </c>
      <c r="M299">
        <v>-3.1249914031759141E-2</v>
      </c>
      <c r="N299">
        <v>-0.16999959945678711</v>
      </c>
      <c r="O299">
        <v>0.18000030517578119</v>
      </c>
      <c r="P299" s="156" t="s">
        <v>585</v>
      </c>
      <c r="Q299">
        <v>2021</v>
      </c>
    </row>
    <row r="300" spans="1:17" hidden="1" x14ac:dyDescent="0.35">
      <c r="A300" s="156" t="s">
        <v>658</v>
      </c>
      <c r="B300" s="22">
        <v>44287</v>
      </c>
      <c r="C300">
        <v>4.0199999809265137</v>
      </c>
      <c r="D300">
        <v>4.3899998664855957</v>
      </c>
      <c r="E300">
        <v>3.809999942779541</v>
      </c>
      <c r="F300">
        <v>4.3499999046325684</v>
      </c>
      <c r="G300">
        <v>177300</v>
      </c>
      <c r="H300">
        <v>4.3499999046325684</v>
      </c>
      <c r="I300" s="156" t="s">
        <v>657</v>
      </c>
      <c r="J300" s="22">
        <v>45544</v>
      </c>
      <c r="L300">
        <v>0.31999969482421881</v>
      </c>
      <c r="M300">
        <v>7.9404386641318991E-2</v>
      </c>
      <c r="N300">
        <v>0.32999992370605469</v>
      </c>
      <c r="O300">
        <v>0.36999988555908198</v>
      </c>
      <c r="P300" s="156" t="s">
        <v>587</v>
      </c>
      <c r="Q300">
        <v>2021</v>
      </c>
    </row>
    <row r="301" spans="1:17" hidden="1" x14ac:dyDescent="0.35">
      <c r="A301" s="156" t="s">
        <v>658</v>
      </c>
      <c r="B301" s="22">
        <v>44317</v>
      </c>
      <c r="C301">
        <v>4.4000000953674316</v>
      </c>
      <c r="D301">
        <v>4.8000001907348633</v>
      </c>
      <c r="E301">
        <v>3.8499999046325679</v>
      </c>
      <c r="F301">
        <v>4.6599998474121094</v>
      </c>
      <c r="G301">
        <v>778300</v>
      </c>
      <c r="H301">
        <v>4.6599998474121094</v>
      </c>
      <c r="I301" s="156" t="s">
        <v>657</v>
      </c>
      <c r="J301" s="22">
        <v>45544</v>
      </c>
      <c r="L301">
        <v>0.30999994277954102</v>
      </c>
      <c r="M301">
        <v>7.1264356224330916E-2</v>
      </c>
      <c r="N301">
        <v>0.25999975204467768</v>
      </c>
      <c r="O301">
        <v>0.40000009536743159</v>
      </c>
      <c r="P301" s="156" t="s">
        <v>582</v>
      </c>
      <c r="Q301">
        <v>2021</v>
      </c>
    </row>
    <row r="302" spans="1:17" hidden="1" x14ac:dyDescent="0.35">
      <c r="A302" s="156" t="s">
        <v>658</v>
      </c>
      <c r="B302" s="22">
        <v>44348</v>
      </c>
      <c r="C302">
        <v>4.5999999046325684</v>
      </c>
      <c r="D302">
        <v>5</v>
      </c>
      <c r="E302">
        <v>4.3299999237060547</v>
      </c>
      <c r="F302">
        <v>4.5</v>
      </c>
      <c r="G302">
        <v>314700</v>
      </c>
      <c r="H302">
        <v>4.5</v>
      </c>
      <c r="I302" s="156" t="s">
        <v>657</v>
      </c>
      <c r="J302" s="22">
        <v>45544</v>
      </c>
      <c r="L302">
        <v>-0.1599998474121094</v>
      </c>
      <c r="M302">
        <v>-3.4334732328578088E-2</v>
      </c>
      <c r="N302">
        <v>-9.9999904632568359E-2</v>
      </c>
      <c r="O302">
        <v>0.40000009536743159</v>
      </c>
      <c r="P302" s="156" t="s">
        <v>586</v>
      </c>
      <c r="Q302">
        <v>2021</v>
      </c>
    </row>
    <row r="303" spans="1:17" hidden="1" x14ac:dyDescent="0.35">
      <c r="A303" s="156" t="s">
        <v>658</v>
      </c>
      <c r="B303" s="22">
        <v>44378</v>
      </c>
      <c r="C303">
        <v>4.429999828338623</v>
      </c>
      <c r="D303">
        <v>5.2899999618530273</v>
      </c>
      <c r="E303">
        <v>4.4099998474121094</v>
      </c>
      <c r="F303">
        <v>4.9699997901916504</v>
      </c>
      <c r="G303">
        <v>541100</v>
      </c>
      <c r="H303">
        <v>4.9699997901916504</v>
      </c>
      <c r="I303" s="156" t="s">
        <v>657</v>
      </c>
      <c r="J303" s="22">
        <v>45544</v>
      </c>
      <c r="L303">
        <v>0.46999979019165039</v>
      </c>
      <c r="M303">
        <v>0.10444439782036689</v>
      </c>
      <c r="N303">
        <v>0.53999996185302734</v>
      </c>
      <c r="O303">
        <v>0.8600001335144043</v>
      </c>
      <c r="P303" s="156" t="s">
        <v>587</v>
      </c>
      <c r="Q303">
        <v>2021</v>
      </c>
    </row>
    <row r="304" spans="1:17" hidden="1" x14ac:dyDescent="0.35">
      <c r="A304" s="156" t="s">
        <v>658</v>
      </c>
      <c r="B304" s="22">
        <v>44409</v>
      </c>
      <c r="C304">
        <v>4.929999828338623</v>
      </c>
      <c r="D304">
        <v>6</v>
      </c>
      <c r="E304">
        <v>4.2199997901916504</v>
      </c>
      <c r="F304">
        <v>5.7199997901916504</v>
      </c>
      <c r="G304">
        <v>739400</v>
      </c>
      <c r="H304">
        <v>5.7199997901916504</v>
      </c>
      <c r="I304" s="156" t="s">
        <v>657</v>
      </c>
      <c r="J304" s="22">
        <v>45544</v>
      </c>
      <c r="L304">
        <v>0.75</v>
      </c>
      <c r="M304">
        <v>0.1509054389660405</v>
      </c>
      <c r="N304">
        <v>0.78999996185302734</v>
      </c>
      <c r="O304">
        <v>1.070000171661377</v>
      </c>
      <c r="P304" s="156" t="s">
        <v>583</v>
      </c>
      <c r="Q304">
        <v>2021</v>
      </c>
    </row>
    <row r="305" spans="1:17" hidden="1" x14ac:dyDescent="0.35">
      <c r="A305" s="156" t="s">
        <v>658</v>
      </c>
      <c r="B305" s="22">
        <v>44440</v>
      </c>
      <c r="C305">
        <v>5.75</v>
      </c>
      <c r="D305">
        <v>5.9899997711181641</v>
      </c>
      <c r="E305">
        <v>5.1700000762939453</v>
      </c>
      <c r="F305">
        <v>5.8000001907348633</v>
      </c>
      <c r="G305">
        <v>716400</v>
      </c>
      <c r="H305">
        <v>5.8000001907348633</v>
      </c>
      <c r="I305" s="156" t="s">
        <v>657</v>
      </c>
      <c r="J305" s="22">
        <v>45544</v>
      </c>
      <c r="L305">
        <v>8.0000400543212891E-2</v>
      </c>
      <c r="M305">
        <v>1.398608452405781E-2</v>
      </c>
      <c r="N305">
        <v>5.0000190734863281E-2</v>
      </c>
      <c r="O305">
        <v>0.23999977111816409</v>
      </c>
      <c r="P305" s="156" t="s">
        <v>581</v>
      </c>
      <c r="Q305">
        <v>2021</v>
      </c>
    </row>
    <row r="306" spans="1:17" hidden="1" x14ac:dyDescent="0.35">
      <c r="A306" s="156" t="s">
        <v>658</v>
      </c>
      <c r="B306" s="22">
        <v>44470</v>
      </c>
      <c r="C306">
        <v>5.869999885559082</v>
      </c>
      <c r="D306">
        <v>7.2800002098083496</v>
      </c>
      <c r="E306">
        <v>5.690000057220459</v>
      </c>
      <c r="F306">
        <v>6.5300002098083496</v>
      </c>
      <c r="G306">
        <v>2567000</v>
      </c>
      <c r="H306">
        <v>6.5300002098083496</v>
      </c>
      <c r="I306" s="156" t="s">
        <v>657</v>
      </c>
      <c r="J306" s="22">
        <v>45544</v>
      </c>
      <c r="L306">
        <v>0.73000001907348633</v>
      </c>
      <c r="M306">
        <v>0.12586206811503489</v>
      </c>
      <c r="N306">
        <v>0.66000032424926758</v>
      </c>
      <c r="O306">
        <v>1.410000324249268</v>
      </c>
      <c r="P306" s="156" t="s">
        <v>584</v>
      </c>
      <c r="Q306">
        <v>2021</v>
      </c>
    </row>
    <row r="307" spans="1:17" hidden="1" x14ac:dyDescent="0.35">
      <c r="A307" s="156" t="s">
        <v>658</v>
      </c>
      <c r="B307" s="22">
        <v>44501</v>
      </c>
      <c r="C307">
        <v>6.6500000953674316</v>
      </c>
      <c r="D307">
        <v>8.9700002670288086</v>
      </c>
      <c r="E307">
        <v>6.6500000953674316</v>
      </c>
      <c r="F307">
        <v>7.75</v>
      </c>
      <c r="G307">
        <v>2279000</v>
      </c>
      <c r="H307">
        <v>7.75</v>
      </c>
      <c r="I307" s="156" t="s">
        <v>657</v>
      </c>
      <c r="J307" s="22">
        <v>45544</v>
      </c>
      <c r="L307">
        <v>1.2199997901916499</v>
      </c>
      <c r="M307">
        <v>0.18682997718118849</v>
      </c>
      <c r="N307">
        <v>1.0999999046325679</v>
      </c>
      <c r="O307">
        <v>2.320000171661377</v>
      </c>
      <c r="P307" s="156" t="s">
        <v>585</v>
      </c>
      <c r="Q307">
        <v>2021</v>
      </c>
    </row>
    <row r="308" spans="1:17" hidden="1" x14ac:dyDescent="0.35">
      <c r="A308" s="156" t="s">
        <v>658</v>
      </c>
      <c r="B308" s="22">
        <v>44531</v>
      </c>
      <c r="C308">
        <v>7.8600001335144043</v>
      </c>
      <c r="D308">
        <v>12</v>
      </c>
      <c r="E308">
        <v>7.2300000190734863</v>
      </c>
      <c r="F308">
        <v>11.85000038146973</v>
      </c>
      <c r="G308">
        <v>3107200</v>
      </c>
      <c r="H308">
        <v>11.85000038146973</v>
      </c>
      <c r="I308" s="156" t="s">
        <v>657</v>
      </c>
      <c r="J308" s="22">
        <v>45544</v>
      </c>
      <c r="L308">
        <v>4.1000003814697266</v>
      </c>
      <c r="M308">
        <v>0.52903230728641626</v>
      </c>
      <c r="N308">
        <v>3.9900002479553218</v>
      </c>
      <c r="O308">
        <v>4.1399998664855957</v>
      </c>
      <c r="P308" s="156" t="s">
        <v>581</v>
      </c>
      <c r="Q308">
        <v>2021</v>
      </c>
    </row>
    <row r="309" spans="1:17" hidden="1" x14ac:dyDescent="0.35">
      <c r="A309" s="156" t="s">
        <v>658</v>
      </c>
      <c r="B309" s="22">
        <v>44562</v>
      </c>
      <c r="C309">
        <v>11.80000019073486</v>
      </c>
      <c r="D309">
        <v>12.659999847412109</v>
      </c>
      <c r="E309">
        <v>9.7799997329711914</v>
      </c>
      <c r="F309">
        <v>11.85000038146973</v>
      </c>
      <c r="G309">
        <v>2691500</v>
      </c>
      <c r="H309">
        <v>11.85000038146973</v>
      </c>
      <c r="I309" s="156" t="s">
        <v>657</v>
      </c>
      <c r="J309" s="22">
        <v>45544</v>
      </c>
      <c r="L309">
        <v>0</v>
      </c>
      <c r="M309">
        <v>0</v>
      </c>
      <c r="N309">
        <v>5.0000190734863281E-2</v>
      </c>
      <c r="O309">
        <v>0.85999965667724609</v>
      </c>
      <c r="P309" s="156" t="s">
        <v>582</v>
      </c>
      <c r="Q309">
        <v>2022</v>
      </c>
    </row>
    <row r="310" spans="1:17" hidden="1" x14ac:dyDescent="0.35">
      <c r="A310" s="156" t="s">
        <v>658</v>
      </c>
      <c r="B310" s="22">
        <v>44593</v>
      </c>
      <c r="C310">
        <v>11.97000026702881</v>
      </c>
      <c r="D310">
        <v>14.77000045776367</v>
      </c>
      <c r="E310">
        <v>9.0500001907348633</v>
      </c>
      <c r="F310">
        <v>11.77000045776367</v>
      </c>
      <c r="G310">
        <v>4681700</v>
      </c>
      <c r="H310">
        <v>11.77000045776367</v>
      </c>
      <c r="I310" s="156" t="s">
        <v>657</v>
      </c>
      <c r="J310" s="22">
        <v>45544</v>
      </c>
      <c r="L310">
        <v>-7.9999923706054688E-2</v>
      </c>
      <c r="M310">
        <v>-6.7510481966864822E-3</v>
      </c>
      <c r="N310">
        <v>-0.19999980926513669</v>
      </c>
      <c r="O310">
        <v>2.8000001907348628</v>
      </c>
      <c r="P310" s="156" t="s">
        <v>586</v>
      </c>
      <c r="Q310">
        <v>2022</v>
      </c>
    </row>
    <row r="311" spans="1:17" hidden="1" x14ac:dyDescent="0.35">
      <c r="A311" s="156" t="s">
        <v>658</v>
      </c>
      <c r="B311" s="22">
        <v>44621</v>
      </c>
      <c r="C311">
        <v>11.64000034332275</v>
      </c>
      <c r="D311">
        <v>12.25</v>
      </c>
      <c r="E311">
        <v>10.14999961853027</v>
      </c>
      <c r="F311">
        <v>10.159999847412109</v>
      </c>
      <c r="G311">
        <v>2491300</v>
      </c>
      <c r="H311">
        <v>10.159999847412109</v>
      </c>
      <c r="I311" s="156" t="s">
        <v>657</v>
      </c>
      <c r="J311" s="22">
        <v>45544</v>
      </c>
      <c r="L311">
        <v>-1.6100006103515621</v>
      </c>
      <c r="M311">
        <v>-0.13678849173617341</v>
      </c>
      <c r="N311">
        <v>-1.480000495910645</v>
      </c>
      <c r="O311">
        <v>0.60999965667724609</v>
      </c>
      <c r="P311" s="156" t="s">
        <v>586</v>
      </c>
      <c r="Q311">
        <v>2022</v>
      </c>
    </row>
    <row r="312" spans="1:17" hidden="1" x14ac:dyDescent="0.35">
      <c r="A312" s="156" t="s">
        <v>658</v>
      </c>
      <c r="B312" s="22">
        <v>44652</v>
      </c>
      <c r="C312">
        <v>10.19999980926514</v>
      </c>
      <c r="D312">
        <v>12.97000026702881</v>
      </c>
      <c r="E312">
        <v>10.010000228881839</v>
      </c>
      <c r="F312">
        <v>11.39999961853027</v>
      </c>
      <c r="G312">
        <v>2043800</v>
      </c>
      <c r="H312">
        <v>11.39999961853027</v>
      </c>
      <c r="I312" s="156" t="s">
        <v>657</v>
      </c>
      <c r="J312" s="22">
        <v>45544</v>
      </c>
      <c r="L312">
        <v>1.2399997711181641</v>
      </c>
      <c r="M312">
        <v>0.1220472233997139</v>
      </c>
      <c r="N312">
        <v>1.1999998092651369</v>
      </c>
      <c r="O312">
        <v>2.7700004577636719</v>
      </c>
      <c r="P312" s="156" t="s">
        <v>584</v>
      </c>
      <c r="Q312">
        <v>2022</v>
      </c>
    </row>
    <row r="313" spans="1:17" hidden="1" x14ac:dyDescent="0.35">
      <c r="A313" s="156" t="s">
        <v>658</v>
      </c>
      <c r="B313" s="22">
        <v>44682</v>
      </c>
      <c r="C313">
        <v>11.39999961853027</v>
      </c>
      <c r="D313">
        <v>15.47000026702881</v>
      </c>
      <c r="E313">
        <v>11.27000045776367</v>
      </c>
      <c r="F313">
        <v>13.539999961853029</v>
      </c>
      <c r="G313">
        <v>4413800</v>
      </c>
      <c r="H313">
        <v>13.539999961853029</v>
      </c>
      <c r="I313" s="156" t="s">
        <v>657</v>
      </c>
      <c r="J313" s="22">
        <v>45544</v>
      </c>
      <c r="L313">
        <v>2.1400003433227539</v>
      </c>
      <c r="M313">
        <v>0.1877193346431576</v>
      </c>
      <c r="N313">
        <v>2.1400003433227539</v>
      </c>
      <c r="O313">
        <v>4.0700006484985352</v>
      </c>
      <c r="P313" s="156" t="s">
        <v>583</v>
      </c>
      <c r="Q313">
        <v>2022</v>
      </c>
    </row>
    <row r="314" spans="1:17" hidden="1" x14ac:dyDescent="0.35">
      <c r="A314" s="156" t="s">
        <v>658</v>
      </c>
      <c r="B314" s="22">
        <v>44713</v>
      </c>
      <c r="C314">
        <v>13.64999961853027</v>
      </c>
      <c r="D314">
        <v>14.239999771118161</v>
      </c>
      <c r="E314">
        <v>9.7700004577636719</v>
      </c>
      <c r="F314">
        <v>10.25</v>
      </c>
      <c r="G314">
        <v>5505000</v>
      </c>
      <c r="H314">
        <v>10.25</v>
      </c>
      <c r="I314" s="156" t="s">
        <v>657</v>
      </c>
      <c r="J314" s="22">
        <v>45544</v>
      </c>
      <c r="L314">
        <v>-3.2899999618530269</v>
      </c>
      <c r="M314">
        <v>-0.2429837497135984</v>
      </c>
      <c r="N314">
        <v>-3.399999618530273</v>
      </c>
      <c r="O314">
        <v>0.59000015258789063</v>
      </c>
      <c r="P314" s="156" t="s">
        <v>581</v>
      </c>
      <c r="Q314">
        <v>2022</v>
      </c>
    </row>
    <row r="315" spans="1:17" hidden="1" x14ac:dyDescent="0.35">
      <c r="A315" s="156" t="s">
        <v>658</v>
      </c>
      <c r="B315" s="22">
        <v>44743</v>
      </c>
      <c r="C315">
        <v>10.10999965667725</v>
      </c>
      <c r="D315">
        <v>13</v>
      </c>
      <c r="E315">
        <v>9.369999885559082</v>
      </c>
      <c r="F315">
        <v>12.819999694824221</v>
      </c>
      <c r="G315">
        <v>1969500</v>
      </c>
      <c r="H315">
        <v>12.819999694824221</v>
      </c>
      <c r="I315" s="156" t="s">
        <v>657</v>
      </c>
      <c r="J315" s="22">
        <v>45544</v>
      </c>
      <c r="L315">
        <v>2.5699996948242192</v>
      </c>
      <c r="M315">
        <v>0.25073167754382619</v>
      </c>
      <c r="N315">
        <v>2.7100000381469731</v>
      </c>
      <c r="O315">
        <v>2.8900003433227539</v>
      </c>
      <c r="P315" s="156" t="s">
        <v>584</v>
      </c>
      <c r="Q315">
        <v>2022</v>
      </c>
    </row>
    <row r="316" spans="1:17" hidden="1" x14ac:dyDescent="0.35">
      <c r="A316" s="156" t="s">
        <v>658</v>
      </c>
      <c r="B316" s="22">
        <v>44774</v>
      </c>
      <c r="C316">
        <v>12.659999847412109</v>
      </c>
      <c r="D316">
        <v>14.38000011444092</v>
      </c>
      <c r="E316">
        <v>11.439999580383301</v>
      </c>
      <c r="F316">
        <v>11.64000034332275</v>
      </c>
      <c r="G316">
        <v>1183500</v>
      </c>
      <c r="H316">
        <v>11.64000034332275</v>
      </c>
      <c r="I316" s="156" t="s">
        <v>657</v>
      </c>
      <c r="J316" s="22">
        <v>45544</v>
      </c>
      <c r="L316">
        <v>-1.1799993515014651</v>
      </c>
      <c r="M316">
        <v>-9.2043633353428467E-2</v>
      </c>
      <c r="N316">
        <v>-1.019999504089355</v>
      </c>
      <c r="O316">
        <v>1.720000267028809</v>
      </c>
      <c r="P316" s="156" t="s">
        <v>585</v>
      </c>
      <c r="Q316">
        <v>2022</v>
      </c>
    </row>
    <row r="317" spans="1:17" hidden="1" x14ac:dyDescent="0.35">
      <c r="A317" s="156" t="s">
        <v>658</v>
      </c>
      <c r="B317" s="22">
        <v>44805</v>
      </c>
      <c r="C317">
        <v>11.47000026702881</v>
      </c>
      <c r="D317">
        <v>11.689999580383301</v>
      </c>
      <c r="E317">
        <v>7.25</v>
      </c>
      <c r="F317">
        <v>7.2699999809265137</v>
      </c>
      <c r="G317">
        <v>2646400</v>
      </c>
      <c r="H317">
        <v>7.2699999809265137</v>
      </c>
      <c r="I317" s="156" t="s">
        <v>657</v>
      </c>
      <c r="J317" s="22">
        <v>45544</v>
      </c>
      <c r="L317">
        <v>-4.3700003623962402</v>
      </c>
      <c r="M317">
        <v>-0.3754295733249764</v>
      </c>
      <c r="N317">
        <v>-4.2000002861022949</v>
      </c>
      <c r="O317">
        <v>0.21999931335449219</v>
      </c>
      <c r="P317" s="156" t="s">
        <v>587</v>
      </c>
      <c r="Q317">
        <v>2022</v>
      </c>
    </row>
    <row r="318" spans="1:17" hidden="1" x14ac:dyDescent="0.35">
      <c r="A318" s="156" t="s">
        <v>658</v>
      </c>
      <c r="B318" s="22">
        <v>44835</v>
      </c>
      <c r="C318">
        <v>7.4099998474121094</v>
      </c>
      <c r="D318">
        <v>8.2299995422363281</v>
      </c>
      <c r="E318">
        <v>4.6399998664855957</v>
      </c>
      <c r="F318">
        <v>6.4200000762939453</v>
      </c>
      <c r="G318">
        <v>3328900</v>
      </c>
      <c r="H318">
        <v>6.4200000762939453</v>
      </c>
      <c r="I318" s="156" t="s">
        <v>657</v>
      </c>
      <c r="J318" s="22">
        <v>45544</v>
      </c>
      <c r="L318">
        <v>-0.84999990463256836</v>
      </c>
      <c r="M318">
        <v>-0.1169188317555183</v>
      </c>
      <c r="N318">
        <v>-0.98999977111816406</v>
      </c>
      <c r="O318">
        <v>0.81999969482421875</v>
      </c>
      <c r="P318" s="156" t="s">
        <v>582</v>
      </c>
      <c r="Q318">
        <v>2022</v>
      </c>
    </row>
    <row r="319" spans="1:17" hidden="1" x14ac:dyDescent="0.35">
      <c r="A319" s="156" t="s">
        <v>658</v>
      </c>
      <c r="B319" s="22">
        <v>44866</v>
      </c>
      <c r="C319">
        <v>6.5199999809265137</v>
      </c>
      <c r="D319">
        <v>9.8900003433227539</v>
      </c>
      <c r="E319">
        <v>5.6399998664855957</v>
      </c>
      <c r="F319">
        <v>8.619999885559082</v>
      </c>
      <c r="G319">
        <v>1561800</v>
      </c>
      <c r="H319">
        <v>8.619999885559082</v>
      </c>
      <c r="I319" s="156" t="s">
        <v>657</v>
      </c>
      <c r="J319" s="22">
        <v>45544</v>
      </c>
      <c r="L319">
        <v>2.1999998092651372</v>
      </c>
      <c r="M319">
        <v>0.34267909394404938</v>
      </c>
      <c r="N319">
        <v>2.0999999046325679</v>
      </c>
      <c r="O319">
        <v>3.3700003623962398</v>
      </c>
      <c r="P319" s="156" t="s">
        <v>586</v>
      </c>
      <c r="Q319">
        <v>2022</v>
      </c>
    </row>
    <row r="320" spans="1:17" hidden="1" x14ac:dyDescent="0.35">
      <c r="A320" s="156" t="s">
        <v>658</v>
      </c>
      <c r="B320" s="22">
        <v>44896</v>
      </c>
      <c r="C320">
        <v>8.6000003814697266</v>
      </c>
      <c r="D320">
        <v>9.2799997329711914</v>
      </c>
      <c r="E320">
        <v>7.0100002288818359</v>
      </c>
      <c r="F320">
        <v>8.8500003814697266</v>
      </c>
      <c r="G320">
        <v>1297100</v>
      </c>
      <c r="H320">
        <v>8.8500003814697266</v>
      </c>
      <c r="I320" s="156" t="s">
        <v>657</v>
      </c>
      <c r="J320" s="22">
        <v>45544</v>
      </c>
      <c r="L320">
        <v>0.2300004959106445</v>
      </c>
      <c r="M320">
        <v>2.6682192455241172E-2</v>
      </c>
      <c r="N320">
        <v>0.25</v>
      </c>
      <c r="O320">
        <v>0.67999935150146484</v>
      </c>
      <c r="P320" s="156" t="s">
        <v>587</v>
      </c>
      <c r="Q320">
        <v>2022</v>
      </c>
    </row>
    <row r="321" spans="1:17" hidden="1" x14ac:dyDescent="0.35">
      <c r="A321" s="156" t="s">
        <v>658</v>
      </c>
      <c r="B321" s="22">
        <v>44927</v>
      </c>
      <c r="C321">
        <v>8.9700002670288086</v>
      </c>
      <c r="D321">
        <v>10.14999961853027</v>
      </c>
      <c r="E321">
        <v>8.1899995803833008</v>
      </c>
      <c r="F321">
        <v>10.05000019073486</v>
      </c>
      <c r="G321">
        <v>594700</v>
      </c>
      <c r="H321">
        <v>10.05000019073486</v>
      </c>
      <c r="I321" s="156" t="s">
        <v>657</v>
      </c>
      <c r="J321" s="22">
        <v>45544</v>
      </c>
      <c r="L321">
        <v>1.1999998092651369</v>
      </c>
      <c r="M321">
        <v>0.13559319294242231</v>
      </c>
      <c r="N321">
        <v>1.0799999237060549</v>
      </c>
      <c r="O321">
        <v>1.1799993515014651</v>
      </c>
      <c r="P321" s="156" t="s">
        <v>583</v>
      </c>
      <c r="Q321">
        <v>2023</v>
      </c>
    </row>
    <row r="322" spans="1:17" hidden="1" x14ac:dyDescent="0.35">
      <c r="A322" s="156" t="s">
        <v>658</v>
      </c>
      <c r="B322" s="22">
        <v>44958</v>
      </c>
      <c r="C322">
        <v>9.9499998092651367</v>
      </c>
      <c r="D322">
        <v>11.89000034332275</v>
      </c>
      <c r="E322">
        <v>9.7399997711181641</v>
      </c>
      <c r="F322">
        <v>11.060000419616699</v>
      </c>
      <c r="G322">
        <v>830800</v>
      </c>
      <c r="H322">
        <v>11.060000419616699</v>
      </c>
      <c r="I322" s="156" t="s">
        <v>657</v>
      </c>
      <c r="J322" s="22">
        <v>45544</v>
      </c>
      <c r="L322">
        <v>1.0100002288818359</v>
      </c>
      <c r="M322">
        <v>0.10049753330482129</v>
      </c>
      <c r="N322">
        <v>1.1100006103515621</v>
      </c>
      <c r="O322">
        <v>1.940000534057617</v>
      </c>
      <c r="P322" s="156" t="s">
        <v>581</v>
      </c>
      <c r="Q322">
        <v>2023</v>
      </c>
    </row>
    <row r="323" spans="1:17" hidden="1" x14ac:dyDescent="0.35">
      <c r="A323" s="156" t="s">
        <v>658</v>
      </c>
      <c r="B323" s="22">
        <v>44986</v>
      </c>
      <c r="C323">
        <v>11.14999961853027</v>
      </c>
      <c r="D323">
        <v>11.80000019073486</v>
      </c>
      <c r="E323">
        <v>8.9600000381469727</v>
      </c>
      <c r="F323">
        <v>10.689999580383301</v>
      </c>
      <c r="G323">
        <v>1084900</v>
      </c>
      <c r="H323">
        <v>10.689999580383301</v>
      </c>
      <c r="I323" s="156" t="s">
        <v>657</v>
      </c>
      <c r="J323" s="22">
        <v>45544</v>
      </c>
      <c r="L323">
        <v>-0.37000083923339838</v>
      </c>
      <c r="M323">
        <v>-3.3453962495077483E-2</v>
      </c>
      <c r="N323">
        <v>-0.46000003814697271</v>
      </c>
      <c r="O323">
        <v>0.65000057220458984</v>
      </c>
      <c r="P323" s="156" t="s">
        <v>581</v>
      </c>
      <c r="Q323">
        <v>2023</v>
      </c>
    </row>
    <row r="324" spans="1:17" hidden="1" x14ac:dyDescent="0.35">
      <c r="A324" s="156" t="s">
        <v>658</v>
      </c>
      <c r="B324" s="22">
        <v>45017</v>
      </c>
      <c r="C324">
        <v>10.689999580383301</v>
      </c>
      <c r="D324">
        <v>10.930000305175779</v>
      </c>
      <c r="E324">
        <v>8.8500003814697266</v>
      </c>
      <c r="F324">
        <v>10.409999847412109</v>
      </c>
      <c r="G324">
        <v>738900</v>
      </c>
      <c r="H324">
        <v>10.409999847412109</v>
      </c>
      <c r="I324" s="156" t="s">
        <v>657</v>
      </c>
      <c r="J324" s="22">
        <v>45544</v>
      </c>
      <c r="L324">
        <v>-0.27999973297119141</v>
      </c>
      <c r="M324">
        <v>-2.6192679510016581E-2</v>
      </c>
      <c r="N324">
        <v>-0.27999973297119141</v>
      </c>
      <c r="O324">
        <v>0.2400007247924805</v>
      </c>
      <c r="P324" s="156" t="s">
        <v>582</v>
      </c>
      <c r="Q324">
        <v>2023</v>
      </c>
    </row>
    <row r="325" spans="1:17" hidden="1" x14ac:dyDescent="0.35">
      <c r="A325" s="156" t="s">
        <v>658</v>
      </c>
      <c r="B325" s="22">
        <v>45047</v>
      </c>
      <c r="C325">
        <v>10.409999847412109</v>
      </c>
      <c r="D325">
        <v>11.920000076293951</v>
      </c>
      <c r="E325">
        <v>9.369999885559082</v>
      </c>
      <c r="F325">
        <v>11.60999965667725</v>
      </c>
      <c r="G325">
        <v>704800</v>
      </c>
      <c r="H325">
        <v>11.60999965667725</v>
      </c>
      <c r="I325" s="156" t="s">
        <v>657</v>
      </c>
      <c r="J325" s="22">
        <v>45544</v>
      </c>
      <c r="L325">
        <v>1.1999998092651369</v>
      </c>
      <c r="M325">
        <v>0.11527375858352711</v>
      </c>
      <c r="N325">
        <v>1.1999998092651369</v>
      </c>
      <c r="O325">
        <v>1.5100002288818359</v>
      </c>
      <c r="P325" s="156" t="s">
        <v>585</v>
      </c>
      <c r="Q325">
        <v>2023</v>
      </c>
    </row>
    <row r="326" spans="1:17" hidden="1" x14ac:dyDescent="0.35">
      <c r="A326" s="156" t="s">
        <v>658</v>
      </c>
      <c r="B326" s="22">
        <v>45078</v>
      </c>
      <c r="C326">
        <v>11.69999980926514</v>
      </c>
      <c r="D326">
        <v>12.710000038146971</v>
      </c>
      <c r="E326">
        <v>11.02999973297119</v>
      </c>
      <c r="F326">
        <v>11.670000076293951</v>
      </c>
      <c r="G326">
        <v>681500</v>
      </c>
      <c r="H326">
        <v>11.670000076293951</v>
      </c>
      <c r="I326" s="156" t="s">
        <v>657</v>
      </c>
      <c r="J326" s="22">
        <v>45544</v>
      </c>
      <c r="L326">
        <v>6.0000419616699219E-2</v>
      </c>
      <c r="M326">
        <v>5.1679949518510524E-3</v>
      </c>
      <c r="N326">
        <v>-2.999973297119141E-2</v>
      </c>
      <c r="O326">
        <v>1.0100002288818359</v>
      </c>
      <c r="P326" s="156" t="s">
        <v>587</v>
      </c>
      <c r="Q326">
        <v>2023</v>
      </c>
    </row>
    <row r="327" spans="1:17" hidden="1" x14ac:dyDescent="0.35">
      <c r="A327" s="156" t="s">
        <v>658</v>
      </c>
      <c r="B327" s="22">
        <v>45108</v>
      </c>
      <c r="C327">
        <v>11.670000076293951</v>
      </c>
      <c r="D327">
        <v>13.75</v>
      </c>
      <c r="E327">
        <v>10.52000045776367</v>
      </c>
      <c r="F327">
        <v>12.810000419616699</v>
      </c>
      <c r="G327">
        <v>514800</v>
      </c>
      <c r="H327">
        <v>12.810000419616699</v>
      </c>
      <c r="I327" s="156" t="s">
        <v>657</v>
      </c>
      <c r="J327" s="22">
        <v>45544</v>
      </c>
      <c r="L327">
        <v>1.1400003433227539</v>
      </c>
      <c r="M327">
        <v>9.7686404101960056E-2</v>
      </c>
      <c r="N327">
        <v>1.1400003433227539</v>
      </c>
      <c r="O327">
        <v>2.0799999237060551</v>
      </c>
      <c r="P327" s="156" t="s">
        <v>582</v>
      </c>
      <c r="Q327">
        <v>2023</v>
      </c>
    </row>
    <row r="328" spans="1:17" hidden="1" x14ac:dyDescent="0.35">
      <c r="A328" s="156" t="s">
        <v>658</v>
      </c>
      <c r="B328" s="22">
        <v>45139</v>
      </c>
      <c r="C328">
        <v>13</v>
      </c>
      <c r="D328">
        <v>13</v>
      </c>
      <c r="E328">
        <v>7.820000171661377</v>
      </c>
      <c r="F328">
        <v>9.2700004577636719</v>
      </c>
      <c r="G328">
        <v>534500</v>
      </c>
      <c r="H328">
        <v>9.2700004577636719</v>
      </c>
      <c r="I328" s="156" t="s">
        <v>657</v>
      </c>
      <c r="J328" s="22">
        <v>45544</v>
      </c>
      <c r="L328">
        <v>-3.5399999618530269</v>
      </c>
      <c r="M328">
        <v>-0.2763465921852758</v>
      </c>
      <c r="N328">
        <v>-3.7299995422363281</v>
      </c>
      <c r="O328">
        <v>0</v>
      </c>
      <c r="P328" s="156" t="s">
        <v>586</v>
      </c>
      <c r="Q328">
        <v>2023</v>
      </c>
    </row>
    <row r="329" spans="1:17" hidden="1" x14ac:dyDescent="0.35">
      <c r="A329" s="156" t="s">
        <v>658</v>
      </c>
      <c r="B329" s="22">
        <v>45170</v>
      </c>
      <c r="C329">
        <v>9.0500001907348633</v>
      </c>
      <c r="D329">
        <v>10.430000305175779</v>
      </c>
      <c r="E329">
        <v>8.2600002288818359</v>
      </c>
      <c r="F329">
        <v>9.0699996948242188</v>
      </c>
      <c r="G329">
        <v>599600</v>
      </c>
      <c r="H329">
        <v>9.0699996948242188</v>
      </c>
      <c r="I329" s="156" t="s">
        <v>657</v>
      </c>
      <c r="J329" s="22">
        <v>45544</v>
      </c>
      <c r="L329">
        <v>-0.2000007629394531</v>
      </c>
      <c r="M329">
        <v>-2.1575054267872429E-2</v>
      </c>
      <c r="N329">
        <v>1.9999504089355469E-2</v>
      </c>
      <c r="O329">
        <v>1.380000114440918</v>
      </c>
      <c r="P329" s="156" t="s">
        <v>584</v>
      </c>
      <c r="Q329">
        <v>2023</v>
      </c>
    </row>
    <row r="330" spans="1:17" hidden="1" x14ac:dyDescent="0.35">
      <c r="A330" s="156" t="s">
        <v>658</v>
      </c>
      <c r="B330" s="22">
        <v>45200</v>
      </c>
      <c r="C330">
        <v>8.9300003051757813</v>
      </c>
      <c r="D330">
        <v>9.8000001907348633</v>
      </c>
      <c r="E330">
        <v>7.9800000190734863</v>
      </c>
      <c r="F330">
        <v>9.25</v>
      </c>
      <c r="G330">
        <v>626500</v>
      </c>
      <c r="H330">
        <v>9.25</v>
      </c>
      <c r="I330" s="156" t="s">
        <v>657</v>
      </c>
      <c r="J330" s="22">
        <v>45544</v>
      </c>
      <c r="L330">
        <v>0.18000030517578119</v>
      </c>
      <c r="M330">
        <v>1.9845679297927351E-2</v>
      </c>
      <c r="N330">
        <v>0.31999969482421881</v>
      </c>
      <c r="O330">
        <v>0.86999988555908203</v>
      </c>
      <c r="P330" s="156" t="s">
        <v>583</v>
      </c>
      <c r="Q330">
        <v>2023</v>
      </c>
    </row>
    <row r="331" spans="1:17" hidden="1" x14ac:dyDescent="0.35">
      <c r="A331" s="156" t="s">
        <v>658</v>
      </c>
      <c r="B331" s="22">
        <v>45231</v>
      </c>
      <c r="C331">
        <v>9.2899999618530273</v>
      </c>
      <c r="D331">
        <v>10.319999694824221</v>
      </c>
      <c r="E331">
        <v>9.2600002288818359</v>
      </c>
      <c r="F331">
        <v>9.4799995422363281</v>
      </c>
      <c r="G331">
        <v>345300</v>
      </c>
      <c r="H331">
        <v>9.4799995422363281</v>
      </c>
      <c r="I331" s="156" t="s">
        <v>657</v>
      </c>
      <c r="J331" s="22">
        <v>45544</v>
      </c>
      <c r="L331">
        <v>0.2299995422363281</v>
      </c>
      <c r="M331">
        <v>2.486481537690044E-2</v>
      </c>
      <c r="N331">
        <v>0.18999958038330081</v>
      </c>
      <c r="O331">
        <v>1.029999732971191</v>
      </c>
      <c r="P331" s="156" t="s">
        <v>581</v>
      </c>
      <c r="Q331">
        <v>2023</v>
      </c>
    </row>
    <row r="332" spans="1:17" hidden="1" x14ac:dyDescent="0.35">
      <c r="A332" s="156" t="s">
        <v>658</v>
      </c>
      <c r="B332" s="22">
        <v>45261</v>
      </c>
      <c r="C332">
        <v>9.3500003814697266</v>
      </c>
      <c r="D332">
        <v>10.14999961853027</v>
      </c>
      <c r="E332">
        <v>8.0299997329711914</v>
      </c>
      <c r="F332">
        <v>9.369999885559082</v>
      </c>
      <c r="G332">
        <v>505400</v>
      </c>
      <c r="H332">
        <v>9.369999885559082</v>
      </c>
      <c r="I332" s="156" t="s">
        <v>657</v>
      </c>
      <c r="J332" s="22">
        <v>45544</v>
      </c>
      <c r="L332">
        <v>-0.10999965667724609</v>
      </c>
      <c r="M332">
        <v>-1.160333987223983E-2</v>
      </c>
      <c r="N332">
        <v>1.9999504089355469E-2</v>
      </c>
      <c r="O332">
        <v>0.79999923706054688</v>
      </c>
      <c r="P332" s="156" t="s">
        <v>584</v>
      </c>
      <c r="Q332">
        <v>2023</v>
      </c>
    </row>
    <row r="333" spans="1:17" hidden="1" x14ac:dyDescent="0.35">
      <c r="A333" s="156" t="s">
        <v>660</v>
      </c>
      <c r="B333" s="22">
        <v>43466</v>
      </c>
      <c r="C333">
        <v>10.05000019073486</v>
      </c>
      <c r="D333">
        <v>10.33899974822998</v>
      </c>
      <c r="E333">
        <v>9.1999998092651367</v>
      </c>
      <c r="F333">
        <v>9.630000114440918</v>
      </c>
      <c r="G333">
        <v>391300</v>
      </c>
      <c r="H333">
        <v>8.4522571563720703</v>
      </c>
      <c r="I333" s="156" t="s">
        <v>659</v>
      </c>
      <c r="J333" s="22">
        <v>45544</v>
      </c>
      <c r="K333">
        <v>2.4E-2</v>
      </c>
      <c r="N333">
        <v>-0.42000007629394531</v>
      </c>
      <c r="O333">
        <v>0.28899955749511719</v>
      </c>
      <c r="P333" s="156" t="s">
        <v>586</v>
      </c>
      <c r="Q333">
        <v>2019</v>
      </c>
    </row>
    <row r="334" spans="1:17" hidden="1" x14ac:dyDescent="0.35">
      <c r="A334" s="156" t="s">
        <v>660</v>
      </c>
      <c r="B334" s="22">
        <v>43497</v>
      </c>
      <c r="C334">
        <v>9.7100000381469727</v>
      </c>
      <c r="D334">
        <v>9.8400001525878906</v>
      </c>
      <c r="E334">
        <v>9</v>
      </c>
      <c r="F334">
        <v>9.5100002288818359</v>
      </c>
      <c r="G334">
        <v>305800</v>
      </c>
      <c r="H334">
        <v>8.3672580718994141</v>
      </c>
      <c r="I334" s="156" t="s">
        <v>659</v>
      </c>
      <c r="J334" s="22">
        <v>45544</v>
      </c>
      <c r="K334">
        <v>2.4E-2</v>
      </c>
      <c r="L334">
        <v>-8.499908447265625E-2</v>
      </c>
      <c r="M334">
        <v>-1.246104715815455E-2</v>
      </c>
      <c r="N334">
        <v>-0.19999980926513669</v>
      </c>
      <c r="O334">
        <v>0.130000114440918</v>
      </c>
      <c r="P334" s="156" t="s">
        <v>584</v>
      </c>
      <c r="Q334">
        <v>2019</v>
      </c>
    </row>
    <row r="335" spans="1:17" hidden="1" x14ac:dyDescent="0.35">
      <c r="A335" s="156" t="s">
        <v>660</v>
      </c>
      <c r="B335" s="22">
        <v>43525</v>
      </c>
      <c r="C335">
        <v>9.5900001525878906</v>
      </c>
      <c r="D335">
        <v>10.30000019073486</v>
      </c>
      <c r="E335">
        <v>9.369999885559082</v>
      </c>
      <c r="F335">
        <v>9.8100004196166992</v>
      </c>
      <c r="G335">
        <v>393000</v>
      </c>
      <c r="H335">
        <v>8.6537847518920898</v>
      </c>
      <c r="I335" s="156" t="s">
        <v>659</v>
      </c>
      <c r="J335" s="22">
        <v>45544</v>
      </c>
      <c r="K335">
        <v>2.4E-2</v>
      </c>
      <c r="L335">
        <v>0.28652667999267578</v>
      </c>
      <c r="M335">
        <v>3.1545760621936043E-2</v>
      </c>
      <c r="N335">
        <v>0.22000026702880859</v>
      </c>
      <c r="O335">
        <v>0.71000003814697266</v>
      </c>
      <c r="P335" s="156" t="s">
        <v>584</v>
      </c>
      <c r="Q335">
        <v>2019</v>
      </c>
    </row>
    <row r="336" spans="1:17" hidden="1" x14ac:dyDescent="0.35">
      <c r="A336" s="156" t="s">
        <v>660</v>
      </c>
      <c r="B336" s="22">
        <v>43556</v>
      </c>
      <c r="C336">
        <v>10.10999965667725</v>
      </c>
      <c r="D336">
        <v>10.10999965667725</v>
      </c>
      <c r="E336">
        <v>9.4899997711181641</v>
      </c>
      <c r="F336">
        <v>9.75</v>
      </c>
      <c r="G336">
        <v>336300</v>
      </c>
      <c r="H336">
        <v>8.6226234436035156</v>
      </c>
      <c r="I336" s="156" t="s">
        <v>659</v>
      </c>
      <c r="J336" s="22">
        <v>45544</v>
      </c>
      <c r="K336">
        <v>2.4E-2</v>
      </c>
      <c r="L336">
        <v>-3.1161308288574219E-2</v>
      </c>
      <c r="M336">
        <v>-6.1162504638346826E-3</v>
      </c>
      <c r="N336">
        <v>-0.35999965667724609</v>
      </c>
      <c r="O336">
        <v>0</v>
      </c>
      <c r="P336" s="156" t="s">
        <v>585</v>
      </c>
      <c r="Q336">
        <v>2019</v>
      </c>
    </row>
    <row r="337" spans="1:17" hidden="1" x14ac:dyDescent="0.35">
      <c r="A337" s="156" t="s">
        <v>660</v>
      </c>
      <c r="B337" s="22">
        <v>43586</v>
      </c>
      <c r="C337">
        <v>9.7799997329711914</v>
      </c>
      <c r="D337">
        <v>9.8400001525878906</v>
      </c>
      <c r="E337">
        <v>9.3000001907348633</v>
      </c>
      <c r="F337">
        <v>9.5200004577636719</v>
      </c>
      <c r="G337">
        <v>431700</v>
      </c>
      <c r="H337">
        <v>8.4402694702148438</v>
      </c>
      <c r="I337" s="156" t="s">
        <v>659</v>
      </c>
      <c r="J337" s="22">
        <v>45544</v>
      </c>
      <c r="K337">
        <v>2.4E-2</v>
      </c>
      <c r="L337">
        <v>-0.1823539733886719</v>
      </c>
      <c r="M337">
        <v>-2.35896966396234E-2</v>
      </c>
      <c r="N337">
        <v>-0.25999927520751948</v>
      </c>
      <c r="O337">
        <v>6.0000419616699219E-2</v>
      </c>
      <c r="P337" s="156" t="s">
        <v>581</v>
      </c>
      <c r="Q337">
        <v>2019</v>
      </c>
    </row>
    <row r="338" spans="1:17" hidden="1" x14ac:dyDescent="0.35">
      <c r="A338" s="156" t="s">
        <v>660</v>
      </c>
      <c r="B338" s="22">
        <v>43617</v>
      </c>
      <c r="C338">
        <v>9.5299997329711914</v>
      </c>
      <c r="D338">
        <v>10.689999580383301</v>
      </c>
      <c r="E338">
        <v>9.4499998092651367</v>
      </c>
      <c r="F338">
        <v>10.439999580383301</v>
      </c>
      <c r="G338">
        <v>570300</v>
      </c>
      <c r="H338">
        <v>9.2792673110961914</v>
      </c>
      <c r="I338" s="156" t="s">
        <v>659</v>
      </c>
      <c r="J338" s="22">
        <v>45544</v>
      </c>
      <c r="K338">
        <v>2.4E-2</v>
      </c>
      <c r="L338">
        <v>0.83899784088134766</v>
      </c>
      <c r="M338">
        <v>9.6638558653572293E-2</v>
      </c>
      <c r="N338">
        <v>0.90999984741210938</v>
      </c>
      <c r="O338">
        <v>1.1599998474121089</v>
      </c>
      <c r="P338" s="156" t="s">
        <v>582</v>
      </c>
      <c r="Q338">
        <v>2019</v>
      </c>
    </row>
    <row r="339" spans="1:17" hidden="1" x14ac:dyDescent="0.35">
      <c r="A339" s="156" t="s">
        <v>660</v>
      </c>
      <c r="B339" s="22">
        <v>43647</v>
      </c>
      <c r="C339">
        <v>10.39999961853027</v>
      </c>
      <c r="D339">
        <v>12.75</v>
      </c>
      <c r="E339">
        <v>10.14000034332275</v>
      </c>
      <c r="F339">
        <v>12.659999847412109</v>
      </c>
      <c r="G339">
        <v>1175800</v>
      </c>
      <c r="H339">
        <v>11.279147148132321</v>
      </c>
      <c r="I339" s="156" t="s">
        <v>659</v>
      </c>
      <c r="J339" s="22">
        <v>45544</v>
      </c>
      <c r="K339">
        <v>2.4E-2</v>
      </c>
      <c r="L339">
        <v>1.999879837036133</v>
      </c>
      <c r="M339">
        <v>0.2126437122852165</v>
      </c>
      <c r="N339">
        <v>2.2600002288818359</v>
      </c>
      <c r="O339">
        <v>2.350000381469727</v>
      </c>
      <c r="P339" s="156" t="s">
        <v>585</v>
      </c>
      <c r="Q339">
        <v>2019</v>
      </c>
    </row>
    <row r="340" spans="1:17" hidden="1" x14ac:dyDescent="0.35">
      <c r="A340" s="156" t="s">
        <v>660</v>
      </c>
      <c r="B340" s="22">
        <v>43678</v>
      </c>
      <c r="C340">
        <v>12.659999847412109</v>
      </c>
      <c r="D340">
        <v>13.329999923706049</v>
      </c>
      <c r="E340">
        <v>11.079999923706049</v>
      </c>
      <c r="F340">
        <v>11.909999847412109</v>
      </c>
      <c r="G340">
        <v>400600</v>
      </c>
      <c r="H340">
        <v>10.634626388549799</v>
      </c>
      <c r="I340" s="156" t="s">
        <v>659</v>
      </c>
      <c r="J340" s="22">
        <v>45544</v>
      </c>
      <c r="K340">
        <v>2.4E-2</v>
      </c>
      <c r="L340">
        <v>-0.64452075958251953</v>
      </c>
      <c r="M340">
        <v>-5.924170687516328E-2</v>
      </c>
      <c r="N340">
        <v>-0.75</v>
      </c>
      <c r="O340">
        <v>0.67000007629394531</v>
      </c>
      <c r="P340" s="156" t="s">
        <v>587</v>
      </c>
      <c r="Q340">
        <v>2019</v>
      </c>
    </row>
    <row r="341" spans="1:17" hidden="1" x14ac:dyDescent="0.35">
      <c r="A341" s="156" t="s">
        <v>660</v>
      </c>
      <c r="B341" s="22">
        <v>43709</v>
      </c>
      <c r="C341">
        <v>11.930000305175779</v>
      </c>
      <c r="D341">
        <v>13.30000019073486</v>
      </c>
      <c r="E341">
        <v>11.63000011444092</v>
      </c>
      <c r="F341">
        <v>11.840000152587891</v>
      </c>
      <c r="G341">
        <v>396700</v>
      </c>
      <c r="H341">
        <v>10.594705581665041</v>
      </c>
      <c r="I341" s="156" t="s">
        <v>659</v>
      </c>
      <c r="J341" s="22">
        <v>45544</v>
      </c>
      <c r="K341">
        <v>2.4E-2</v>
      </c>
      <c r="L341">
        <v>-3.9920806884765618E-2</v>
      </c>
      <c r="M341">
        <v>-5.877388389675664E-3</v>
      </c>
      <c r="N341">
        <v>-9.0000152587890625E-2</v>
      </c>
      <c r="O341">
        <v>1.369999885559082</v>
      </c>
      <c r="P341" s="156" t="s">
        <v>583</v>
      </c>
      <c r="Q341">
        <v>2019</v>
      </c>
    </row>
    <row r="342" spans="1:17" hidden="1" x14ac:dyDescent="0.35">
      <c r="A342" s="156" t="s">
        <v>660</v>
      </c>
      <c r="B342" s="22">
        <v>43739</v>
      </c>
      <c r="C342">
        <v>11.930000305175779</v>
      </c>
      <c r="D342">
        <v>12.39900016784668</v>
      </c>
      <c r="E342">
        <v>11.63000011444092</v>
      </c>
      <c r="F342">
        <v>12.25</v>
      </c>
      <c r="G342">
        <v>396400</v>
      </c>
      <c r="H342">
        <v>10.982499122619631</v>
      </c>
      <c r="I342" s="156" t="s">
        <v>659</v>
      </c>
      <c r="J342" s="22">
        <v>45544</v>
      </c>
      <c r="K342">
        <v>2.4E-2</v>
      </c>
      <c r="L342">
        <v>0.38779354095458979</v>
      </c>
      <c r="M342">
        <v>3.4628365044614862E-2</v>
      </c>
      <c r="N342">
        <v>0.31999969482421881</v>
      </c>
      <c r="O342">
        <v>0.46899986267089838</v>
      </c>
      <c r="P342" s="156" t="s">
        <v>586</v>
      </c>
      <c r="Q342">
        <v>2019</v>
      </c>
    </row>
    <row r="343" spans="1:17" hidden="1" x14ac:dyDescent="0.35">
      <c r="A343" s="156" t="s">
        <v>660</v>
      </c>
      <c r="B343" s="22">
        <v>43770</v>
      </c>
      <c r="C343">
        <v>12.30000019073486</v>
      </c>
      <c r="D343">
        <v>14.989999771118161</v>
      </c>
      <c r="E343">
        <v>11.89999961853027</v>
      </c>
      <c r="F343">
        <v>13.47000026702881</v>
      </c>
      <c r="G343">
        <v>294100</v>
      </c>
      <c r="H343">
        <v>12.10069370269775</v>
      </c>
      <c r="I343" s="156" t="s">
        <v>659</v>
      </c>
      <c r="J343" s="22">
        <v>45544</v>
      </c>
      <c r="K343">
        <v>2.4E-2</v>
      </c>
      <c r="L343">
        <v>1.118194580078125</v>
      </c>
      <c r="M343">
        <v>9.9591858532964039E-2</v>
      </c>
      <c r="N343">
        <v>1.1700000762939451</v>
      </c>
      <c r="O343">
        <v>2.6899995803833008</v>
      </c>
      <c r="P343" s="156" t="s">
        <v>584</v>
      </c>
      <c r="Q343">
        <v>2019</v>
      </c>
    </row>
    <row r="344" spans="1:17" hidden="1" x14ac:dyDescent="0.35">
      <c r="A344" s="156" t="s">
        <v>660</v>
      </c>
      <c r="B344" s="22">
        <v>43800</v>
      </c>
      <c r="C344">
        <v>13.460000038146971</v>
      </c>
      <c r="D344">
        <v>13.939999580383301</v>
      </c>
      <c r="E344">
        <v>12.11999988555908</v>
      </c>
      <c r="F344">
        <v>13.14999961853027</v>
      </c>
      <c r="G344">
        <v>406300</v>
      </c>
      <c r="H344">
        <v>11.83524227142334</v>
      </c>
      <c r="I344" s="156" t="s">
        <v>659</v>
      </c>
      <c r="J344" s="22">
        <v>45544</v>
      </c>
      <c r="K344">
        <v>2.4E-2</v>
      </c>
      <c r="L344">
        <v>-0.26545143127441412</v>
      </c>
      <c r="M344">
        <v>-2.375654358981838E-2</v>
      </c>
      <c r="N344">
        <v>-0.31000041961669922</v>
      </c>
      <c r="O344">
        <v>0.47999954223632813</v>
      </c>
      <c r="P344" s="156" t="s">
        <v>583</v>
      </c>
      <c r="Q344">
        <v>2019</v>
      </c>
    </row>
    <row r="345" spans="1:17" hidden="1" x14ac:dyDescent="0.35">
      <c r="A345" s="156" t="s">
        <v>660</v>
      </c>
      <c r="B345" s="22">
        <v>43831</v>
      </c>
      <c r="C345">
        <v>13.27999973297119</v>
      </c>
      <c r="D345">
        <v>13.319999694824221</v>
      </c>
      <c r="E345">
        <v>12.52999973297119</v>
      </c>
      <c r="F345">
        <v>12.63000011444092</v>
      </c>
      <c r="G345">
        <v>755500</v>
      </c>
      <c r="H345">
        <v>11.3884162902832</v>
      </c>
      <c r="I345" s="156" t="s">
        <v>659</v>
      </c>
      <c r="J345" s="22">
        <v>45544</v>
      </c>
      <c r="K345">
        <v>2.4E-2</v>
      </c>
      <c r="L345">
        <v>-0.44682598114013672</v>
      </c>
      <c r="M345">
        <v>-3.9543689671032389E-2</v>
      </c>
      <c r="N345">
        <v>-0.64999961853027344</v>
      </c>
      <c r="O345">
        <v>3.9999961853027337E-2</v>
      </c>
      <c r="P345" s="156" t="s">
        <v>581</v>
      </c>
      <c r="Q345">
        <v>2020</v>
      </c>
    </row>
    <row r="346" spans="1:17" hidden="1" x14ac:dyDescent="0.35">
      <c r="A346" s="156" t="s">
        <v>660</v>
      </c>
      <c r="B346" s="22">
        <v>43862</v>
      </c>
      <c r="C346">
        <v>12.64999961853027</v>
      </c>
      <c r="D346">
        <v>14.170000076293951</v>
      </c>
      <c r="E346">
        <v>11.810000419616699</v>
      </c>
      <c r="F346">
        <v>11.94999980926514</v>
      </c>
      <c r="G346">
        <v>706800</v>
      </c>
      <c r="H346">
        <v>10.795444488525391</v>
      </c>
      <c r="I346" s="156" t="s">
        <v>659</v>
      </c>
      <c r="J346" s="22">
        <v>45544</v>
      </c>
      <c r="K346">
        <v>2.4E-2</v>
      </c>
      <c r="L346">
        <v>-0.5929718017578125</v>
      </c>
      <c r="M346">
        <v>-5.3840087016173599E-2</v>
      </c>
      <c r="N346">
        <v>-0.69999980926513672</v>
      </c>
      <c r="O346">
        <v>1.5200004577636721</v>
      </c>
      <c r="P346" s="156" t="s">
        <v>582</v>
      </c>
      <c r="Q346">
        <v>2020</v>
      </c>
    </row>
    <row r="347" spans="1:17" hidden="1" x14ac:dyDescent="0.35">
      <c r="A347" s="156" t="s">
        <v>660</v>
      </c>
      <c r="B347" s="22">
        <v>43891</v>
      </c>
      <c r="C347">
        <v>12.340000152587891</v>
      </c>
      <c r="D347">
        <v>13</v>
      </c>
      <c r="E347">
        <v>8.5100002288818359</v>
      </c>
      <c r="F347">
        <v>10.189999580383301</v>
      </c>
      <c r="G347">
        <v>1058000</v>
      </c>
      <c r="H347">
        <v>9.2219963073730469</v>
      </c>
      <c r="I347" s="156" t="s">
        <v>659</v>
      </c>
      <c r="J347" s="22">
        <v>45544</v>
      </c>
      <c r="K347">
        <v>2.4E-2</v>
      </c>
      <c r="L347">
        <v>-1.573448181152344</v>
      </c>
      <c r="M347">
        <v>-0.14728035623207819</v>
      </c>
      <c r="N347">
        <v>-2.1500005722045898</v>
      </c>
      <c r="O347">
        <v>0.65999984741210938</v>
      </c>
      <c r="P347" s="156" t="s">
        <v>583</v>
      </c>
      <c r="Q347">
        <v>2020</v>
      </c>
    </row>
    <row r="348" spans="1:17" hidden="1" x14ac:dyDescent="0.35">
      <c r="A348" s="156" t="s">
        <v>660</v>
      </c>
      <c r="B348" s="22">
        <v>43922</v>
      </c>
      <c r="C348">
        <v>9.8199996948242188</v>
      </c>
      <c r="D348">
        <v>12.35000038146973</v>
      </c>
      <c r="E348">
        <v>9.0900001525878906</v>
      </c>
      <c r="F348">
        <v>10.75</v>
      </c>
      <c r="G348">
        <v>1013900</v>
      </c>
      <c r="H348">
        <v>9.7497434616088867</v>
      </c>
      <c r="I348" s="156" t="s">
        <v>659</v>
      </c>
      <c r="J348" s="22">
        <v>45544</v>
      </c>
      <c r="K348">
        <v>2.4E-2</v>
      </c>
      <c r="L348">
        <v>0.52774715423583984</v>
      </c>
      <c r="M348">
        <v>5.4955882500206547E-2</v>
      </c>
      <c r="N348">
        <v>0.93000030517578125</v>
      </c>
      <c r="O348">
        <v>2.5300006866455078</v>
      </c>
      <c r="P348" s="156" t="s">
        <v>581</v>
      </c>
      <c r="Q348">
        <v>2020</v>
      </c>
    </row>
    <row r="349" spans="1:17" hidden="1" x14ac:dyDescent="0.35">
      <c r="A349" s="156" t="s">
        <v>660</v>
      </c>
      <c r="B349" s="22">
        <v>43952</v>
      </c>
      <c r="C349">
        <v>10.60999965667725</v>
      </c>
      <c r="D349">
        <v>11.489999771118161</v>
      </c>
      <c r="E349">
        <v>9.7700004577636719</v>
      </c>
      <c r="F349">
        <v>10.75</v>
      </c>
      <c r="G349">
        <v>579900</v>
      </c>
      <c r="H349">
        <v>9.7710046768188477</v>
      </c>
      <c r="I349" s="156" t="s">
        <v>659</v>
      </c>
      <c r="J349" s="22">
        <v>45544</v>
      </c>
      <c r="K349">
        <v>2.4E-2</v>
      </c>
      <c r="L349">
        <v>2.1261215209960941E-2</v>
      </c>
      <c r="M349">
        <v>0</v>
      </c>
      <c r="N349">
        <v>0.14000034332275391</v>
      </c>
      <c r="O349">
        <v>0.88000011444091797</v>
      </c>
      <c r="P349" s="156" t="s">
        <v>584</v>
      </c>
      <c r="Q349">
        <v>2020</v>
      </c>
    </row>
    <row r="350" spans="1:17" hidden="1" x14ac:dyDescent="0.35">
      <c r="A350" s="156" t="s">
        <v>660</v>
      </c>
      <c r="B350" s="22">
        <v>43983</v>
      </c>
      <c r="C350">
        <v>10.75</v>
      </c>
      <c r="D350">
        <v>11.539999961853029</v>
      </c>
      <c r="E350">
        <v>9.75</v>
      </c>
      <c r="F350">
        <v>10.539999961853029</v>
      </c>
      <c r="G350">
        <v>1004200</v>
      </c>
      <c r="H350">
        <v>9.6031074523925781</v>
      </c>
      <c r="I350" s="156" t="s">
        <v>659</v>
      </c>
      <c r="J350" s="22">
        <v>45544</v>
      </c>
      <c r="K350">
        <v>2.4E-2</v>
      </c>
      <c r="L350">
        <v>-0.1678972244262695</v>
      </c>
      <c r="M350">
        <v>-1.953488726948582E-2</v>
      </c>
      <c r="N350">
        <v>-0.21000003814697271</v>
      </c>
      <c r="O350">
        <v>0.78999996185302734</v>
      </c>
      <c r="P350" s="156" t="s">
        <v>585</v>
      </c>
      <c r="Q350">
        <v>2020</v>
      </c>
    </row>
    <row r="351" spans="1:17" hidden="1" x14ac:dyDescent="0.35">
      <c r="A351" s="156" t="s">
        <v>660</v>
      </c>
      <c r="B351" s="22">
        <v>44013</v>
      </c>
      <c r="C351">
        <v>10.56900024414062</v>
      </c>
      <c r="D351">
        <v>11.25</v>
      </c>
      <c r="E351">
        <v>9.9300003051757813</v>
      </c>
      <c r="F351">
        <v>10.39000034332275</v>
      </c>
      <c r="G351">
        <v>550100</v>
      </c>
      <c r="H351">
        <v>9.4879426956176758</v>
      </c>
      <c r="I351" s="156" t="s">
        <v>659</v>
      </c>
      <c r="J351" s="22">
        <v>45544</v>
      </c>
      <c r="K351">
        <v>2.4E-2</v>
      </c>
      <c r="L351">
        <v>-0.1151647567749023</v>
      </c>
      <c r="M351">
        <v>-1.4231462910167079E-2</v>
      </c>
      <c r="N351">
        <v>-0.17899990081787109</v>
      </c>
      <c r="O351">
        <v>0.680999755859375</v>
      </c>
      <c r="P351" s="156" t="s">
        <v>581</v>
      </c>
      <c r="Q351">
        <v>2020</v>
      </c>
    </row>
    <row r="352" spans="1:17" hidden="1" x14ac:dyDescent="0.35">
      <c r="A352" s="156" t="s">
        <v>660</v>
      </c>
      <c r="B352" s="22">
        <v>44044</v>
      </c>
      <c r="C352">
        <v>10.52999973297119</v>
      </c>
      <c r="D352">
        <v>12.170000076293951</v>
      </c>
      <c r="E352">
        <v>10.25</v>
      </c>
      <c r="F352">
        <v>11.05000019073486</v>
      </c>
      <c r="G352">
        <v>454900</v>
      </c>
      <c r="H352">
        <v>10.11278629302979</v>
      </c>
      <c r="I352" s="156" t="s">
        <v>659</v>
      </c>
      <c r="J352" s="22">
        <v>45544</v>
      </c>
      <c r="K352">
        <v>2.4E-2</v>
      </c>
      <c r="L352">
        <v>0.62484359741210938</v>
      </c>
      <c r="M352">
        <v>6.3522601116781097E-2</v>
      </c>
      <c r="N352">
        <v>0.52000045776367188</v>
      </c>
      <c r="O352">
        <v>1.6400003433227539</v>
      </c>
      <c r="P352" s="156" t="s">
        <v>582</v>
      </c>
      <c r="Q352">
        <v>2020</v>
      </c>
    </row>
    <row r="353" spans="1:17" hidden="1" x14ac:dyDescent="0.35">
      <c r="A353" s="156" t="s">
        <v>660</v>
      </c>
      <c r="B353" s="22">
        <v>44075</v>
      </c>
      <c r="C353">
        <v>10.989999771118161</v>
      </c>
      <c r="D353">
        <v>11.460000038146971</v>
      </c>
      <c r="E353">
        <v>10.310000419616699</v>
      </c>
      <c r="F353">
        <v>10.77999973297119</v>
      </c>
      <c r="G353">
        <v>469300</v>
      </c>
      <c r="H353">
        <v>9.8854541778564453</v>
      </c>
      <c r="I353" s="156" t="s">
        <v>659</v>
      </c>
      <c r="J353" s="22">
        <v>45544</v>
      </c>
      <c r="K353">
        <v>2.4E-2</v>
      </c>
      <c r="L353">
        <v>-0.22733211517333979</v>
      </c>
      <c r="M353">
        <v>-2.4434430145083619E-2</v>
      </c>
      <c r="N353">
        <v>-0.21000003814697271</v>
      </c>
      <c r="O353">
        <v>0.47000026702880859</v>
      </c>
      <c r="P353" s="156" t="s">
        <v>586</v>
      </c>
      <c r="Q353">
        <v>2020</v>
      </c>
    </row>
    <row r="354" spans="1:17" hidden="1" x14ac:dyDescent="0.35">
      <c r="A354" s="156" t="s">
        <v>660</v>
      </c>
      <c r="B354" s="22">
        <v>44105</v>
      </c>
      <c r="C354">
        <v>10.75</v>
      </c>
      <c r="D354">
        <v>11.579999923706049</v>
      </c>
      <c r="E354">
        <v>10.5</v>
      </c>
      <c r="F354">
        <v>10.60000038146973</v>
      </c>
      <c r="G354">
        <v>940700</v>
      </c>
      <c r="H354">
        <v>9.7410650253295898</v>
      </c>
      <c r="I354" s="156" t="s">
        <v>659</v>
      </c>
      <c r="J354" s="22">
        <v>45544</v>
      </c>
      <c r="K354">
        <v>2.4E-2</v>
      </c>
      <c r="L354">
        <v>-0.1443891525268555</v>
      </c>
      <c r="M354">
        <v>-1.6697528382206509E-2</v>
      </c>
      <c r="N354">
        <v>-0.14999961853027341</v>
      </c>
      <c r="O354">
        <v>0.82999992370605469</v>
      </c>
      <c r="P354" s="156" t="s">
        <v>587</v>
      </c>
      <c r="Q354">
        <v>2020</v>
      </c>
    </row>
    <row r="355" spans="1:17" hidden="1" x14ac:dyDescent="0.35">
      <c r="A355" s="156" t="s">
        <v>660</v>
      </c>
      <c r="B355" s="22">
        <v>44136</v>
      </c>
      <c r="C355">
        <v>10.689999580383301</v>
      </c>
      <c r="D355">
        <v>13.430000305175779</v>
      </c>
      <c r="E355">
        <v>10.590000152587891</v>
      </c>
      <c r="F355">
        <v>12.88000011444092</v>
      </c>
      <c r="G355">
        <v>589600</v>
      </c>
      <c r="H355">
        <v>11.861526489257811</v>
      </c>
      <c r="I355" s="156" t="s">
        <v>659</v>
      </c>
      <c r="J355" s="22">
        <v>45544</v>
      </c>
      <c r="K355">
        <v>2.4E-2</v>
      </c>
      <c r="L355">
        <v>2.1204614639282231</v>
      </c>
      <c r="M355">
        <v>0.2150943066904929</v>
      </c>
      <c r="N355">
        <v>2.1900005340576172</v>
      </c>
      <c r="O355">
        <v>2.74000072479248</v>
      </c>
      <c r="P355" s="156" t="s">
        <v>583</v>
      </c>
      <c r="Q355">
        <v>2020</v>
      </c>
    </row>
    <row r="356" spans="1:17" hidden="1" x14ac:dyDescent="0.35">
      <c r="A356" s="156" t="s">
        <v>660</v>
      </c>
      <c r="B356" s="22">
        <v>44166</v>
      </c>
      <c r="C356">
        <v>13.11999988555908</v>
      </c>
      <c r="D356">
        <v>16.20000076293945</v>
      </c>
      <c r="E356">
        <v>12.989999771118161</v>
      </c>
      <c r="F356">
        <v>14.409999847412109</v>
      </c>
      <c r="G356">
        <v>668400</v>
      </c>
      <c r="H356">
        <v>13.29702568054199</v>
      </c>
      <c r="I356" s="156" t="s">
        <v>659</v>
      </c>
      <c r="J356" s="22">
        <v>45544</v>
      </c>
      <c r="K356">
        <v>2.4E-2</v>
      </c>
      <c r="L356">
        <v>1.4354991912841799</v>
      </c>
      <c r="M356">
        <v>0.11878879808826801</v>
      </c>
      <c r="N356">
        <v>1.2899999618530269</v>
      </c>
      <c r="O356">
        <v>3.0800008773803711</v>
      </c>
      <c r="P356" s="156" t="s">
        <v>586</v>
      </c>
      <c r="Q356">
        <v>2020</v>
      </c>
    </row>
    <row r="357" spans="1:17" hidden="1" x14ac:dyDescent="0.35">
      <c r="A357" s="156" t="s">
        <v>660</v>
      </c>
      <c r="B357" s="22">
        <v>44197</v>
      </c>
      <c r="C357">
        <v>14.670000076293951</v>
      </c>
      <c r="D357">
        <v>17.280000686645511</v>
      </c>
      <c r="E357">
        <v>14.409999847412109</v>
      </c>
      <c r="F357">
        <v>16.069999694824219</v>
      </c>
      <c r="G357">
        <v>758200</v>
      </c>
      <c r="H357">
        <v>14.85353469848633</v>
      </c>
      <c r="I357" s="156" t="s">
        <v>659</v>
      </c>
      <c r="J357" s="22">
        <v>45544</v>
      </c>
      <c r="K357">
        <v>2.4E-2</v>
      </c>
      <c r="L357">
        <v>1.5565090179443359</v>
      </c>
      <c r="M357">
        <v>0.1151977699507214</v>
      </c>
      <c r="N357">
        <v>1.399999618530273</v>
      </c>
      <c r="O357">
        <v>2.6100006103515621</v>
      </c>
      <c r="P357" s="156" t="s">
        <v>584</v>
      </c>
      <c r="Q357">
        <v>2021</v>
      </c>
    </row>
    <row r="358" spans="1:17" hidden="1" x14ac:dyDescent="0.35">
      <c r="A358" s="156" t="s">
        <v>660</v>
      </c>
      <c r="B358" s="22">
        <v>44228</v>
      </c>
      <c r="C358">
        <v>16.14999961853027</v>
      </c>
      <c r="D358">
        <v>18.010000228881839</v>
      </c>
      <c r="E358">
        <v>15.97000026702881</v>
      </c>
      <c r="F358">
        <v>17.329999923706051</v>
      </c>
      <c r="G358">
        <v>572400</v>
      </c>
      <c r="H358">
        <v>16.04140472412109</v>
      </c>
      <c r="I358" s="156" t="s">
        <v>659</v>
      </c>
      <c r="J358" s="22">
        <v>45544</v>
      </c>
      <c r="K358">
        <v>2.4E-2</v>
      </c>
      <c r="L358">
        <v>1.1878700256347661</v>
      </c>
      <c r="M358">
        <v>7.8406985240183413E-2</v>
      </c>
      <c r="N358">
        <v>1.180000305175781</v>
      </c>
      <c r="O358">
        <v>1.8600006103515621</v>
      </c>
      <c r="P358" s="156" t="s">
        <v>585</v>
      </c>
      <c r="Q358">
        <v>2021</v>
      </c>
    </row>
    <row r="359" spans="1:17" hidden="1" x14ac:dyDescent="0.35">
      <c r="A359" s="156" t="s">
        <v>660</v>
      </c>
      <c r="B359" s="22">
        <v>44256</v>
      </c>
      <c r="C359">
        <v>17.680000305175781</v>
      </c>
      <c r="D359">
        <v>18.129999160766602</v>
      </c>
      <c r="E359">
        <v>16.069999694824219</v>
      </c>
      <c r="F359">
        <v>16.309999465942379</v>
      </c>
      <c r="G359">
        <v>1015100</v>
      </c>
      <c r="H359">
        <v>15.11763954162598</v>
      </c>
      <c r="I359" s="156" t="s">
        <v>659</v>
      </c>
      <c r="J359" s="22">
        <v>45544</v>
      </c>
      <c r="K359">
        <v>2.4E-2</v>
      </c>
      <c r="L359">
        <v>-0.92376518249511719</v>
      </c>
      <c r="M359">
        <v>-5.8857499264520663E-2</v>
      </c>
      <c r="N359">
        <v>-1.370000839233398</v>
      </c>
      <c r="O359">
        <v>0.44999885559082031</v>
      </c>
      <c r="P359" s="156" t="s">
        <v>585</v>
      </c>
      <c r="Q359">
        <v>2021</v>
      </c>
    </row>
    <row r="360" spans="1:17" hidden="1" x14ac:dyDescent="0.35">
      <c r="A360" s="156" t="s">
        <v>660</v>
      </c>
      <c r="B360" s="22">
        <v>44287</v>
      </c>
      <c r="C360">
        <v>16.309999465942379</v>
      </c>
      <c r="D360">
        <v>18.14999961853027</v>
      </c>
      <c r="E360">
        <v>16.309999465942379</v>
      </c>
      <c r="F360">
        <v>17.04999923706055</v>
      </c>
      <c r="G360">
        <v>417100</v>
      </c>
      <c r="H360">
        <v>15.825016021728519</v>
      </c>
      <c r="I360" s="156" t="s">
        <v>659</v>
      </c>
      <c r="J360" s="22">
        <v>45544</v>
      </c>
      <c r="K360">
        <v>2.4E-2</v>
      </c>
      <c r="L360">
        <v>0.70737648010253906</v>
      </c>
      <c r="M360">
        <v>4.5370925527213453E-2</v>
      </c>
      <c r="N360">
        <v>0.73999977111816406</v>
      </c>
      <c r="O360">
        <v>1.8400001525878911</v>
      </c>
      <c r="P360" s="156" t="s">
        <v>587</v>
      </c>
      <c r="Q360">
        <v>2021</v>
      </c>
    </row>
    <row r="361" spans="1:17" hidden="1" x14ac:dyDescent="0.35">
      <c r="A361" s="156" t="s">
        <v>660</v>
      </c>
      <c r="B361" s="22">
        <v>44317</v>
      </c>
      <c r="C361">
        <v>17.190000534057621</v>
      </c>
      <c r="D361">
        <v>17.469999313354489</v>
      </c>
      <c r="E361">
        <v>15.810000419616699</v>
      </c>
      <c r="F361">
        <v>17.079999923706051</v>
      </c>
      <c r="G361">
        <v>462500</v>
      </c>
      <c r="H361">
        <v>15.874587059021</v>
      </c>
      <c r="I361" s="156" t="s">
        <v>659</v>
      </c>
      <c r="J361" s="22">
        <v>45544</v>
      </c>
      <c r="K361">
        <v>2.4E-2</v>
      </c>
      <c r="L361">
        <v>4.9571037292480469E-2</v>
      </c>
      <c r="M361">
        <v>1.759571142988525E-3</v>
      </c>
      <c r="N361">
        <v>-0.1100006103515625</v>
      </c>
      <c r="O361">
        <v>0.279998779296875</v>
      </c>
      <c r="P361" s="156" t="s">
        <v>582</v>
      </c>
      <c r="Q361">
        <v>2021</v>
      </c>
    </row>
    <row r="362" spans="1:17" hidden="1" x14ac:dyDescent="0.35">
      <c r="A362" s="156" t="s">
        <v>660</v>
      </c>
      <c r="B362" s="22">
        <v>44348</v>
      </c>
      <c r="C362">
        <v>17.10000038146973</v>
      </c>
      <c r="D362">
        <v>17.829999923706051</v>
      </c>
      <c r="E362">
        <v>16.20000076293945</v>
      </c>
      <c r="F362">
        <v>17.079999923706051</v>
      </c>
      <c r="G362">
        <v>752900</v>
      </c>
      <c r="H362">
        <v>15.898721694946291</v>
      </c>
      <c r="I362" s="156" t="s">
        <v>659</v>
      </c>
      <c r="J362" s="22">
        <v>45544</v>
      </c>
      <c r="K362">
        <v>2.4E-2</v>
      </c>
      <c r="L362">
        <v>2.4134635925292969E-2</v>
      </c>
      <c r="M362">
        <v>0</v>
      </c>
      <c r="N362">
        <v>-2.0000457763671878E-2</v>
      </c>
      <c r="O362">
        <v>0.72999954223632813</v>
      </c>
      <c r="P362" s="156" t="s">
        <v>586</v>
      </c>
      <c r="Q362">
        <v>2021</v>
      </c>
    </row>
    <row r="363" spans="1:17" hidden="1" x14ac:dyDescent="0.35">
      <c r="A363" s="156" t="s">
        <v>660</v>
      </c>
      <c r="B363" s="22">
        <v>44378</v>
      </c>
      <c r="C363">
        <v>17.079999923706051</v>
      </c>
      <c r="D363">
        <v>18.489999771118161</v>
      </c>
      <c r="E363">
        <v>16.780000686645511</v>
      </c>
      <c r="F363">
        <v>17.620000839233398</v>
      </c>
      <c r="G363">
        <v>381300</v>
      </c>
      <c r="H363">
        <v>16.424442291259769</v>
      </c>
      <c r="I363" s="156" t="s">
        <v>659</v>
      </c>
      <c r="J363" s="22">
        <v>45544</v>
      </c>
      <c r="K363">
        <v>2.4E-2</v>
      </c>
      <c r="L363">
        <v>0.52572059631347656</v>
      </c>
      <c r="M363">
        <v>3.1615978802075562E-2</v>
      </c>
      <c r="N363">
        <v>0.54000091552734375</v>
      </c>
      <c r="O363">
        <v>1.4099998474121089</v>
      </c>
      <c r="P363" s="156" t="s">
        <v>587</v>
      </c>
      <c r="Q363">
        <v>2021</v>
      </c>
    </row>
    <row r="364" spans="1:17" hidden="1" x14ac:dyDescent="0.35">
      <c r="A364" s="156" t="s">
        <v>660</v>
      </c>
      <c r="B364" s="22">
        <v>44409</v>
      </c>
      <c r="C364">
        <v>17.690000534057621</v>
      </c>
      <c r="D364">
        <v>21.25</v>
      </c>
      <c r="E364">
        <v>17.25</v>
      </c>
      <c r="F364">
        <v>20</v>
      </c>
      <c r="G364">
        <v>859100</v>
      </c>
      <c r="H364">
        <v>18.669326782226559</v>
      </c>
      <c r="I364" s="156" t="s">
        <v>659</v>
      </c>
      <c r="J364" s="22">
        <v>45544</v>
      </c>
      <c r="K364">
        <v>2.4E-2</v>
      </c>
      <c r="L364">
        <v>2.2448844909667969</v>
      </c>
      <c r="M364">
        <v>0.13507372573258911</v>
      </c>
      <c r="N364">
        <v>2.3099994659423828</v>
      </c>
      <c r="O364">
        <v>3.5599994659423828</v>
      </c>
      <c r="P364" s="156" t="s">
        <v>583</v>
      </c>
      <c r="Q364">
        <v>2021</v>
      </c>
    </row>
    <row r="365" spans="1:17" hidden="1" x14ac:dyDescent="0.35">
      <c r="A365" s="156" t="s">
        <v>660</v>
      </c>
      <c r="B365" s="22">
        <v>44440</v>
      </c>
      <c r="C365">
        <v>20.110000610351559</v>
      </c>
      <c r="D365">
        <v>20.754999160766602</v>
      </c>
      <c r="E365">
        <v>17.780000686645511</v>
      </c>
      <c r="F365">
        <v>18.719999313354489</v>
      </c>
      <c r="G365">
        <v>625900</v>
      </c>
      <c r="H365">
        <v>17.49503326416016</v>
      </c>
      <c r="I365" s="156" t="s">
        <v>659</v>
      </c>
      <c r="J365" s="22">
        <v>45544</v>
      </c>
      <c r="K365">
        <v>2.4E-2</v>
      </c>
      <c r="L365">
        <v>-1.174293518066406</v>
      </c>
      <c r="M365">
        <v>-6.4000034332275413E-2</v>
      </c>
      <c r="N365">
        <v>-1.3900012969970701</v>
      </c>
      <c r="O365">
        <v>0.64499855041503906</v>
      </c>
      <c r="P365" s="156" t="s">
        <v>581</v>
      </c>
      <c r="Q365">
        <v>2021</v>
      </c>
    </row>
    <row r="366" spans="1:17" hidden="1" x14ac:dyDescent="0.35">
      <c r="A366" s="156" t="s">
        <v>660</v>
      </c>
      <c r="B366" s="22">
        <v>44470</v>
      </c>
      <c r="C366">
        <v>18.79000091552734</v>
      </c>
      <c r="D366">
        <v>19.979999542236332</v>
      </c>
      <c r="E366">
        <v>17.469999313354489</v>
      </c>
      <c r="F366">
        <v>18.920000076293949</v>
      </c>
      <c r="G366">
        <v>464600</v>
      </c>
      <c r="H366">
        <v>17.704057693481449</v>
      </c>
      <c r="I366" s="156" t="s">
        <v>659</v>
      </c>
      <c r="J366" s="22">
        <v>45544</v>
      </c>
      <c r="K366">
        <v>2.4E-2</v>
      </c>
      <c r="L366">
        <v>0.20902442932128909</v>
      </c>
      <c r="M366">
        <v>1.0683801830952969E-2</v>
      </c>
      <c r="N366">
        <v>0.12999916076660159</v>
      </c>
      <c r="O366">
        <v>1.1899986267089839</v>
      </c>
      <c r="P366" s="156" t="s">
        <v>584</v>
      </c>
      <c r="Q366">
        <v>2021</v>
      </c>
    </row>
    <row r="367" spans="1:17" hidden="1" x14ac:dyDescent="0.35">
      <c r="A367" s="156" t="s">
        <v>660</v>
      </c>
      <c r="B367" s="22">
        <v>44501</v>
      </c>
      <c r="C367">
        <v>18.95999908447266</v>
      </c>
      <c r="D367">
        <v>19.239999771118161</v>
      </c>
      <c r="E367">
        <v>17.14999961853027</v>
      </c>
      <c r="F367">
        <v>17.219999313354489</v>
      </c>
      <c r="G367">
        <v>582300</v>
      </c>
      <c r="H367">
        <v>16.134187698364261</v>
      </c>
      <c r="I367" s="156" t="s">
        <v>659</v>
      </c>
      <c r="J367" s="22">
        <v>45544</v>
      </c>
      <c r="K367">
        <v>2.4E-2</v>
      </c>
      <c r="L367">
        <v>-1.5698699951171879</v>
      </c>
      <c r="M367">
        <v>-8.985204841883121E-2</v>
      </c>
      <c r="N367">
        <v>-1.7399997711181641</v>
      </c>
      <c r="O367">
        <v>0.28000068664550781</v>
      </c>
      <c r="P367" s="156" t="s">
        <v>585</v>
      </c>
      <c r="Q367">
        <v>2021</v>
      </c>
    </row>
    <row r="368" spans="1:17" hidden="1" x14ac:dyDescent="0.35">
      <c r="A368" s="156" t="s">
        <v>660</v>
      </c>
      <c r="B368" s="22">
        <v>44531</v>
      </c>
      <c r="C368">
        <v>17.489999771118161</v>
      </c>
      <c r="D368">
        <v>18</v>
      </c>
      <c r="E368">
        <v>15.75</v>
      </c>
      <c r="F368">
        <v>17.10000038146973</v>
      </c>
      <c r="G368">
        <v>806300</v>
      </c>
      <c r="H368">
        <v>16.042568206787109</v>
      </c>
      <c r="I368" s="156" t="s">
        <v>659</v>
      </c>
      <c r="J368" s="22">
        <v>45544</v>
      </c>
      <c r="K368">
        <v>2.5000000000000001E-2</v>
      </c>
      <c r="L368">
        <v>-9.1619491577148438E-2</v>
      </c>
      <c r="M368">
        <v>-6.9685793652560779E-3</v>
      </c>
      <c r="N368">
        <v>-0.3899993896484375</v>
      </c>
      <c r="O368">
        <v>0.51000022888183594</v>
      </c>
      <c r="P368" s="156" t="s">
        <v>581</v>
      </c>
      <c r="Q368">
        <v>2021</v>
      </c>
    </row>
    <row r="369" spans="1:17" hidden="1" x14ac:dyDescent="0.35">
      <c r="A369" s="156" t="s">
        <v>660</v>
      </c>
      <c r="B369" s="22">
        <v>44562</v>
      </c>
      <c r="C369">
        <v>17.110000610351559</v>
      </c>
      <c r="D369">
        <v>17.270000457763668</v>
      </c>
      <c r="E369">
        <v>14.38000011444092</v>
      </c>
      <c r="F369">
        <v>15.35999965667725</v>
      </c>
      <c r="G369">
        <v>481800</v>
      </c>
      <c r="H369">
        <v>14.431455612182621</v>
      </c>
      <c r="I369" s="156" t="s">
        <v>659</v>
      </c>
      <c r="J369" s="22">
        <v>45544</v>
      </c>
      <c r="K369">
        <v>2.5000000000000001E-2</v>
      </c>
      <c r="L369">
        <v>-1.611112594604492</v>
      </c>
      <c r="M369">
        <v>-0.10175442608048239</v>
      </c>
      <c r="N369">
        <v>-1.750000953674316</v>
      </c>
      <c r="O369">
        <v>0.1599998474121094</v>
      </c>
      <c r="P369" s="156" t="s">
        <v>582</v>
      </c>
      <c r="Q369">
        <v>2022</v>
      </c>
    </row>
    <row r="370" spans="1:17" hidden="1" x14ac:dyDescent="0.35">
      <c r="A370" s="156" t="s">
        <v>660</v>
      </c>
      <c r="B370" s="22">
        <v>44593</v>
      </c>
      <c r="C370">
        <v>15.38000011444092</v>
      </c>
      <c r="D370">
        <v>15.819999694824221</v>
      </c>
      <c r="E370">
        <v>14.97000026702881</v>
      </c>
      <c r="F370">
        <v>15.25</v>
      </c>
      <c r="G370">
        <v>382200</v>
      </c>
      <c r="H370">
        <v>14.35122013092041</v>
      </c>
      <c r="I370" s="156" t="s">
        <v>659</v>
      </c>
      <c r="J370" s="22">
        <v>45544</v>
      </c>
      <c r="K370">
        <v>2.5000000000000001E-2</v>
      </c>
      <c r="L370">
        <v>-8.0235481262207031E-2</v>
      </c>
      <c r="M370">
        <v>-7.161436141662092E-3</v>
      </c>
      <c r="N370">
        <v>-0.130000114440918</v>
      </c>
      <c r="O370">
        <v>0.43999958038330078</v>
      </c>
      <c r="P370" s="156" t="s">
        <v>586</v>
      </c>
      <c r="Q370">
        <v>2022</v>
      </c>
    </row>
    <row r="371" spans="1:17" hidden="1" x14ac:dyDescent="0.35">
      <c r="A371" s="156" t="s">
        <v>660</v>
      </c>
      <c r="B371" s="22">
        <v>44621</v>
      </c>
      <c r="C371">
        <v>15.25</v>
      </c>
      <c r="D371">
        <v>16.89999961853027</v>
      </c>
      <c r="E371">
        <v>15.02999973297119</v>
      </c>
      <c r="F371">
        <v>16.639999389648441</v>
      </c>
      <c r="G371">
        <v>547900</v>
      </c>
      <c r="H371">
        <v>15.68518543243408</v>
      </c>
      <c r="I371" s="156" t="s">
        <v>659</v>
      </c>
      <c r="J371" s="22">
        <v>45544</v>
      </c>
      <c r="K371">
        <v>2.5000000000000001E-2</v>
      </c>
      <c r="L371">
        <v>1.3339653015136721</v>
      </c>
      <c r="M371">
        <v>9.1147500960553351E-2</v>
      </c>
      <c r="N371">
        <v>1.3899993896484379</v>
      </c>
      <c r="O371">
        <v>1.649999618530273</v>
      </c>
      <c r="P371" s="156" t="s">
        <v>586</v>
      </c>
      <c r="Q371">
        <v>2022</v>
      </c>
    </row>
    <row r="372" spans="1:17" hidden="1" x14ac:dyDescent="0.35">
      <c r="A372" s="156" t="s">
        <v>660</v>
      </c>
      <c r="B372" s="22">
        <v>44652</v>
      </c>
      <c r="C372">
        <v>16.670000076293949</v>
      </c>
      <c r="D372">
        <v>17.35000038146973</v>
      </c>
      <c r="E372">
        <v>14.22999954223633</v>
      </c>
      <c r="F372">
        <v>14.319999694824221</v>
      </c>
      <c r="G372">
        <v>502100</v>
      </c>
      <c r="H372">
        <v>13.519417762756349</v>
      </c>
      <c r="I372" s="156" t="s">
        <v>659</v>
      </c>
      <c r="J372" s="22">
        <v>45544</v>
      </c>
      <c r="K372">
        <v>2.5000000000000001E-2</v>
      </c>
      <c r="L372">
        <v>-2.1657676696777339</v>
      </c>
      <c r="M372">
        <v>-0.13942306369719371</v>
      </c>
      <c r="N372">
        <v>-2.350000381469727</v>
      </c>
      <c r="O372">
        <v>0.68000030517578125</v>
      </c>
      <c r="P372" s="156" t="s">
        <v>584</v>
      </c>
      <c r="Q372">
        <v>2022</v>
      </c>
    </row>
    <row r="373" spans="1:17" hidden="1" x14ac:dyDescent="0.35">
      <c r="A373" s="156" t="s">
        <v>660</v>
      </c>
      <c r="B373" s="22">
        <v>44682</v>
      </c>
      <c r="C373">
        <v>14.30000019073486</v>
      </c>
      <c r="D373">
        <v>14.72500038146973</v>
      </c>
      <c r="E373">
        <v>13.14200019836426</v>
      </c>
      <c r="F373">
        <v>14.340000152587891</v>
      </c>
      <c r="G373">
        <v>422100</v>
      </c>
      <c r="H373">
        <v>13.559446334838871</v>
      </c>
      <c r="I373" s="156" t="s">
        <v>659</v>
      </c>
      <c r="J373" s="22">
        <v>45544</v>
      </c>
      <c r="K373">
        <v>2.5000000000000001E-2</v>
      </c>
      <c r="L373">
        <v>4.0028572082519531E-2</v>
      </c>
      <c r="M373">
        <v>1.39668004119442E-3</v>
      </c>
      <c r="N373">
        <v>3.9999961853027337E-2</v>
      </c>
      <c r="O373">
        <v>0.42500019073486328</v>
      </c>
      <c r="P373" s="156" t="s">
        <v>583</v>
      </c>
      <c r="Q373">
        <v>2022</v>
      </c>
    </row>
    <row r="374" spans="1:17" hidden="1" x14ac:dyDescent="0.35">
      <c r="A374" s="156" t="s">
        <v>660</v>
      </c>
      <c r="B374" s="22">
        <v>44713</v>
      </c>
      <c r="C374">
        <v>14.32499980926514</v>
      </c>
      <c r="D374">
        <v>14.590000152587891</v>
      </c>
      <c r="E374">
        <v>12.539999961853029</v>
      </c>
      <c r="F374">
        <v>13.210000038146971</v>
      </c>
      <c r="G374">
        <v>567600</v>
      </c>
      <c r="H374">
        <v>12.5140438079834</v>
      </c>
      <c r="I374" s="156" t="s">
        <v>659</v>
      </c>
      <c r="J374" s="22">
        <v>45544</v>
      </c>
      <c r="K374">
        <v>2.5000000000000001E-2</v>
      </c>
      <c r="L374">
        <v>-1.045402526855469</v>
      </c>
      <c r="M374">
        <v>-7.8800565022099422E-2</v>
      </c>
      <c r="N374">
        <v>-1.1149997711181641</v>
      </c>
      <c r="O374">
        <v>0.26500034332275391</v>
      </c>
      <c r="P374" s="156" t="s">
        <v>581</v>
      </c>
      <c r="Q374">
        <v>2022</v>
      </c>
    </row>
    <row r="375" spans="1:17" hidden="1" x14ac:dyDescent="0.35">
      <c r="A375" s="156" t="s">
        <v>660</v>
      </c>
      <c r="B375" s="22">
        <v>44743</v>
      </c>
      <c r="C375">
        <v>13.11999988555908</v>
      </c>
      <c r="D375">
        <v>13.960000038146971</v>
      </c>
      <c r="E375">
        <v>13</v>
      </c>
      <c r="F375">
        <v>13.22999954223633</v>
      </c>
      <c r="G375">
        <v>335100</v>
      </c>
      <c r="H375">
        <v>12.55682373046875</v>
      </c>
      <c r="I375" s="156" t="s">
        <v>659</v>
      </c>
      <c r="J375" s="22">
        <v>45544</v>
      </c>
      <c r="K375">
        <v>2.5000000000000001E-2</v>
      </c>
      <c r="L375">
        <v>4.2779922485351563E-2</v>
      </c>
      <c r="M375">
        <v>1.513966997093386E-3</v>
      </c>
      <c r="N375">
        <v>0.10999965667724609</v>
      </c>
      <c r="O375">
        <v>0.84000015258789063</v>
      </c>
      <c r="P375" s="156" t="s">
        <v>584</v>
      </c>
      <c r="Q375">
        <v>2022</v>
      </c>
    </row>
    <row r="376" spans="1:17" hidden="1" x14ac:dyDescent="0.35">
      <c r="A376" s="156" t="s">
        <v>660</v>
      </c>
      <c r="B376" s="22">
        <v>44774</v>
      </c>
      <c r="C376">
        <v>13.210000038146971</v>
      </c>
      <c r="D376">
        <v>15</v>
      </c>
      <c r="E376">
        <v>13.210000038146971</v>
      </c>
      <c r="F376">
        <v>13.61999988555908</v>
      </c>
      <c r="G376">
        <v>473600</v>
      </c>
      <c r="H376">
        <v>12.950735092163089</v>
      </c>
      <c r="I376" s="156" t="s">
        <v>659</v>
      </c>
      <c r="J376" s="22">
        <v>45544</v>
      </c>
      <c r="K376">
        <v>2.5000000000000001E-2</v>
      </c>
      <c r="L376">
        <v>0.39391136169433588</v>
      </c>
      <c r="M376">
        <v>2.9478485020176359E-2</v>
      </c>
      <c r="N376">
        <v>0.40999984741210938</v>
      </c>
      <c r="O376">
        <v>1.7899999618530269</v>
      </c>
      <c r="P376" s="156" t="s">
        <v>585</v>
      </c>
      <c r="Q376">
        <v>2022</v>
      </c>
    </row>
    <row r="377" spans="1:17" hidden="1" x14ac:dyDescent="0.35">
      <c r="A377" s="156" t="s">
        <v>660</v>
      </c>
      <c r="B377" s="22">
        <v>44805</v>
      </c>
      <c r="C377">
        <v>13.61999988555908</v>
      </c>
      <c r="D377">
        <v>14.803000450134279</v>
      </c>
      <c r="E377">
        <v>11.72999954223633</v>
      </c>
      <c r="F377">
        <v>11.72999954223633</v>
      </c>
      <c r="G377">
        <v>754900</v>
      </c>
      <c r="H377">
        <v>11.17286586761475</v>
      </c>
      <c r="I377" s="156" t="s">
        <v>659</v>
      </c>
      <c r="J377" s="22">
        <v>45544</v>
      </c>
      <c r="K377">
        <v>2.5000000000000001E-2</v>
      </c>
      <c r="L377">
        <v>-1.7778692245483401</v>
      </c>
      <c r="M377">
        <v>-0.13876654619701359</v>
      </c>
      <c r="N377">
        <v>-1.8900003433227539</v>
      </c>
      <c r="O377">
        <v>1.1830005645751951</v>
      </c>
      <c r="P377" s="156" t="s">
        <v>587</v>
      </c>
      <c r="Q377">
        <v>2022</v>
      </c>
    </row>
    <row r="378" spans="1:17" hidden="1" x14ac:dyDescent="0.35">
      <c r="A378" s="156" t="s">
        <v>660</v>
      </c>
      <c r="B378" s="22">
        <v>44835</v>
      </c>
      <c r="C378">
        <v>11.739999771118161</v>
      </c>
      <c r="D378">
        <v>12.960000038146971</v>
      </c>
      <c r="E378">
        <v>10.60999965667725</v>
      </c>
      <c r="F378">
        <v>12.760000228881839</v>
      </c>
      <c r="G378">
        <v>547900</v>
      </c>
      <c r="H378">
        <v>12.176236152648929</v>
      </c>
      <c r="I378" s="156" t="s">
        <v>659</v>
      </c>
      <c r="J378" s="22">
        <v>45544</v>
      </c>
      <c r="K378">
        <v>2.5000000000000001E-2</v>
      </c>
      <c r="L378">
        <v>1.0033702850341799</v>
      </c>
      <c r="M378">
        <v>8.7809098622448678E-2</v>
      </c>
      <c r="N378">
        <v>1.0200004577636721</v>
      </c>
      <c r="O378">
        <v>1.220000267028809</v>
      </c>
      <c r="P378" s="156" t="s">
        <v>582</v>
      </c>
      <c r="Q378">
        <v>2022</v>
      </c>
    </row>
    <row r="379" spans="1:17" hidden="1" x14ac:dyDescent="0.35">
      <c r="A379" s="156" t="s">
        <v>660</v>
      </c>
      <c r="B379" s="22">
        <v>44866</v>
      </c>
      <c r="C379">
        <v>12.789999961853029</v>
      </c>
      <c r="D379">
        <v>13.234000205993651</v>
      </c>
      <c r="E379">
        <v>11.94999980926514</v>
      </c>
      <c r="F379">
        <v>12.77999973297119</v>
      </c>
      <c r="G379">
        <v>391300</v>
      </c>
      <c r="H379">
        <v>12.221500396728519</v>
      </c>
      <c r="I379" s="156" t="s">
        <v>659</v>
      </c>
      <c r="J379" s="22">
        <v>45544</v>
      </c>
      <c r="K379">
        <v>2.5000000000000001E-2</v>
      </c>
      <c r="L379">
        <v>4.5264244079589837E-2</v>
      </c>
      <c r="M379">
        <v>1.5673592265372789E-3</v>
      </c>
      <c r="N379">
        <v>-1.0000228881835939E-2</v>
      </c>
      <c r="O379">
        <v>0.444000244140625</v>
      </c>
      <c r="P379" s="156" t="s">
        <v>586</v>
      </c>
      <c r="Q379">
        <v>2022</v>
      </c>
    </row>
    <row r="380" spans="1:17" hidden="1" x14ac:dyDescent="0.35">
      <c r="A380" s="156" t="s">
        <v>660</v>
      </c>
      <c r="B380" s="22">
        <v>44896</v>
      </c>
      <c r="C380">
        <v>12.77999973297119</v>
      </c>
      <c r="D380">
        <v>14.210000038146971</v>
      </c>
      <c r="E380">
        <v>12.340000152587891</v>
      </c>
      <c r="F380">
        <v>13.27999973297119</v>
      </c>
      <c r="G380">
        <v>826600</v>
      </c>
      <c r="H380">
        <v>12.724540710449221</v>
      </c>
      <c r="I380" s="156" t="s">
        <v>659</v>
      </c>
      <c r="J380" s="22">
        <v>45544</v>
      </c>
      <c r="K380">
        <v>2.5000000000000001E-2</v>
      </c>
      <c r="L380">
        <v>0.50304031372070313</v>
      </c>
      <c r="M380">
        <v>3.9123631490386217E-2</v>
      </c>
      <c r="N380">
        <v>0.5</v>
      </c>
      <c r="O380">
        <v>1.430000305175781</v>
      </c>
      <c r="P380" s="156" t="s">
        <v>587</v>
      </c>
      <c r="Q380">
        <v>2022</v>
      </c>
    </row>
    <row r="381" spans="1:17" hidden="1" x14ac:dyDescent="0.35">
      <c r="A381" s="156" t="s">
        <v>660</v>
      </c>
      <c r="B381" s="22">
        <v>44927</v>
      </c>
      <c r="C381">
        <v>13.489999771118161</v>
      </c>
      <c r="D381">
        <v>14.510000228881839</v>
      </c>
      <c r="E381">
        <v>13.079999923706049</v>
      </c>
      <c r="F381">
        <v>14.22999954223633</v>
      </c>
      <c r="G381">
        <v>437600</v>
      </c>
      <c r="H381">
        <v>13.660252571105961</v>
      </c>
      <c r="I381" s="156" t="s">
        <v>659</v>
      </c>
      <c r="J381" s="22">
        <v>45544</v>
      </c>
      <c r="K381">
        <v>2.5000000000000001E-2</v>
      </c>
      <c r="L381">
        <v>0.93571186065673828</v>
      </c>
      <c r="M381">
        <v>7.1536131654167612E-2</v>
      </c>
      <c r="N381">
        <v>0.73999977111816406</v>
      </c>
      <c r="O381">
        <v>1.0200004577636721</v>
      </c>
      <c r="P381" s="156" t="s">
        <v>583</v>
      </c>
      <c r="Q381">
        <v>2023</v>
      </c>
    </row>
    <row r="382" spans="1:17" hidden="1" x14ac:dyDescent="0.35">
      <c r="A382" s="156" t="s">
        <v>660</v>
      </c>
      <c r="B382" s="22">
        <v>44958</v>
      </c>
      <c r="C382">
        <v>14.35999965667725</v>
      </c>
      <c r="D382">
        <v>14.94999980926514</v>
      </c>
      <c r="E382">
        <v>13</v>
      </c>
      <c r="F382">
        <v>13.19999980926514</v>
      </c>
      <c r="G382">
        <v>476300</v>
      </c>
      <c r="H382">
        <v>12.69399833679199</v>
      </c>
      <c r="I382" s="156" t="s">
        <v>659</v>
      </c>
      <c r="J382" s="22">
        <v>45544</v>
      </c>
      <c r="K382">
        <v>2.5000000000000001E-2</v>
      </c>
      <c r="L382">
        <v>-0.96625423431396484</v>
      </c>
      <c r="M382">
        <v>-7.2382274497903576E-2</v>
      </c>
      <c r="N382">
        <v>-1.1599998474121089</v>
      </c>
      <c r="O382">
        <v>0.59000015258789063</v>
      </c>
      <c r="P382" s="156" t="s">
        <v>581</v>
      </c>
      <c r="Q382">
        <v>2023</v>
      </c>
    </row>
    <row r="383" spans="1:17" hidden="1" x14ac:dyDescent="0.35">
      <c r="A383" s="156" t="s">
        <v>660</v>
      </c>
      <c r="B383" s="22">
        <v>44986</v>
      </c>
      <c r="C383">
        <v>13.02000045776367</v>
      </c>
      <c r="D383">
        <v>13.22500038146973</v>
      </c>
      <c r="E383">
        <v>12.010000228881839</v>
      </c>
      <c r="F383">
        <v>12.430000305175779</v>
      </c>
      <c r="G383">
        <v>552900</v>
      </c>
      <c r="H383">
        <v>11.97491455078125</v>
      </c>
      <c r="I383" s="156" t="s">
        <v>659</v>
      </c>
      <c r="J383" s="22">
        <v>45544</v>
      </c>
      <c r="K383">
        <v>2.5000000000000001E-2</v>
      </c>
      <c r="L383">
        <v>-0.71908378601074219</v>
      </c>
      <c r="M383">
        <v>-5.8333296607238523E-2</v>
      </c>
      <c r="N383">
        <v>-0.59000015258789063</v>
      </c>
      <c r="O383">
        <v>0.20499992370605469</v>
      </c>
      <c r="P383" s="156" t="s">
        <v>581</v>
      </c>
      <c r="Q383">
        <v>2023</v>
      </c>
    </row>
    <row r="384" spans="1:17" hidden="1" x14ac:dyDescent="0.35">
      <c r="A384" s="156" t="s">
        <v>660</v>
      </c>
      <c r="B384" s="22">
        <v>45017</v>
      </c>
      <c r="C384">
        <v>12.36999988555908</v>
      </c>
      <c r="D384">
        <v>12.77000045776367</v>
      </c>
      <c r="E384">
        <v>10.439999580383301</v>
      </c>
      <c r="F384">
        <v>10.97000026702881</v>
      </c>
      <c r="G384">
        <v>391000</v>
      </c>
      <c r="H384">
        <v>10.58949661254883</v>
      </c>
      <c r="I384" s="156" t="s">
        <v>659</v>
      </c>
      <c r="J384" s="22">
        <v>45544</v>
      </c>
      <c r="K384">
        <v>2.5000000000000001E-2</v>
      </c>
      <c r="L384">
        <v>-1.3854179382324221</v>
      </c>
      <c r="M384">
        <v>-0.11745776366063621</v>
      </c>
      <c r="N384">
        <v>-1.399999618530273</v>
      </c>
      <c r="O384">
        <v>0.40000057220458979</v>
      </c>
      <c r="P384" s="156" t="s">
        <v>582</v>
      </c>
      <c r="Q384">
        <v>2023</v>
      </c>
    </row>
    <row r="385" spans="1:17" hidden="1" x14ac:dyDescent="0.35">
      <c r="A385" s="156" t="s">
        <v>660</v>
      </c>
      <c r="B385" s="22">
        <v>45047</v>
      </c>
      <c r="C385">
        <v>11.14999961853027</v>
      </c>
      <c r="D385">
        <v>11.989999771118161</v>
      </c>
      <c r="E385">
        <v>10.64999961853027</v>
      </c>
      <c r="F385">
        <v>11.680000305175779</v>
      </c>
      <c r="G385">
        <v>470400</v>
      </c>
      <c r="H385">
        <v>11.297233581542971</v>
      </c>
      <c r="I385" s="156" t="s">
        <v>659</v>
      </c>
      <c r="J385" s="22">
        <v>45544</v>
      </c>
      <c r="K385">
        <v>2.5000000000000001E-2</v>
      </c>
      <c r="L385">
        <v>0.70773696899414063</v>
      </c>
      <c r="M385">
        <v>6.4721970908326432E-2</v>
      </c>
      <c r="N385">
        <v>0.53000068664550781</v>
      </c>
      <c r="O385">
        <v>0.84000015258789063</v>
      </c>
      <c r="P385" s="156" t="s">
        <v>585</v>
      </c>
      <c r="Q385">
        <v>2023</v>
      </c>
    </row>
    <row r="386" spans="1:17" hidden="1" x14ac:dyDescent="0.35">
      <c r="A386" s="156" t="s">
        <v>660</v>
      </c>
      <c r="B386" s="22">
        <v>45078</v>
      </c>
      <c r="C386">
        <v>11.760000228881839</v>
      </c>
      <c r="D386">
        <v>13.329999923706049</v>
      </c>
      <c r="E386">
        <v>11.72000026702881</v>
      </c>
      <c r="F386">
        <v>12.680000305175779</v>
      </c>
      <c r="G386">
        <v>1115200</v>
      </c>
      <c r="H386">
        <v>12.29242515563965</v>
      </c>
      <c r="I386" s="156" t="s">
        <v>659</v>
      </c>
      <c r="J386" s="22">
        <v>45544</v>
      </c>
      <c r="K386">
        <v>2.5000000000000001E-2</v>
      </c>
      <c r="L386">
        <v>0.99519157409667969</v>
      </c>
      <c r="M386">
        <v>8.561643611917269E-2</v>
      </c>
      <c r="N386">
        <v>0.92000007629394531</v>
      </c>
      <c r="O386">
        <v>1.569999694824219</v>
      </c>
      <c r="P386" s="156" t="s">
        <v>587</v>
      </c>
      <c r="Q386">
        <v>2023</v>
      </c>
    </row>
    <row r="387" spans="1:17" hidden="1" x14ac:dyDescent="0.35">
      <c r="A387" s="156" t="s">
        <v>660</v>
      </c>
      <c r="B387" s="22">
        <v>45108</v>
      </c>
      <c r="C387">
        <v>12.680000305175779</v>
      </c>
      <c r="D387">
        <v>13.430000305175779</v>
      </c>
      <c r="E387">
        <v>12.44999980926514</v>
      </c>
      <c r="F387">
        <v>12.69999980926514</v>
      </c>
      <c r="G387">
        <v>607000</v>
      </c>
      <c r="H387">
        <v>12.336644172668461</v>
      </c>
      <c r="I387" s="156" t="s">
        <v>659</v>
      </c>
      <c r="J387" s="22">
        <v>45544</v>
      </c>
      <c r="K387">
        <v>2.5000000000000001E-2</v>
      </c>
      <c r="L387">
        <v>4.4219017028808587E-2</v>
      </c>
      <c r="M387">
        <v>1.5772479186133559E-3</v>
      </c>
      <c r="N387">
        <v>1.9999504089355469E-2</v>
      </c>
      <c r="O387">
        <v>0.75</v>
      </c>
      <c r="P387" s="156" t="s">
        <v>582</v>
      </c>
      <c r="Q387">
        <v>2023</v>
      </c>
    </row>
    <row r="388" spans="1:17" hidden="1" x14ac:dyDescent="0.35">
      <c r="A388" s="156" t="s">
        <v>660</v>
      </c>
      <c r="B388" s="22">
        <v>45139</v>
      </c>
      <c r="C388">
        <v>12.72000026702881</v>
      </c>
      <c r="D388">
        <v>12.939000129699711</v>
      </c>
      <c r="E388">
        <v>10.840000152587891</v>
      </c>
      <c r="F388">
        <v>11.14999961853027</v>
      </c>
      <c r="G388">
        <v>732200</v>
      </c>
      <c r="H388">
        <v>10.851558685302731</v>
      </c>
      <c r="I388" s="156" t="s">
        <v>659</v>
      </c>
      <c r="J388" s="22">
        <v>45544</v>
      </c>
      <c r="K388">
        <v>2.5000000000000001E-2</v>
      </c>
      <c r="L388">
        <v>-1.4850854873657231</v>
      </c>
      <c r="M388">
        <v>-0.1220472609459473</v>
      </c>
      <c r="N388">
        <v>-1.5700006484985349</v>
      </c>
      <c r="O388">
        <v>0.21899986267089841</v>
      </c>
      <c r="P388" s="156" t="s">
        <v>586</v>
      </c>
      <c r="Q388">
        <v>2023</v>
      </c>
    </row>
    <row r="389" spans="1:17" hidden="1" x14ac:dyDescent="0.35">
      <c r="A389" s="156" t="s">
        <v>660</v>
      </c>
      <c r="B389" s="22">
        <v>45170</v>
      </c>
      <c r="C389">
        <v>11.27000045776367</v>
      </c>
      <c r="D389">
        <v>11.52999973297119</v>
      </c>
      <c r="E389">
        <v>9.75</v>
      </c>
      <c r="F389">
        <v>9.75</v>
      </c>
      <c r="G389">
        <v>452600</v>
      </c>
      <c r="H389">
        <v>9.509922981262207</v>
      </c>
      <c r="I389" s="156" t="s">
        <v>659</v>
      </c>
      <c r="J389" s="22">
        <v>45544</v>
      </c>
      <c r="K389">
        <v>2.5000000000000001E-2</v>
      </c>
      <c r="L389">
        <v>-1.3416357040405269</v>
      </c>
      <c r="M389">
        <v>-0.12556050819980319</v>
      </c>
      <c r="N389">
        <v>-1.5200004577636721</v>
      </c>
      <c r="O389">
        <v>0.25999927520751948</v>
      </c>
      <c r="P389" s="156" t="s">
        <v>584</v>
      </c>
      <c r="Q389">
        <v>2023</v>
      </c>
    </row>
    <row r="390" spans="1:17" hidden="1" x14ac:dyDescent="0.35">
      <c r="A390" s="156" t="s">
        <v>660</v>
      </c>
      <c r="B390" s="22">
        <v>45200</v>
      </c>
      <c r="C390">
        <v>9.75</v>
      </c>
      <c r="D390">
        <v>10.539999961853029</v>
      </c>
      <c r="E390">
        <v>9.3400001525878906</v>
      </c>
      <c r="F390">
        <v>10.52999973297119</v>
      </c>
      <c r="G390">
        <v>471700</v>
      </c>
      <c r="H390">
        <v>10.29461097717285</v>
      </c>
      <c r="I390" s="156" t="s">
        <v>659</v>
      </c>
      <c r="J390" s="22">
        <v>45544</v>
      </c>
      <c r="K390">
        <v>2.5000000000000001E-2</v>
      </c>
      <c r="L390">
        <v>0.78468799591064453</v>
      </c>
      <c r="M390">
        <v>7.9999972612429859E-2</v>
      </c>
      <c r="N390">
        <v>0.77999973297119141</v>
      </c>
      <c r="O390">
        <v>0.78999996185302734</v>
      </c>
      <c r="P390" s="156" t="s">
        <v>583</v>
      </c>
      <c r="Q390">
        <v>2023</v>
      </c>
    </row>
    <row r="391" spans="1:17" hidden="1" x14ac:dyDescent="0.35">
      <c r="A391" s="156" t="s">
        <v>660</v>
      </c>
      <c r="B391" s="22">
        <v>45231</v>
      </c>
      <c r="C391">
        <v>10.52999973297119</v>
      </c>
      <c r="D391">
        <v>12.36999988555908</v>
      </c>
      <c r="E391">
        <v>9.6000003814697266</v>
      </c>
      <c r="F391">
        <v>12.19999980926514</v>
      </c>
      <c r="G391">
        <v>457700</v>
      </c>
      <c r="H391">
        <v>11.95673274993896</v>
      </c>
      <c r="I391" s="156" t="s">
        <v>659</v>
      </c>
      <c r="J391" s="22">
        <v>45544</v>
      </c>
      <c r="K391">
        <v>2.5000000000000001E-2</v>
      </c>
      <c r="L391">
        <v>1.6621217727661131</v>
      </c>
      <c r="M391">
        <v>0.15859450319499019</v>
      </c>
      <c r="N391">
        <v>1.6700000762939451</v>
      </c>
      <c r="O391">
        <v>1.8400001525878911</v>
      </c>
      <c r="P391" s="156" t="s">
        <v>581</v>
      </c>
      <c r="Q391">
        <v>2023</v>
      </c>
    </row>
    <row r="392" spans="1:17" hidden="1" x14ac:dyDescent="0.35">
      <c r="A392" s="156" t="s">
        <v>660</v>
      </c>
      <c r="B392" s="22">
        <v>45261</v>
      </c>
      <c r="C392">
        <v>12.210000038146971</v>
      </c>
      <c r="D392">
        <v>13.39999961853027</v>
      </c>
      <c r="E392">
        <v>11.85000038146973</v>
      </c>
      <c r="F392">
        <v>13.079999923706049</v>
      </c>
      <c r="G392">
        <v>828900</v>
      </c>
      <c r="H392">
        <v>12.84546375274658</v>
      </c>
      <c r="I392" s="156" t="s">
        <v>659</v>
      </c>
      <c r="J392" s="22">
        <v>45544</v>
      </c>
      <c r="K392">
        <v>2.5000000000000001E-2</v>
      </c>
      <c r="L392">
        <v>0.88873100280761719</v>
      </c>
      <c r="M392">
        <v>7.2131158049085542E-2</v>
      </c>
      <c r="N392">
        <v>0.86999988555908203</v>
      </c>
      <c r="O392">
        <v>1.189999580383301</v>
      </c>
      <c r="P392" s="156" t="s">
        <v>584</v>
      </c>
      <c r="Q392">
        <v>2023</v>
      </c>
    </row>
    <row r="393" spans="1:17" hidden="1" x14ac:dyDescent="0.35">
      <c r="A393" s="156" t="s">
        <v>662</v>
      </c>
      <c r="B393" s="22">
        <v>44317</v>
      </c>
      <c r="C393">
        <v>36.770000457763672</v>
      </c>
      <c r="D393">
        <v>39.580001831054688</v>
      </c>
      <c r="E393">
        <v>27.14999961853027</v>
      </c>
      <c r="F393">
        <v>32.729999542236328</v>
      </c>
      <c r="G393">
        <v>10499300</v>
      </c>
      <c r="H393">
        <v>32.729999542236328</v>
      </c>
      <c r="I393" s="156" t="s">
        <v>661</v>
      </c>
      <c r="J393" s="22">
        <v>45544</v>
      </c>
      <c r="N393">
        <v>-4.0400009155273438</v>
      </c>
      <c r="O393">
        <v>2.8100013732910161</v>
      </c>
      <c r="P393" s="156" t="s">
        <v>582</v>
      </c>
      <c r="Q393">
        <v>2021</v>
      </c>
    </row>
    <row r="394" spans="1:17" hidden="1" x14ac:dyDescent="0.35">
      <c r="A394" s="156" t="s">
        <v>662</v>
      </c>
      <c r="B394" s="22">
        <v>44348</v>
      </c>
      <c r="C394">
        <v>32.549999237060547</v>
      </c>
      <c r="D394">
        <v>50.770000457763672</v>
      </c>
      <c r="E394">
        <v>32.439998626708977</v>
      </c>
      <c r="F394">
        <v>44.369998931884773</v>
      </c>
      <c r="G394">
        <v>20793200</v>
      </c>
      <c r="H394">
        <v>44.369998931884773</v>
      </c>
      <c r="I394" s="156" t="s">
        <v>661</v>
      </c>
      <c r="J394" s="22">
        <v>45544</v>
      </c>
      <c r="L394">
        <v>11.639999389648439</v>
      </c>
      <c r="M394">
        <v>0.35563701657336222</v>
      </c>
      <c r="N394">
        <v>11.819999694824221</v>
      </c>
      <c r="O394">
        <v>18.220001220703121</v>
      </c>
      <c r="P394" s="156" t="s">
        <v>586</v>
      </c>
      <c r="Q394">
        <v>2021</v>
      </c>
    </row>
    <row r="395" spans="1:17" hidden="1" x14ac:dyDescent="0.35">
      <c r="A395" s="156" t="s">
        <v>662</v>
      </c>
      <c r="B395" s="22">
        <v>44378</v>
      </c>
      <c r="C395">
        <v>44.369998931884773</v>
      </c>
      <c r="D395">
        <v>47.770000457763672</v>
      </c>
      <c r="E395">
        <v>40.810001373291023</v>
      </c>
      <c r="F395">
        <v>41.5</v>
      </c>
      <c r="G395">
        <v>5018300</v>
      </c>
      <c r="H395">
        <v>41.5</v>
      </c>
      <c r="I395" s="156" t="s">
        <v>661</v>
      </c>
      <c r="J395" s="22">
        <v>45544</v>
      </c>
      <c r="L395">
        <v>-2.8699989318847661</v>
      </c>
      <c r="M395">
        <v>-6.4683322086409922E-2</v>
      </c>
      <c r="N395">
        <v>-2.8699989318847661</v>
      </c>
      <c r="O395">
        <v>3.4000015258789058</v>
      </c>
      <c r="P395" s="156" t="s">
        <v>587</v>
      </c>
      <c r="Q395">
        <v>2021</v>
      </c>
    </row>
    <row r="396" spans="1:17" hidden="1" x14ac:dyDescent="0.35">
      <c r="A396" s="156" t="s">
        <v>662</v>
      </c>
      <c r="B396" s="22">
        <v>44409</v>
      </c>
      <c r="C396">
        <v>41.529998779296882</v>
      </c>
      <c r="D396">
        <v>44.720001220703118</v>
      </c>
      <c r="E396">
        <v>28.729999542236332</v>
      </c>
      <c r="F396">
        <v>29.809999465942379</v>
      </c>
      <c r="G396">
        <v>7759200</v>
      </c>
      <c r="H396">
        <v>29.809999465942379</v>
      </c>
      <c r="I396" s="156" t="s">
        <v>661</v>
      </c>
      <c r="J396" s="22">
        <v>45544</v>
      </c>
      <c r="L396">
        <v>-11.690000534057621</v>
      </c>
      <c r="M396">
        <v>-0.28168675985681002</v>
      </c>
      <c r="N396">
        <v>-11.71999931335449</v>
      </c>
      <c r="O396">
        <v>3.19000244140625</v>
      </c>
      <c r="P396" s="156" t="s">
        <v>583</v>
      </c>
      <c r="Q396">
        <v>2021</v>
      </c>
    </row>
    <row r="397" spans="1:17" hidden="1" x14ac:dyDescent="0.35">
      <c r="A397" s="156" t="s">
        <v>662</v>
      </c>
      <c r="B397" s="22">
        <v>44440</v>
      </c>
      <c r="C397">
        <v>29.559999465942379</v>
      </c>
      <c r="D397">
        <v>32.330001831054688</v>
      </c>
      <c r="E397">
        <v>22.590999603271481</v>
      </c>
      <c r="F397">
        <v>23.559999465942379</v>
      </c>
      <c r="G397">
        <v>11428200</v>
      </c>
      <c r="H397">
        <v>23.559999465942379</v>
      </c>
      <c r="I397" s="156" t="s">
        <v>661</v>
      </c>
      <c r="J397" s="22">
        <v>45544</v>
      </c>
      <c r="L397">
        <v>-6.25</v>
      </c>
      <c r="M397">
        <v>-0.20966119127712701</v>
      </c>
      <c r="N397">
        <v>-6</v>
      </c>
      <c r="O397">
        <v>2.7700023651123051</v>
      </c>
      <c r="P397" s="156" t="s">
        <v>581</v>
      </c>
      <c r="Q397">
        <v>2021</v>
      </c>
    </row>
    <row r="398" spans="1:17" hidden="1" x14ac:dyDescent="0.35">
      <c r="A398" s="156" t="s">
        <v>662</v>
      </c>
      <c r="B398" s="22">
        <v>44470</v>
      </c>
      <c r="C398">
        <v>24.04999923706055</v>
      </c>
      <c r="D398">
        <v>26</v>
      </c>
      <c r="E398">
        <v>20.379999160766602</v>
      </c>
      <c r="F398">
        <v>25.70000076293945</v>
      </c>
      <c r="G398">
        <v>7472300</v>
      </c>
      <c r="H398">
        <v>25.70000076293945</v>
      </c>
      <c r="I398" s="156" t="s">
        <v>661</v>
      </c>
      <c r="J398" s="22">
        <v>45544</v>
      </c>
      <c r="L398">
        <v>2.1400012969970699</v>
      </c>
      <c r="M398">
        <v>9.0831975615729199E-2</v>
      </c>
      <c r="N398">
        <v>1.650001525878906</v>
      </c>
      <c r="O398">
        <v>1.9500007629394529</v>
      </c>
      <c r="P398" s="156" t="s">
        <v>584</v>
      </c>
      <c r="Q398">
        <v>2021</v>
      </c>
    </row>
    <row r="399" spans="1:17" hidden="1" x14ac:dyDescent="0.35">
      <c r="A399" s="156" t="s">
        <v>662</v>
      </c>
      <c r="B399" s="22">
        <v>44501</v>
      </c>
      <c r="C399">
        <v>25.620000839233398</v>
      </c>
      <c r="D399">
        <v>32.729999542236328</v>
      </c>
      <c r="E399">
        <v>22.989999771118161</v>
      </c>
      <c r="F399">
        <v>23.10000038146973</v>
      </c>
      <c r="G399">
        <v>19028100</v>
      </c>
      <c r="H399">
        <v>23.10000038146973</v>
      </c>
      <c r="I399" s="156" t="s">
        <v>661</v>
      </c>
      <c r="J399" s="22">
        <v>45544</v>
      </c>
      <c r="L399">
        <v>-2.600000381469727</v>
      </c>
      <c r="M399">
        <v>-0.10116732701498771</v>
      </c>
      <c r="N399">
        <v>-2.5200004577636719</v>
      </c>
      <c r="O399">
        <v>7.1099987030029297</v>
      </c>
      <c r="P399" s="156" t="s">
        <v>585</v>
      </c>
      <c r="Q399">
        <v>2021</v>
      </c>
    </row>
    <row r="400" spans="1:17" hidden="1" x14ac:dyDescent="0.35">
      <c r="A400" s="156" t="s">
        <v>662</v>
      </c>
      <c r="B400" s="22">
        <v>44531</v>
      </c>
      <c r="C400">
        <v>23.020000457763668</v>
      </c>
      <c r="D400">
        <v>27.004999160766602</v>
      </c>
      <c r="E400">
        <v>20.20000076293945</v>
      </c>
      <c r="F400">
        <v>25.870000839233398</v>
      </c>
      <c r="G400">
        <v>12084300</v>
      </c>
      <c r="H400">
        <v>25.870000839233398</v>
      </c>
      <c r="I400" s="156" t="s">
        <v>661</v>
      </c>
      <c r="J400" s="22">
        <v>45544</v>
      </c>
      <c r="L400">
        <v>2.7700004577636719</v>
      </c>
      <c r="M400">
        <v>0.11991343774979769</v>
      </c>
      <c r="N400">
        <v>2.850000381469727</v>
      </c>
      <c r="O400">
        <v>3.9849987030029301</v>
      </c>
      <c r="P400" s="156" t="s">
        <v>581</v>
      </c>
      <c r="Q400">
        <v>2021</v>
      </c>
    </row>
    <row r="401" spans="1:17" hidden="1" x14ac:dyDescent="0.35">
      <c r="A401" s="156" t="s">
        <v>662</v>
      </c>
      <c r="B401" s="22">
        <v>44562</v>
      </c>
      <c r="C401">
        <v>26.659999847412109</v>
      </c>
      <c r="D401">
        <v>27.54000091552734</v>
      </c>
      <c r="E401">
        <v>18.930000305175781</v>
      </c>
      <c r="F401">
        <v>21.280000686645511</v>
      </c>
      <c r="G401">
        <v>12982400</v>
      </c>
      <c r="H401">
        <v>21.280000686645511</v>
      </c>
      <c r="I401" s="156" t="s">
        <v>661</v>
      </c>
      <c r="J401" s="22">
        <v>45544</v>
      </c>
      <c r="L401">
        <v>-4.5900001525878906</v>
      </c>
      <c r="M401">
        <v>-0.1774255896283885</v>
      </c>
      <c r="N401">
        <v>-5.3799991607666016</v>
      </c>
      <c r="O401">
        <v>0.88000106811523438</v>
      </c>
      <c r="P401" s="156" t="s">
        <v>582</v>
      </c>
      <c r="Q401">
        <v>2022</v>
      </c>
    </row>
    <row r="402" spans="1:17" hidden="1" x14ac:dyDescent="0.35">
      <c r="A402" s="156" t="s">
        <v>662</v>
      </c>
      <c r="B402" s="22">
        <v>44593</v>
      </c>
      <c r="C402">
        <v>21.719999313354489</v>
      </c>
      <c r="D402">
        <v>26.125</v>
      </c>
      <c r="E402">
        <v>19.180000305175781</v>
      </c>
      <c r="F402">
        <v>25.739999771118161</v>
      </c>
      <c r="G402">
        <v>11847600</v>
      </c>
      <c r="H402">
        <v>25.739999771118161</v>
      </c>
      <c r="I402" s="156" t="s">
        <v>661</v>
      </c>
      <c r="J402" s="22">
        <v>45544</v>
      </c>
      <c r="L402">
        <v>4.4599990844726563</v>
      </c>
      <c r="M402">
        <v>0.20958641637975031</v>
      </c>
      <c r="N402">
        <v>4.0200004577636719</v>
      </c>
      <c r="O402">
        <v>4.4050006866455078</v>
      </c>
      <c r="P402" s="156" t="s">
        <v>586</v>
      </c>
      <c r="Q402">
        <v>2022</v>
      </c>
    </row>
    <row r="403" spans="1:17" hidden="1" x14ac:dyDescent="0.35">
      <c r="A403" s="156" t="s">
        <v>662</v>
      </c>
      <c r="B403" s="22">
        <v>44621</v>
      </c>
      <c r="C403">
        <v>25.590000152587891</v>
      </c>
      <c r="D403">
        <v>27.879999160766602</v>
      </c>
      <c r="E403">
        <v>21.034999847412109</v>
      </c>
      <c r="F403">
        <v>26.729999542236332</v>
      </c>
      <c r="G403">
        <v>21682900</v>
      </c>
      <c r="H403">
        <v>26.729999542236332</v>
      </c>
      <c r="I403" s="156" t="s">
        <v>661</v>
      </c>
      <c r="J403" s="22">
        <v>45544</v>
      </c>
      <c r="L403">
        <v>0.98999977111816406</v>
      </c>
      <c r="M403">
        <v>3.846152991147278E-2</v>
      </c>
      <c r="N403">
        <v>1.1399993896484379</v>
      </c>
      <c r="O403">
        <v>2.2899990081787109</v>
      </c>
      <c r="P403" s="156" t="s">
        <v>586</v>
      </c>
      <c r="Q403">
        <v>2022</v>
      </c>
    </row>
    <row r="404" spans="1:17" hidden="1" x14ac:dyDescent="0.35">
      <c r="A404" s="156" t="s">
        <v>662</v>
      </c>
      <c r="B404" s="22">
        <v>44652</v>
      </c>
      <c r="C404">
        <v>27</v>
      </c>
      <c r="D404">
        <v>28.969999313354489</v>
      </c>
      <c r="E404">
        <v>21.889999389648441</v>
      </c>
      <c r="F404">
        <v>21.989999771118161</v>
      </c>
      <c r="G404">
        <v>11471400</v>
      </c>
      <c r="H404">
        <v>21.989999771118161</v>
      </c>
      <c r="I404" s="156" t="s">
        <v>661</v>
      </c>
      <c r="J404" s="22">
        <v>45544</v>
      </c>
      <c r="L404">
        <v>-4.7399997711181641</v>
      </c>
      <c r="M404">
        <v>-0.17732883846961711</v>
      </c>
      <c r="N404">
        <v>-5.0100002288818359</v>
      </c>
      <c r="O404">
        <v>1.969999313354492</v>
      </c>
      <c r="P404" s="156" t="s">
        <v>584</v>
      </c>
      <c r="Q404">
        <v>2022</v>
      </c>
    </row>
    <row r="405" spans="1:17" hidden="1" x14ac:dyDescent="0.35">
      <c r="A405" s="156" t="s">
        <v>662</v>
      </c>
      <c r="B405" s="22">
        <v>44682</v>
      </c>
      <c r="C405">
        <v>21.909999847412109</v>
      </c>
      <c r="D405">
        <v>24.91500091552734</v>
      </c>
      <c r="E405">
        <v>17.989999771118161</v>
      </c>
      <c r="F405">
        <v>23.95999908447266</v>
      </c>
      <c r="G405">
        <v>13194000</v>
      </c>
      <c r="H405">
        <v>23.95999908447266</v>
      </c>
      <c r="I405" s="156" t="s">
        <v>661</v>
      </c>
      <c r="J405" s="22">
        <v>45544</v>
      </c>
      <c r="L405">
        <v>1.969999313354492</v>
      </c>
      <c r="M405">
        <v>8.9586145241433934E-2</v>
      </c>
      <c r="N405">
        <v>2.0499992370605469</v>
      </c>
      <c r="O405">
        <v>3.0050010681152339</v>
      </c>
      <c r="P405" s="156" t="s">
        <v>583</v>
      </c>
      <c r="Q405">
        <v>2022</v>
      </c>
    </row>
    <row r="406" spans="1:17" hidden="1" x14ac:dyDescent="0.35">
      <c r="A406" s="156" t="s">
        <v>662</v>
      </c>
      <c r="B406" s="22">
        <v>44713</v>
      </c>
      <c r="C406">
        <v>24</v>
      </c>
      <c r="D406">
        <v>30.14999961853027</v>
      </c>
      <c r="E406">
        <v>22.280000686645511</v>
      </c>
      <c r="F406">
        <v>29.120000839233398</v>
      </c>
      <c r="G406">
        <v>15932400</v>
      </c>
      <c r="H406">
        <v>29.120000839233398</v>
      </c>
      <c r="I406" s="156" t="s">
        <v>661</v>
      </c>
      <c r="J406" s="22">
        <v>45544</v>
      </c>
      <c r="L406">
        <v>5.1600017547607422</v>
      </c>
      <c r="M406">
        <v>0.21535901301868979</v>
      </c>
      <c r="N406">
        <v>5.1200008392333984</v>
      </c>
      <c r="O406">
        <v>6.1499996185302734</v>
      </c>
      <c r="P406" s="156" t="s">
        <v>581</v>
      </c>
      <c r="Q406">
        <v>2022</v>
      </c>
    </row>
    <row r="407" spans="1:17" hidden="1" x14ac:dyDescent="0.35">
      <c r="A407" s="156" t="s">
        <v>662</v>
      </c>
      <c r="B407" s="22">
        <v>44743</v>
      </c>
      <c r="C407">
        <v>29.139999389648441</v>
      </c>
      <c r="D407">
        <v>37.782001495361328</v>
      </c>
      <c r="E407">
        <v>27.760000228881839</v>
      </c>
      <c r="F407">
        <v>36.779998779296882</v>
      </c>
      <c r="G407">
        <v>19927000</v>
      </c>
      <c r="H407">
        <v>36.779998779296882</v>
      </c>
      <c r="I407" s="156" t="s">
        <v>661</v>
      </c>
      <c r="J407" s="22">
        <v>45544</v>
      </c>
      <c r="L407">
        <v>7.6599979400634766</v>
      </c>
      <c r="M407">
        <v>0.26304937222883451</v>
      </c>
      <c r="N407">
        <v>7.6399993896484384</v>
      </c>
      <c r="O407">
        <v>8.6420021057128906</v>
      </c>
      <c r="P407" s="156" t="s">
        <v>584</v>
      </c>
      <c r="Q407">
        <v>2022</v>
      </c>
    </row>
    <row r="408" spans="1:17" hidden="1" x14ac:dyDescent="0.35">
      <c r="A408" s="156" t="s">
        <v>662</v>
      </c>
      <c r="B408" s="22">
        <v>44774</v>
      </c>
      <c r="C408">
        <v>36.319999694824219</v>
      </c>
      <c r="D408">
        <v>44.639999389648438</v>
      </c>
      <c r="E408">
        <v>34.209999084472663</v>
      </c>
      <c r="F408">
        <v>39.790000915527337</v>
      </c>
      <c r="G408">
        <v>25902800</v>
      </c>
      <c r="H408">
        <v>39.790000915527337</v>
      </c>
      <c r="I408" s="156" t="s">
        <v>661</v>
      </c>
      <c r="J408" s="22">
        <v>45544</v>
      </c>
      <c r="L408">
        <v>3.0100021362304692</v>
      </c>
      <c r="M408">
        <v>8.1838016208004127E-2</v>
      </c>
      <c r="N408">
        <v>3.470001220703125</v>
      </c>
      <c r="O408">
        <v>8.3199996948242188</v>
      </c>
      <c r="P408" s="156" t="s">
        <v>585</v>
      </c>
      <c r="Q408">
        <v>2022</v>
      </c>
    </row>
    <row r="409" spans="1:17" hidden="1" x14ac:dyDescent="0.35">
      <c r="A409" s="156" t="s">
        <v>662</v>
      </c>
      <c r="B409" s="22">
        <v>44805</v>
      </c>
      <c r="C409">
        <v>39.509998321533203</v>
      </c>
      <c r="D409">
        <v>43.8489990234375</v>
      </c>
      <c r="E409">
        <v>32.819999694824219</v>
      </c>
      <c r="F409">
        <v>34.060001373291023</v>
      </c>
      <c r="G409">
        <v>21322900</v>
      </c>
      <c r="H409">
        <v>34.060001373291023</v>
      </c>
      <c r="I409" s="156" t="s">
        <v>661</v>
      </c>
      <c r="J409" s="22">
        <v>45544</v>
      </c>
      <c r="L409">
        <v>-5.7299995422363281</v>
      </c>
      <c r="M409">
        <v>-0.14400601684832581</v>
      </c>
      <c r="N409">
        <v>-5.4499969482421884</v>
      </c>
      <c r="O409">
        <v>4.3390007019042969</v>
      </c>
      <c r="P409" s="156" t="s">
        <v>587</v>
      </c>
      <c r="Q409">
        <v>2022</v>
      </c>
    </row>
    <row r="410" spans="1:17" hidden="1" x14ac:dyDescent="0.35">
      <c r="A410" s="156" t="s">
        <v>662</v>
      </c>
      <c r="B410" s="22">
        <v>44835</v>
      </c>
      <c r="C410">
        <v>34.040000915527337</v>
      </c>
      <c r="D410">
        <v>36.549999237060547</v>
      </c>
      <c r="E410">
        <v>31.629999160766602</v>
      </c>
      <c r="F410">
        <v>33.479999542236328</v>
      </c>
      <c r="G410">
        <v>13968800</v>
      </c>
      <c r="H410">
        <v>33.479999542236328</v>
      </c>
      <c r="I410" s="156" t="s">
        <v>661</v>
      </c>
      <c r="J410" s="22">
        <v>45544</v>
      </c>
      <c r="L410">
        <v>-0.5800018310546875</v>
      </c>
      <c r="M410">
        <v>-1.702882582704501E-2</v>
      </c>
      <c r="N410">
        <v>-0.56000137329101563</v>
      </c>
      <c r="O410">
        <v>2.5099983215332031</v>
      </c>
      <c r="P410" s="156" t="s">
        <v>582</v>
      </c>
      <c r="Q410">
        <v>2022</v>
      </c>
    </row>
    <row r="411" spans="1:17" hidden="1" x14ac:dyDescent="0.35">
      <c r="A411" s="156" t="s">
        <v>662</v>
      </c>
      <c r="B411" s="22">
        <v>44866</v>
      </c>
      <c r="C411">
        <v>33.619998931884773</v>
      </c>
      <c r="D411">
        <v>34.020000457763672</v>
      </c>
      <c r="E411">
        <v>22.260000228881839</v>
      </c>
      <c r="F411">
        <v>23.930000305175781</v>
      </c>
      <c r="G411">
        <v>25137200</v>
      </c>
      <c r="H411">
        <v>23.930000305175781</v>
      </c>
      <c r="I411" s="156" t="s">
        <v>661</v>
      </c>
      <c r="J411" s="22">
        <v>45544</v>
      </c>
      <c r="L411">
        <v>-9.5499992370605469</v>
      </c>
      <c r="M411">
        <v>-0.285244903453862</v>
      </c>
      <c r="N411">
        <v>-9.6899986267089844</v>
      </c>
      <c r="O411">
        <v>0.40000152587890619</v>
      </c>
      <c r="P411" s="156" t="s">
        <v>586</v>
      </c>
      <c r="Q411">
        <v>2022</v>
      </c>
    </row>
    <row r="412" spans="1:17" hidden="1" x14ac:dyDescent="0.35">
      <c r="A412" s="156" t="s">
        <v>662</v>
      </c>
      <c r="B412" s="22">
        <v>44896</v>
      </c>
      <c r="C412">
        <v>24.030000686645511</v>
      </c>
      <c r="D412">
        <v>25.89999961853027</v>
      </c>
      <c r="E412">
        <v>21.969999313354489</v>
      </c>
      <c r="F412">
        <v>22.70999908447266</v>
      </c>
      <c r="G412">
        <v>14017200</v>
      </c>
      <c r="H412">
        <v>22.70999908447266</v>
      </c>
      <c r="I412" s="156" t="s">
        <v>661</v>
      </c>
      <c r="J412" s="22">
        <v>45544</v>
      </c>
      <c r="L412">
        <v>-1.220001220703125</v>
      </c>
      <c r="M412">
        <v>-5.0982081284773439E-2</v>
      </c>
      <c r="N412">
        <v>-1.320001602172852</v>
      </c>
      <c r="O412">
        <v>1.8699989318847661</v>
      </c>
      <c r="P412" s="156" t="s">
        <v>587</v>
      </c>
      <c r="Q412">
        <v>2022</v>
      </c>
    </row>
    <row r="413" spans="1:17" hidden="1" x14ac:dyDescent="0.35">
      <c r="A413" s="156" t="s">
        <v>662</v>
      </c>
      <c r="B413" s="22">
        <v>44927</v>
      </c>
      <c r="C413">
        <v>22.95000076293945</v>
      </c>
      <c r="D413">
        <v>27.270000457763668</v>
      </c>
      <c r="E413">
        <v>20.639999389648441</v>
      </c>
      <c r="F413">
        <v>27.04000091552734</v>
      </c>
      <c r="G413">
        <v>15046300</v>
      </c>
      <c r="H413">
        <v>27.04000091552734</v>
      </c>
      <c r="I413" s="156" t="s">
        <v>661</v>
      </c>
      <c r="J413" s="22">
        <v>45544</v>
      </c>
      <c r="L413">
        <v>4.3300018310546884</v>
      </c>
      <c r="M413">
        <v>0.1906649936421709</v>
      </c>
      <c r="N413">
        <v>4.0900001525878906</v>
      </c>
      <c r="O413">
        <v>4.3199996948242188</v>
      </c>
      <c r="P413" s="156" t="s">
        <v>583</v>
      </c>
      <c r="Q413">
        <v>2023</v>
      </c>
    </row>
    <row r="414" spans="1:17" hidden="1" x14ac:dyDescent="0.35">
      <c r="A414" s="156" t="s">
        <v>662</v>
      </c>
      <c r="B414" s="22">
        <v>44958</v>
      </c>
      <c r="C414">
        <v>27.360000610351559</v>
      </c>
      <c r="D414">
        <v>28.51399993896484</v>
      </c>
      <c r="E414">
        <v>25.04999923706055</v>
      </c>
      <c r="F414">
        <v>27.930000305175781</v>
      </c>
      <c r="G414">
        <v>14416000</v>
      </c>
      <c r="H414">
        <v>27.930000305175781</v>
      </c>
      <c r="I414" s="156" t="s">
        <v>661</v>
      </c>
      <c r="J414" s="22">
        <v>45544</v>
      </c>
      <c r="L414">
        <v>0.8899993896484375</v>
      </c>
      <c r="M414">
        <v>3.2914177496842001E-2</v>
      </c>
      <c r="N414">
        <v>0.56999969482421875</v>
      </c>
      <c r="O414">
        <v>1.153999328613281</v>
      </c>
      <c r="P414" s="156" t="s">
        <v>581</v>
      </c>
      <c r="Q414">
        <v>2023</v>
      </c>
    </row>
    <row r="415" spans="1:17" hidden="1" x14ac:dyDescent="0.35">
      <c r="A415" s="156" t="s">
        <v>662</v>
      </c>
      <c r="B415" s="22">
        <v>44986</v>
      </c>
      <c r="C415">
        <v>28.479999542236332</v>
      </c>
      <c r="D415">
        <v>29.110000610351559</v>
      </c>
      <c r="E415">
        <v>25.069999694824219</v>
      </c>
      <c r="F415">
        <v>27.610000610351559</v>
      </c>
      <c r="G415">
        <v>15492800</v>
      </c>
      <c r="H415">
        <v>27.610000610351559</v>
      </c>
      <c r="I415" s="156" t="s">
        <v>661</v>
      </c>
      <c r="J415" s="22">
        <v>45544</v>
      </c>
      <c r="L415">
        <v>-0.31999969482421881</v>
      </c>
      <c r="M415">
        <v>-1.1457203413095529E-2</v>
      </c>
      <c r="N415">
        <v>-0.86999893188476563</v>
      </c>
      <c r="O415">
        <v>0.63000106811523438</v>
      </c>
      <c r="P415" s="156" t="s">
        <v>581</v>
      </c>
      <c r="Q415">
        <v>2023</v>
      </c>
    </row>
    <row r="416" spans="1:17" hidden="1" x14ac:dyDescent="0.35">
      <c r="A416" s="156" t="s">
        <v>662</v>
      </c>
      <c r="B416" s="22">
        <v>45017</v>
      </c>
      <c r="C416">
        <v>27.670000076293949</v>
      </c>
      <c r="D416">
        <v>28.60000038146973</v>
      </c>
      <c r="E416">
        <v>24.5</v>
      </c>
      <c r="F416">
        <v>27.629999160766602</v>
      </c>
      <c r="G416">
        <v>11301000</v>
      </c>
      <c r="H416">
        <v>27.629999160766602</v>
      </c>
      <c r="I416" s="156" t="s">
        <v>661</v>
      </c>
      <c r="J416" s="22">
        <v>45544</v>
      </c>
      <c r="L416">
        <v>1.9998550415039059E-2</v>
      </c>
      <c r="M416">
        <v>7.2432270818345579E-4</v>
      </c>
      <c r="N416">
        <v>-4.000091552734375E-2</v>
      </c>
      <c r="O416">
        <v>0.93000030517578125</v>
      </c>
      <c r="P416" s="156" t="s">
        <v>582</v>
      </c>
      <c r="Q416">
        <v>2023</v>
      </c>
    </row>
    <row r="417" spans="1:17" hidden="1" x14ac:dyDescent="0.35">
      <c r="A417" s="156" t="s">
        <v>662</v>
      </c>
      <c r="B417" s="22">
        <v>45047</v>
      </c>
      <c r="C417">
        <v>27.680000305175781</v>
      </c>
      <c r="D417">
        <v>30.14999961853027</v>
      </c>
      <c r="E417">
        <v>23</v>
      </c>
      <c r="F417">
        <v>24.95000076293945</v>
      </c>
      <c r="G417">
        <v>47863700</v>
      </c>
      <c r="H417">
        <v>24.95000076293945</v>
      </c>
      <c r="I417" s="156" t="s">
        <v>661</v>
      </c>
      <c r="J417" s="22">
        <v>45544</v>
      </c>
      <c r="L417">
        <v>-2.679998397827148</v>
      </c>
      <c r="M417">
        <v>-9.6995963779565764E-2</v>
      </c>
      <c r="N417">
        <v>-2.7299995422363281</v>
      </c>
      <c r="O417">
        <v>2.4699993133544922</v>
      </c>
      <c r="P417" s="156" t="s">
        <v>585</v>
      </c>
      <c r="Q417">
        <v>2023</v>
      </c>
    </row>
    <row r="418" spans="1:17" hidden="1" x14ac:dyDescent="0.35">
      <c r="A418" s="156" t="s">
        <v>662</v>
      </c>
      <c r="B418" s="22">
        <v>45078</v>
      </c>
      <c r="C418">
        <v>24.770000457763668</v>
      </c>
      <c r="D418">
        <v>29.420000076293949</v>
      </c>
      <c r="E418">
        <v>23.809999465942379</v>
      </c>
      <c r="F418">
        <v>26.110000610351559</v>
      </c>
      <c r="G418">
        <v>62720100</v>
      </c>
      <c r="H418">
        <v>26.110000610351559</v>
      </c>
      <c r="I418" s="156" t="s">
        <v>661</v>
      </c>
      <c r="J418" s="22">
        <v>45544</v>
      </c>
      <c r="L418">
        <v>1.1599998474121089</v>
      </c>
      <c r="M418">
        <v>4.6492978434500287E-2</v>
      </c>
      <c r="N418">
        <v>1.3400001525878911</v>
      </c>
      <c r="O418">
        <v>4.6499996185302734</v>
      </c>
      <c r="P418" s="156" t="s">
        <v>587</v>
      </c>
      <c r="Q418">
        <v>2023</v>
      </c>
    </row>
    <row r="419" spans="1:17" hidden="1" x14ac:dyDescent="0.35">
      <c r="A419" s="156" t="s">
        <v>662</v>
      </c>
      <c r="B419" s="22">
        <v>45108</v>
      </c>
      <c r="C419">
        <v>25.870000839233398</v>
      </c>
      <c r="D419">
        <v>28.229999542236332</v>
      </c>
      <c r="E419">
        <v>24.159999847412109</v>
      </c>
      <c r="F419">
        <v>27.920000076293949</v>
      </c>
      <c r="G419">
        <v>16494700</v>
      </c>
      <c r="H419">
        <v>27.920000076293949</v>
      </c>
      <c r="I419" s="156" t="s">
        <v>661</v>
      </c>
      <c r="J419" s="22">
        <v>45544</v>
      </c>
      <c r="L419">
        <v>1.809999465942383</v>
      </c>
      <c r="M419">
        <v>6.9322076738090654E-2</v>
      </c>
      <c r="N419">
        <v>2.0499992370605469</v>
      </c>
      <c r="O419">
        <v>2.3599987030029301</v>
      </c>
      <c r="P419" s="156" t="s">
        <v>582</v>
      </c>
      <c r="Q419">
        <v>2023</v>
      </c>
    </row>
    <row r="420" spans="1:17" hidden="1" x14ac:dyDescent="0.35">
      <c r="A420" s="156" t="s">
        <v>662</v>
      </c>
      <c r="B420" s="22">
        <v>45139</v>
      </c>
      <c r="C420">
        <v>27.770000457763668</v>
      </c>
      <c r="D420">
        <v>28</v>
      </c>
      <c r="E420">
        <v>24.370000839233398</v>
      </c>
      <c r="F420">
        <v>26.25</v>
      </c>
      <c r="G420">
        <v>16297600</v>
      </c>
      <c r="H420">
        <v>26.25</v>
      </c>
      <c r="I420" s="156" t="s">
        <v>661</v>
      </c>
      <c r="J420" s="22">
        <v>45544</v>
      </c>
      <c r="L420">
        <v>-1.6700000762939451</v>
      </c>
      <c r="M420">
        <v>-5.981375615080653E-2</v>
      </c>
      <c r="N420">
        <v>-1.5200004577636721</v>
      </c>
      <c r="O420">
        <v>0.2299995422363281</v>
      </c>
      <c r="P420" s="156" t="s">
        <v>586</v>
      </c>
      <c r="Q420">
        <v>2023</v>
      </c>
    </row>
    <row r="421" spans="1:17" hidden="1" x14ac:dyDescent="0.35">
      <c r="A421" s="156" t="s">
        <v>662</v>
      </c>
      <c r="B421" s="22">
        <v>45170</v>
      </c>
      <c r="C421">
        <v>26.29999923706055</v>
      </c>
      <c r="D421">
        <v>26.840000152587891</v>
      </c>
      <c r="E421">
        <v>21.291999816894531</v>
      </c>
      <c r="F421">
        <v>23</v>
      </c>
      <c r="G421">
        <v>25616500</v>
      </c>
      <c r="H421">
        <v>23</v>
      </c>
      <c r="I421" s="156" t="s">
        <v>661</v>
      </c>
      <c r="J421" s="22">
        <v>45544</v>
      </c>
      <c r="L421">
        <v>-3.25</v>
      </c>
      <c r="M421">
        <v>-0.1238095238095238</v>
      </c>
      <c r="N421">
        <v>-3.2999992370605469</v>
      </c>
      <c r="O421">
        <v>0.54000091552734375</v>
      </c>
      <c r="P421" s="156" t="s">
        <v>584</v>
      </c>
      <c r="Q421">
        <v>2023</v>
      </c>
    </row>
    <row r="422" spans="1:17" hidden="1" x14ac:dyDescent="0.35">
      <c r="A422" s="156" t="s">
        <v>662</v>
      </c>
      <c r="B422" s="22">
        <v>45200</v>
      </c>
      <c r="C422">
        <v>22.95000076293945</v>
      </c>
      <c r="D422">
        <v>23.995000839233398</v>
      </c>
      <c r="E422">
        <v>19.920000076293949</v>
      </c>
      <c r="F422">
        <v>21.020000457763668</v>
      </c>
      <c r="G422">
        <v>17733900</v>
      </c>
      <c r="H422">
        <v>21.020000457763668</v>
      </c>
      <c r="I422" s="156" t="s">
        <v>661</v>
      </c>
      <c r="J422" s="22">
        <v>45544</v>
      </c>
      <c r="L422">
        <v>-1.9799995422363279</v>
      </c>
      <c r="M422">
        <v>-8.6086936618970822E-2</v>
      </c>
      <c r="N422">
        <v>-1.930000305175781</v>
      </c>
      <c r="O422">
        <v>1.0450000762939451</v>
      </c>
      <c r="P422" s="156" t="s">
        <v>583</v>
      </c>
      <c r="Q422">
        <v>2023</v>
      </c>
    </row>
    <row r="423" spans="1:17" hidden="1" x14ac:dyDescent="0.35">
      <c r="A423" s="156" t="s">
        <v>662</v>
      </c>
      <c r="B423" s="22">
        <v>45231</v>
      </c>
      <c r="C423">
        <v>20.620000839233398</v>
      </c>
      <c r="D423">
        <v>24.35000038146973</v>
      </c>
      <c r="E423">
        <v>19.680000305175781</v>
      </c>
      <c r="F423">
        <v>20.659999847412109</v>
      </c>
      <c r="G423">
        <v>17077600</v>
      </c>
      <c r="H423">
        <v>20.659999847412109</v>
      </c>
      <c r="I423" s="156" t="s">
        <v>661</v>
      </c>
      <c r="J423" s="22">
        <v>45544</v>
      </c>
      <c r="L423">
        <v>-0.3600006103515625</v>
      </c>
      <c r="M423">
        <v>-1.7126574810258699E-2</v>
      </c>
      <c r="N423">
        <v>3.9999008178710938E-2</v>
      </c>
      <c r="O423">
        <v>3.7299995422363281</v>
      </c>
      <c r="P423" s="156" t="s">
        <v>581</v>
      </c>
      <c r="Q423">
        <v>2023</v>
      </c>
    </row>
    <row r="424" spans="1:17" hidden="1" x14ac:dyDescent="0.35">
      <c r="A424" s="156" t="s">
        <v>662</v>
      </c>
      <c r="B424" s="22">
        <v>45261</v>
      </c>
      <c r="C424">
        <v>20.629999160766602</v>
      </c>
      <c r="D424">
        <v>24.29999923706055</v>
      </c>
      <c r="E424">
        <v>20.45000076293945</v>
      </c>
      <c r="F424">
        <v>23.030000686645511</v>
      </c>
      <c r="G424">
        <v>11380800</v>
      </c>
      <c r="H424">
        <v>23.030000686645511</v>
      </c>
      <c r="I424" s="156" t="s">
        <v>661</v>
      </c>
      <c r="J424" s="22">
        <v>45544</v>
      </c>
      <c r="L424">
        <v>2.370000839233398</v>
      </c>
      <c r="M424">
        <v>0.1147144654761587</v>
      </c>
      <c r="N424">
        <v>2.4000015258789058</v>
      </c>
      <c r="O424">
        <v>3.6700000762939449</v>
      </c>
      <c r="P424" s="156" t="s">
        <v>584</v>
      </c>
      <c r="Q424">
        <v>2023</v>
      </c>
    </row>
    <row r="425" spans="1:17" hidden="1" x14ac:dyDescent="0.35">
      <c r="A425" s="156" t="s">
        <v>664</v>
      </c>
      <c r="B425" s="22">
        <v>43466</v>
      </c>
      <c r="C425">
        <v>18.069999694824219</v>
      </c>
      <c r="D425">
        <v>20.940000534057621</v>
      </c>
      <c r="E425">
        <v>17.29999923706055</v>
      </c>
      <c r="F425">
        <v>18.829999923706051</v>
      </c>
      <c r="G425">
        <v>358900</v>
      </c>
      <c r="H425">
        <v>15.46934700012207</v>
      </c>
      <c r="I425" s="156" t="s">
        <v>663</v>
      </c>
      <c r="J425" s="22">
        <v>45544</v>
      </c>
      <c r="K425">
        <v>0</v>
      </c>
      <c r="N425">
        <v>0.76000022888183594</v>
      </c>
      <c r="O425">
        <v>2.870000839233398</v>
      </c>
      <c r="P425" s="156" t="s">
        <v>586</v>
      </c>
      <c r="Q425">
        <v>2019</v>
      </c>
    </row>
    <row r="426" spans="1:17" hidden="1" x14ac:dyDescent="0.35">
      <c r="A426" s="156" t="s">
        <v>664</v>
      </c>
      <c r="B426" s="22">
        <v>43497</v>
      </c>
      <c r="C426">
        <v>19.079999923706051</v>
      </c>
      <c r="D426">
        <v>21.389999389648441</v>
      </c>
      <c r="E426">
        <v>18.39999961853027</v>
      </c>
      <c r="F426">
        <v>20.420000076293949</v>
      </c>
      <c r="G426">
        <v>304700</v>
      </c>
      <c r="H426">
        <v>16.775575637817379</v>
      </c>
      <c r="I426" s="156" t="s">
        <v>663</v>
      </c>
      <c r="J426" s="22">
        <v>45544</v>
      </c>
      <c r="K426">
        <v>0.15</v>
      </c>
      <c r="L426">
        <v>1.3062286376953121</v>
      </c>
      <c r="M426">
        <v>8.4439732290500835E-2</v>
      </c>
      <c r="N426">
        <v>1.3400001525878911</v>
      </c>
      <c r="O426">
        <v>2.3099994659423828</v>
      </c>
      <c r="P426" s="156" t="s">
        <v>584</v>
      </c>
      <c r="Q426">
        <v>2019</v>
      </c>
    </row>
    <row r="427" spans="1:17" hidden="1" x14ac:dyDescent="0.35">
      <c r="A427" s="156" t="s">
        <v>664</v>
      </c>
      <c r="B427" s="22">
        <v>43525</v>
      </c>
      <c r="C427">
        <v>20.780000686645511</v>
      </c>
      <c r="D427">
        <v>20.780000686645511</v>
      </c>
      <c r="E427">
        <v>18.45000076293945</v>
      </c>
      <c r="F427">
        <v>18.590000152587891</v>
      </c>
      <c r="G427">
        <v>359900</v>
      </c>
      <c r="H427">
        <v>15.394814491271971</v>
      </c>
      <c r="I427" s="156" t="s">
        <v>663</v>
      </c>
      <c r="J427" s="22">
        <v>45544</v>
      </c>
      <c r="K427">
        <v>0</v>
      </c>
      <c r="L427">
        <v>-1.3807611465454099</v>
      </c>
      <c r="M427">
        <v>-8.9618017476432055E-2</v>
      </c>
      <c r="N427">
        <v>-2.1900005340576172</v>
      </c>
      <c r="O427">
        <v>0</v>
      </c>
      <c r="P427" s="156" t="s">
        <v>584</v>
      </c>
      <c r="Q427">
        <v>2019</v>
      </c>
    </row>
    <row r="428" spans="1:17" hidden="1" x14ac:dyDescent="0.35">
      <c r="A428" s="156" t="s">
        <v>664</v>
      </c>
      <c r="B428" s="22">
        <v>43556</v>
      </c>
      <c r="C428">
        <v>18.889999389648441</v>
      </c>
      <c r="D428">
        <v>21.620000839233398</v>
      </c>
      <c r="E428">
        <v>18.090000152587891</v>
      </c>
      <c r="F428">
        <v>20.739999771118161</v>
      </c>
      <c r="G428">
        <v>824600</v>
      </c>
      <c r="H428">
        <v>17.175275802612301</v>
      </c>
      <c r="I428" s="156" t="s">
        <v>663</v>
      </c>
      <c r="J428" s="22">
        <v>45544</v>
      </c>
      <c r="K428">
        <v>0.15</v>
      </c>
      <c r="L428">
        <v>1.780461311340332</v>
      </c>
      <c r="M428">
        <v>0.1156535557225897</v>
      </c>
      <c r="N428">
        <v>1.850000381469727</v>
      </c>
      <c r="O428">
        <v>2.7300014495849609</v>
      </c>
      <c r="P428" s="156" t="s">
        <v>585</v>
      </c>
      <c r="Q428">
        <v>2019</v>
      </c>
    </row>
    <row r="429" spans="1:17" hidden="1" x14ac:dyDescent="0.35">
      <c r="A429" s="156" t="s">
        <v>664</v>
      </c>
      <c r="B429" s="22">
        <v>43586</v>
      </c>
      <c r="C429">
        <v>20.659999847412109</v>
      </c>
      <c r="D429">
        <v>22.5</v>
      </c>
      <c r="E429">
        <v>20</v>
      </c>
      <c r="F429">
        <v>21.239999771118161</v>
      </c>
      <c r="G429">
        <v>651800</v>
      </c>
      <c r="H429">
        <v>17.71588134765625</v>
      </c>
      <c r="I429" s="156" t="s">
        <v>663</v>
      </c>
      <c r="J429" s="22">
        <v>45544</v>
      </c>
      <c r="K429">
        <v>0</v>
      </c>
      <c r="L429">
        <v>0.54060554504394531</v>
      </c>
      <c r="M429">
        <v>2.4108004123331032E-2</v>
      </c>
      <c r="N429">
        <v>0.57999992370605469</v>
      </c>
      <c r="O429">
        <v>1.8400001525878911</v>
      </c>
      <c r="P429" s="156" t="s">
        <v>581</v>
      </c>
      <c r="Q429">
        <v>2019</v>
      </c>
    </row>
    <row r="430" spans="1:17" hidden="1" x14ac:dyDescent="0.35">
      <c r="A430" s="156" t="s">
        <v>664</v>
      </c>
      <c r="B430" s="22">
        <v>43617</v>
      </c>
      <c r="C430">
        <v>21.360000610351559</v>
      </c>
      <c r="D430">
        <v>22.229999542236332</v>
      </c>
      <c r="E430">
        <v>20.85000038146973</v>
      </c>
      <c r="F430">
        <v>21.989999771118161</v>
      </c>
      <c r="G430">
        <v>693400</v>
      </c>
      <c r="H430">
        <v>18.341447830200199</v>
      </c>
      <c r="I430" s="156" t="s">
        <v>663</v>
      </c>
      <c r="J430" s="22">
        <v>45544</v>
      </c>
      <c r="K430">
        <v>0</v>
      </c>
      <c r="L430">
        <v>0.62556648254394531</v>
      </c>
      <c r="M430">
        <v>3.5310734843784657E-2</v>
      </c>
      <c r="N430">
        <v>0.62999916076660156</v>
      </c>
      <c r="O430">
        <v>0.86999893188476563</v>
      </c>
      <c r="P430" s="156" t="s">
        <v>582</v>
      </c>
      <c r="Q430">
        <v>2019</v>
      </c>
    </row>
    <row r="431" spans="1:17" hidden="1" x14ac:dyDescent="0.35">
      <c r="A431" s="156" t="s">
        <v>664</v>
      </c>
      <c r="B431" s="22">
        <v>43647</v>
      </c>
      <c r="C431">
        <v>22.10000038146973</v>
      </c>
      <c r="D431">
        <v>23.370000839233398</v>
      </c>
      <c r="E431">
        <v>20.510000228881839</v>
      </c>
      <c r="F431">
        <v>22.870000839233398</v>
      </c>
      <c r="G431">
        <v>437000</v>
      </c>
      <c r="H431">
        <v>19.075435638427731</v>
      </c>
      <c r="I431" s="156" t="s">
        <v>663</v>
      </c>
      <c r="J431" s="22">
        <v>45544</v>
      </c>
      <c r="K431">
        <v>0</v>
      </c>
      <c r="L431">
        <v>0.73398780822753906</v>
      </c>
      <c r="M431">
        <v>4.0018239075701789E-2</v>
      </c>
      <c r="N431">
        <v>0.77000045776367188</v>
      </c>
      <c r="O431">
        <v>1.2700004577636721</v>
      </c>
      <c r="P431" s="156" t="s">
        <v>585</v>
      </c>
      <c r="Q431">
        <v>2019</v>
      </c>
    </row>
    <row r="432" spans="1:17" hidden="1" x14ac:dyDescent="0.35">
      <c r="A432" s="156" t="s">
        <v>664</v>
      </c>
      <c r="B432" s="22">
        <v>43678</v>
      </c>
      <c r="C432">
        <v>22.870000839233398</v>
      </c>
      <c r="D432">
        <v>23.14999961853027</v>
      </c>
      <c r="E432">
        <v>20.25</v>
      </c>
      <c r="F432">
        <v>21.340000152587891</v>
      </c>
      <c r="G432">
        <v>269400</v>
      </c>
      <c r="H432">
        <v>17.79929161071777</v>
      </c>
      <c r="I432" s="156" t="s">
        <v>663</v>
      </c>
      <c r="J432" s="22">
        <v>45544</v>
      </c>
      <c r="K432">
        <v>0.15</v>
      </c>
      <c r="L432">
        <v>-1.2761440277099609</v>
      </c>
      <c r="M432">
        <v>-6.689989639269267E-2</v>
      </c>
      <c r="N432">
        <v>-1.530000686645508</v>
      </c>
      <c r="O432">
        <v>0.279998779296875</v>
      </c>
      <c r="P432" s="156" t="s">
        <v>587</v>
      </c>
      <c r="Q432">
        <v>2019</v>
      </c>
    </row>
    <row r="433" spans="1:17" hidden="1" x14ac:dyDescent="0.35">
      <c r="A433" s="156" t="s">
        <v>664</v>
      </c>
      <c r="B433" s="22">
        <v>43709</v>
      </c>
      <c r="C433">
        <v>21.219999313354489</v>
      </c>
      <c r="D433">
        <v>23.479999542236332</v>
      </c>
      <c r="E433">
        <v>20.85000038146973</v>
      </c>
      <c r="F433">
        <v>21.89999961853027</v>
      </c>
      <c r="G433">
        <v>384000</v>
      </c>
      <c r="H433">
        <v>18.39024543762207</v>
      </c>
      <c r="I433" s="156" t="s">
        <v>663</v>
      </c>
      <c r="J433" s="22">
        <v>45544</v>
      </c>
      <c r="K433">
        <v>0</v>
      </c>
      <c r="L433">
        <v>0.59095382690429688</v>
      </c>
      <c r="M433">
        <v>2.6241774223908498E-2</v>
      </c>
      <c r="N433">
        <v>0.68000030517578125</v>
      </c>
      <c r="O433">
        <v>2.2600002288818359</v>
      </c>
      <c r="P433" s="156" t="s">
        <v>583</v>
      </c>
      <c r="Q433">
        <v>2019</v>
      </c>
    </row>
    <row r="434" spans="1:17" hidden="1" x14ac:dyDescent="0.35">
      <c r="A434" s="156" t="s">
        <v>664</v>
      </c>
      <c r="B434" s="22">
        <v>43739</v>
      </c>
      <c r="C434">
        <v>22.020000457763668</v>
      </c>
      <c r="D434">
        <v>22.70000076293945</v>
      </c>
      <c r="E434">
        <v>20.920000076293949</v>
      </c>
      <c r="F434">
        <v>21.690000534057621</v>
      </c>
      <c r="G434">
        <v>288100</v>
      </c>
      <c r="H434">
        <v>18.213897705078121</v>
      </c>
      <c r="I434" s="156" t="s">
        <v>663</v>
      </c>
      <c r="J434" s="22">
        <v>45544</v>
      </c>
      <c r="K434">
        <v>0</v>
      </c>
      <c r="L434">
        <v>-0.17634773254394531</v>
      </c>
      <c r="M434">
        <v>-9.5889994580168336E-3</v>
      </c>
      <c r="N434">
        <v>-0.32999992370605469</v>
      </c>
      <c r="O434">
        <v>0.68000030517578125</v>
      </c>
      <c r="P434" s="156" t="s">
        <v>586</v>
      </c>
      <c r="Q434">
        <v>2019</v>
      </c>
    </row>
    <row r="435" spans="1:17" hidden="1" x14ac:dyDescent="0.35">
      <c r="A435" s="156" t="s">
        <v>664</v>
      </c>
      <c r="B435" s="22">
        <v>43770</v>
      </c>
      <c r="C435">
        <v>21.719999313354489</v>
      </c>
      <c r="D435">
        <v>22.180000305175781</v>
      </c>
      <c r="E435">
        <v>21.190000534057621</v>
      </c>
      <c r="F435">
        <v>21.920000076293949</v>
      </c>
      <c r="G435">
        <v>205400</v>
      </c>
      <c r="H435">
        <v>18.407041549682621</v>
      </c>
      <c r="I435" s="156" t="s">
        <v>663</v>
      </c>
      <c r="J435" s="22">
        <v>45544</v>
      </c>
      <c r="K435">
        <v>0.15</v>
      </c>
      <c r="L435">
        <v>0.19314384460449219</v>
      </c>
      <c r="M435">
        <v>1.060394359489214E-2</v>
      </c>
      <c r="N435">
        <v>0.2000007629394531</v>
      </c>
      <c r="O435">
        <v>0.46000099182128912</v>
      </c>
      <c r="P435" s="156" t="s">
        <v>584</v>
      </c>
      <c r="Q435">
        <v>2019</v>
      </c>
    </row>
    <row r="436" spans="1:17" hidden="1" x14ac:dyDescent="0.35">
      <c r="A436" s="156" t="s">
        <v>664</v>
      </c>
      <c r="B436" s="22">
        <v>43800</v>
      </c>
      <c r="C436">
        <v>21.670000076293949</v>
      </c>
      <c r="D436">
        <v>23.309999465942379</v>
      </c>
      <c r="E436">
        <v>21.110000610351559</v>
      </c>
      <c r="F436">
        <v>22.620000839233398</v>
      </c>
      <c r="G436">
        <v>364200</v>
      </c>
      <c r="H436">
        <v>19.127132415771481</v>
      </c>
      <c r="I436" s="156" t="s">
        <v>663</v>
      </c>
      <c r="J436" s="22">
        <v>45544</v>
      </c>
      <c r="K436">
        <v>0</v>
      </c>
      <c r="L436">
        <v>0.72009086608886719</v>
      </c>
      <c r="M436">
        <v>3.193434126382555E-2</v>
      </c>
      <c r="N436">
        <v>0.95000076293945313</v>
      </c>
      <c r="O436">
        <v>1.6399993896484379</v>
      </c>
      <c r="P436" s="156" t="s">
        <v>583</v>
      </c>
      <c r="Q436">
        <v>2019</v>
      </c>
    </row>
    <row r="437" spans="1:17" hidden="1" x14ac:dyDescent="0.35">
      <c r="A437" s="156" t="s">
        <v>664</v>
      </c>
      <c r="B437" s="22">
        <v>43831</v>
      </c>
      <c r="C437">
        <v>22.379999160766602</v>
      </c>
      <c r="D437">
        <v>22.879999160766602</v>
      </c>
      <c r="E437">
        <v>20.590000152587891</v>
      </c>
      <c r="F437">
        <v>20.610000610351559</v>
      </c>
      <c r="G437">
        <v>274500</v>
      </c>
      <c r="H437">
        <v>17.427505493164059</v>
      </c>
      <c r="I437" s="156" t="s">
        <v>663</v>
      </c>
      <c r="J437" s="22">
        <v>45544</v>
      </c>
      <c r="K437">
        <v>0.17</v>
      </c>
      <c r="L437">
        <v>-1.6996269226074221</v>
      </c>
      <c r="M437">
        <v>-8.8859423267375726E-2</v>
      </c>
      <c r="N437">
        <v>-1.7699985504150391</v>
      </c>
      <c r="O437">
        <v>0.5</v>
      </c>
      <c r="P437" s="156" t="s">
        <v>581</v>
      </c>
      <c r="Q437">
        <v>2020</v>
      </c>
    </row>
    <row r="438" spans="1:17" hidden="1" x14ac:dyDescent="0.35">
      <c r="A438" s="156" t="s">
        <v>664</v>
      </c>
      <c r="B438" s="22">
        <v>43862</v>
      </c>
      <c r="C438">
        <v>20.979999542236332</v>
      </c>
      <c r="D438">
        <v>21.920000076293949</v>
      </c>
      <c r="E438">
        <v>17.319999694824219</v>
      </c>
      <c r="F438">
        <v>17.79999923706055</v>
      </c>
      <c r="G438">
        <v>330900</v>
      </c>
      <c r="H438">
        <v>15.171206474304199</v>
      </c>
      <c r="I438" s="156" t="s">
        <v>663</v>
      </c>
      <c r="J438" s="22">
        <v>45544</v>
      </c>
      <c r="K438">
        <v>0</v>
      </c>
      <c r="L438">
        <v>-2.2562990188598628</v>
      </c>
      <c r="M438">
        <v>-0.13634164435102769</v>
      </c>
      <c r="N438">
        <v>-3.1800003051757808</v>
      </c>
      <c r="O438">
        <v>0.94000053405761719</v>
      </c>
      <c r="P438" s="156" t="s">
        <v>582</v>
      </c>
      <c r="Q438">
        <v>2020</v>
      </c>
    </row>
    <row r="439" spans="1:17" hidden="1" x14ac:dyDescent="0.35">
      <c r="A439" s="156" t="s">
        <v>664</v>
      </c>
      <c r="B439" s="22">
        <v>43891</v>
      </c>
      <c r="C439">
        <v>17.920000076293949</v>
      </c>
      <c r="D439">
        <v>19.440000534057621</v>
      </c>
      <c r="E439">
        <v>12.25</v>
      </c>
      <c r="F439">
        <v>13.77000045776367</v>
      </c>
      <c r="G439">
        <v>663000</v>
      </c>
      <c r="H439">
        <v>11.736373901367189</v>
      </c>
      <c r="I439" s="156" t="s">
        <v>663</v>
      </c>
      <c r="J439" s="22">
        <v>45544</v>
      </c>
      <c r="K439">
        <v>0</v>
      </c>
      <c r="L439">
        <v>-3.4348325729370122</v>
      </c>
      <c r="M439">
        <v>-0.22640443550728939</v>
      </c>
      <c r="N439">
        <v>-4.1499996185302734</v>
      </c>
      <c r="O439">
        <v>1.5200004577636721</v>
      </c>
      <c r="P439" s="156" t="s">
        <v>583</v>
      </c>
      <c r="Q439">
        <v>2020</v>
      </c>
    </row>
    <row r="440" spans="1:17" hidden="1" x14ac:dyDescent="0.35">
      <c r="A440" s="156" t="s">
        <v>664</v>
      </c>
      <c r="B440" s="22">
        <v>43922</v>
      </c>
      <c r="C440">
        <v>13.180000305175779</v>
      </c>
      <c r="D440">
        <v>16.680000305175781</v>
      </c>
      <c r="E440">
        <v>11.39999961853027</v>
      </c>
      <c r="F440">
        <v>15.39999961853027</v>
      </c>
      <c r="G440">
        <v>626900</v>
      </c>
      <c r="H440">
        <v>13.12564849853516</v>
      </c>
      <c r="I440" s="156" t="s">
        <v>663</v>
      </c>
      <c r="J440" s="22">
        <v>45544</v>
      </c>
      <c r="K440">
        <v>0</v>
      </c>
      <c r="L440">
        <v>1.389274597167969</v>
      </c>
      <c r="M440">
        <v>0.118373210354368</v>
      </c>
      <c r="N440">
        <v>2.2199993133544922</v>
      </c>
      <c r="O440">
        <v>3.5</v>
      </c>
      <c r="P440" s="156" t="s">
        <v>581</v>
      </c>
      <c r="Q440">
        <v>2020</v>
      </c>
    </row>
    <row r="441" spans="1:17" hidden="1" x14ac:dyDescent="0.35">
      <c r="A441" s="156" t="s">
        <v>664</v>
      </c>
      <c r="B441" s="22">
        <v>43952</v>
      </c>
      <c r="C441">
        <v>14.680000305175779</v>
      </c>
      <c r="D441">
        <v>15.38000011444092</v>
      </c>
      <c r="E441">
        <v>11.760000228881839</v>
      </c>
      <c r="F441">
        <v>13.47999954223633</v>
      </c>
      <c r="G441">
        <v>536100</v>
      </c>
      <c r="H441">
        <v>11.489204406738279</v>
      </c>
      <c r="I441" s="156" t="s">
        <v>663</v>
      </c>
      <c r="J441" s="22">
        <v>45544</v>
      </c>
      <c r="K441">
        <v>0.17</v>
      </c>
      <c r="L441">
        <v>-1.636444091796875</v>
      </c>
      <c r="M441">
        <v>-0.1246753327177799</v>
      </c>
      <c r="N441">
        <v>-1.2000007629394529</v>
      </c>
      <c r="O441">
        <v>0.69999980926513672</v>
      </c>
      <c r="P441" s="156" t="s">
        <v>584</v>
      </c>
      <c r="Q441">
        <v>2020</v>
      </c>
    </row>
    <row r="442" spans="1:17" hidden="1" x14ac:dyDescent="0.35">
      <c r="A442" s="156" t="s">
        <v>664</v>
      </c>
      <c r="B442" s="22">
        <v>43983</v>
      </c>
      <c r="C442">
        <v>13.460000038146971</v>
      </c>
      <c r="D442">
        <v>15.939999580383301</v>
      </c>
      <c r="E442">
        <v>12.819999694824221</v>
      </c>
      <c r="F442">
        <v>14.75</v>
      </c>
      <c r="G442">
        <v>578400</v>
      </c>
      <c r="H442">
        <v>12.71197032928467</v>
      </c>
      <c r="I442" s="156" t="s">
        <v>663</v>
      </c>
      <c r="J442" s="22">
        <v>45544</v>
      </c>
      <c r="K442">
        <v>0</v>
      </c>
      <c r="L442">
        <v>1.2227659225463869</v>
      </c>
      <c r="M442">
        <v>9.4213687009738534E-2</v>
      </c>
      <c r="N442">
        <v>1.2899999618530269</v>
      </c>
      <c r="O442">
        <v>2.4799995422363281</v>
      </c>
      <c r="P442" s="156" t="s">
        <v>585</v>
      </c>
      <c r="Q442">
        <v>2020</v>
      </c>
    </row>
    <row r="443" spans="1:17" hidden="1" x14ac:dyDescent="0.35">
      <c r="A443" s="156" t="s">
        <v>664</v>
      </c>
      <c r="B443" s="22">
        <v>44013</v>
      </c>
      <c r="C443">
        <v>14.75</v>
      </c>
      <c r="D443">
        <v>14.75</v>
      </c>
      <c r="E443">
        <v>12.510000228881839</v>
      </c>
      <c r="F443">
        <v>13.60000038146973</v>
      </c>
      <c r="G443">
        <v>345300</v>
      </c>
      <c r="H443">
        <v>11.72086811065674</v>
      </c>
      <c r="I443" s="156" t="s">
        <v>663</v>
      </c>
      <c r="J443" s="22">
        <v>45544</v>
      </c>
      <c r="K443">
        <v>0.17</v>
      </c>
      <c r="L443">
        <v>-0.99110221862792969</v>
      </c>
      <c r="M443">
        <v>-7.7966075832560877E-2</v>
      </c>
      <c r="N443">
        <v>-1.149999618530273</v>
      </c>
      <c r="O443">
        <v>0</v>
      </c>
      <c r="P443" s="156" t="s">
        <v>581</v>
      </c>
      <c r="Q443">
        <v>2020</v>
      </c>
    </row>
    <row r="444" spans="1:17" hidden="1" x14ac:dyDescent="0.35">
      <c r="A444" s="156" t="s">
        <v>664</v>
      </c>
      <c r="B444" s="22">
        <v>44044</v>
      </c>
      <c r="C444">
        <v>13.60999965667725</v>
      </c>
      <c r="D444">
        <v>15.25</v>
      </c>
      <c r="E444">
        <v>13.55000019073486</v>
      </c>
      <c r="F444">
        <v>13.77000045776367</v>
      </c>
      <c r="G444">
        <v>293900</v>
      </c>
      <c r="H444">
        <v>12.012937545776371</v>
      </c>
      <c r="I444" s="156" t="s">
        <v>663</v>
      </c>
      <c r="J444" s="22">
        <v>45544</v>
      </c>
      <c r="K444">
        <v>0</v>
      </c>
      <c r="L444">
        <v>0.29206943511962891</v>
      </c>
      <c r="M444">
        <v>1.250000525923323E-2</v>
      </c>
      <c r="N444">
        <v>0.16000080108642581</v>
      </c>
      <c r="O444">
        <v>1.6400003433227539</v>
      </c>
      <c r="P444" s="156" t="s">
        <v>582</v>
      </c>
      <c r="Q444">
        <v>2020</v>
      </c>
    </row>
    <row r="445" spans="1:17" hidden="1" x14ac:dyDescent="0.35">
      <c r="A445" s="156" t="s">
        <v>664</v>
      </c>
      <c r="B445" s="22">
        <v>44075</v>
      </c>
      <c r="C445">
        <v>13.69999980926514</v>
      </c>
      <c r="D445">
        <v>14.64999961853027</v>
      </c>
      <c r="E445">
        <v>12.39999961853027</v>
      </c>
      <c r="F445">
        <v>12.80000019073486</v>
      </c>
      <c r="G445">
        <v>431400</v>
      </c>
      <c r="H445">
        <v>11.16671085357666</v>
      </c>
      <c r="I445" s="156" t="s">
        <v>663</v>
      </c>
      <c r="J445" s="22">
        <v>45544</v>
      </c>
      <c r="K445">
        <v>0</v>
      </c>
      <c r="L445">
        <v>-0.84622669219970703</v>
      </c>
      <c r="M445">
        <v>-7.0443009061914141E-2</v>
      </c>
      <c r="N445">
        <v>-0.89999961853027344</v>
      </c>
      <c r="O445">
        <v>0.94999980926513672</v>
      </c>
      <c r="P445" s="156" t="s">
        <v>586</v>
      </c>
      <c r="Q445">
        <v>2020</v>
      </c>
    </row>
    <row r="446" spans="1:17" hidden="1" x14ac:dyDescent="0.35">
      <c r="A446" s="156" t="s">
        <v>664</v>
      </c>
      <c r="B446" s="22">
        <v>44105</v>
      </c>
      <c r="C446">
        <v>12.840000152587891</v>
      </c>
      <c r="D446">
        <v>14.10000038146973</v>
      </c>
      <c r="E446">
        <v>12.829999923706049</v>
      </c>
      <c r="F446">
        <v>13.97999954223633</v>
      </c>
      <c r="G446">
        <v>459800</v>
      </c>
      <c r="H446">
        <v>12.19614315032959</v>
      </c>
      <c r="I446" s="156" t="s">
        <v>663</v>
      </c>
      <c r="J446" s="22">
        <v>45544</v>
      </c>
      <c r="K446">
        <v>0.17</v>
      </c>
      <c r="L446">
        <v>1.0294322967529299</v>
      </c>
      <c r="M446">
        <v>9.2187447962351898E-2</v>
      </c>
      <c r="N446">
        <v>1.1399993896484379</v>
      </c>
      <c r="O446">
        <v>1.2600002288818359</v>
      </c>
      <c r="P446" s="156" t="s">
        <v>587</v>
      </c>
      <c r="Q446">
        <v>2020</v>
      </c>
    </row>
    <row r="447" spans="1:17" hidden="1" x14ac:dyDescent="0.35">
      <c r="A447" s="156" t="s">
        <v>664</v>
      </c>
      <c r="B447" s="22">
        <v>44136</v>
      </c>
      <c r="C447">
        <v>14.159999847412109</v>
      </c>
      <c r="D447">
        <v>17.29999923706055</v>
      </c>
      <c r="E447">
        <v>13.44999980926514</v>
      </c>
      <c r="F447">
        <v>16.120000839233398</v>
      </c>
      <c r="G447">
        <v>360700</v>
      </c>
      <c r="H447">
        <v>14.237326622009279</v>
      </c>
      <c r="I447" s="156" t="s">
        <v>663</v>
      </c>
      <c r="J447" s="22">
        <v>45544</v>
      </c>
      <c r="K447">
        <v>0</v>
      </c>
      <c r="L447">
        <v>2.0411834716796879</v>
      </c>
      <c r="M447">
        <v>0.15307592039124929</v>
      </c>
      <c r="N447">
        <v>1.9600009918212891</v>
      </c>
      <c r="O447">
        <v>3.1399993896484379</v>
      </c>
      <c r="P447" s="156" t="s">
        <v>583</v>
      </c>
      <c r="Q447">
        <v>2020</v>
      </c>
    </row>
    <row r="448" spans="1:17" hidden="1" x14ac:dyDescent="0.35">
      <c r="A448" s="156" t="s">
        <v>664</v>
      </c>
      <c r="B448" s="22">
        <v>44166</v>
      </c>
      <c r="C448">
        <v>16.559999465942379</v>
      </c>
      <c r="D448">
        <v>18.79000091552734</v>
      </c>
      <c r="E448">
        <v>16.020000457763668</v>
      </c>
      <c r="F448">
        <v>16.54999923706055</v>
      </c>
      <c r="G448">
        <v>448900</v>
      </c>
      <c r="H448">
        <v>14.617106437683111</v>
      </c>
      <c r="I448" s="156" t="s">
        <v>663</v>
      </c>
      <c r="J448" s="22">
        <v>45544</v>
      </c>
      <c r="K448">
        <v>0</v>
      </c>
      <c r="L448">
        <v>0.37977981567382813</v>
      </c>
      <c r="M448">
        <v>2.6674837186149821E-2</v>
      </c>
      <c r="N448">
        <v>-1.0000228881835939E-2</v>
      </c>
      <c r="O448">
        <v>2.2300014495849609</v>
      </c>
      <c r="P448" s="156" t="s">
        <v>586</v>
      </c>
      <c r="Q448">
        <v>2020</v>
      </c>
    </row>
    <row r="449" spans="1:17" hidden="1" x14ac:dyDescent="0.35">
      <c r="A449" s="156" t="s">
        <v>664</v>
      </c>
      <c r="B449" s="22">
        <v>44197</v>
      </c>
      <c r="C449">
        <v>16.489999771118161</v>
      </c>
      <c r="D449">
        <v>19.379999160766602</v>
      </c>
      <c r="E449">
        <v>16.280000686645511</v>
      </c>
      <c r="F449">
        <v>17.309999465942379</v>
      </c>
      <c r="G449">
        <v>420900</v>
      </c>
      <c r="H449">
        <v>15.288345336914061</v>
      </c>
      <c r="I449" s="156" t="s">
        <v>663</v>
      </c>
      <c r="J449" s="22">
        <v>45544</v>
      </c>
      <c r="K449">
        <v>0.18</v>
      </c>
      <c r="L449">
        <v>0.67123889923095703</v>
      </c>
      <c r="M449">
        <v>4.5921466097712083E-2</v>
      </c>
      <c r="N449">
        <v>0.81999969482421875</v>
      </c>
      <c r="O449">
        <v>2.8899993896484379</v>
      </c>
      <c r="P449" s="156" t="s">
        <v>584</v>
      </c>
      <c r="Q449">
        <v>2021</v>
      </c>
    </row>
    <row r="450" spans="1:17" hidden="1" x14ac:dyDescent="0.35">
      <c r="A450" s="156" t="s">
        <v>664</v>
      </c>
      <c r="B450" s="22">
        <v>44228</v>
      </c>
      <c r="C450">
        <v>17.35000038146973</v>
      </c>
      <c r="D450">
        <v>20</v>
      </c>
      <c r="E450">
        <v>17.25</v>
      </c>
      <c r="F450">
        <v>19.479999542236332</v>
      </c>
      <c r="G450">
        <v>518600</v>
      </c>
      <c r="H450">
        <v>17.378305435180661</v>
      </c>
      <c r="I450" s="156" t="s">
        <v>663</v>
      </c>
      <c r="J450" s="22">
        <v>45544</v>
      </c>
      <c r="K450">
        <v>0</v>
      </c>
      <c r="L450">
        <v>2.089960098266602</v>
      </c>
      <c r="M450">
        <v>0.12536107124459739</v>
      </c>
      <c r="N450">
        <v>2.129999160766602</v>
      </c>
      <c r="O450">
        <v>2.649999618530273</v>
      </c>
      <c r="P450" s="156" t="s">
        <v>585</v>
      </c>
      <c r="Q450">
        <v>2021</v>
      </c>
    </row>
    <row r="451" spans="1:17" hidden="1" x14ac:dyDescent="0.35">
      <c r="A451" s="156" t="s">
        <v>664</v>
      </c>
      <c r="B451" s="22">
        <v>44256</v>
      </c>
      <c r="C451">
        <v>20</v>
      </c>
      <c r="D451">
        <v>24.739999771118161</v>
      </c>
      <c r="E451">
        <v>19.579999923706051</v>
      </c>
      <c r="F451">
        <v>22.29999923706055</v>
      </c>
      <c r="G451">
        <v>1103500</v>
      </c>
      <c r="H451">
        <v>19.894058227539059</v>
      </c>
      <c r="I451" s="156" t="s">
        <v>663</v>
      </c>
      <c r="J451" s="22">
        <v>45544</v>
      </c>
      <c r="K451">
        <v>0</v>
      </c>
      <c r="L451">
        <v>2.515752792358398</v>
      </c>
      <c r="M451">
        <v>0.14476384810533099</v>
      </c>
      <c r="N451">
        <v>2.2999992370605469</v>
      </c>
      <c r="O451">
        <v>4.7399997711181641</v>
      </c>
      <c r="P451" s="156" t="s">
        <v>585</v>
      </c>
      <c r="Q451">
        <v>2021</v>
      </c>
    </row>
    <row r="452" spans="1:17" hidden="1" x14ac:dyDescent="0.35">
      <c r="A452" s="156" t="s">
        <v>664</v>
      </c>
      <c r="B452" s="22">
        <v>44287</v>
      </c>
      <c r="C452">
        <v>22.70000076293945</v>
      </c>
      <c r="D452">
        <v>24.10000038146973</v>
      </c>
      <c r="E452">
        <v>21.35000038146973</v>
      </c>
      <c r="F452">
        <v>23.70999908447266</v>
      </c>
      <c r="G452">
        <v>569600</v>
      </c>
      <c r="H452">
        <v>21.15192794799805</v>
      </c>
      <c r="I452" s="156" t="s">
        <v>663</v>
      </c>
      <c r="J452" s="22">
        <v>45544</v>
      </c>
      <c r="K452">
        <v>0.18</v>
      </c>
      <c r="L452">
        <v>1.2578697204589839</v>
      </c>
      <c r="M452">
        <v>6.3228694872276892E-2</v>
      </c>
      <c r="N452">
        <v>1.0099983215332029</v>
      </c>
      <c r="O452">
        <v>1.399999618530273</v>
      </c>
      <c r="P452" s="156" t="s">
        <v>587</v>
      </c>
      <c r="Q452">
        <v>2021</v>
      </c>
    </row>
    <row r="453" spans="1:17" hidden="1" x14ac:dyDescent="0.35">
      <c r="A453" s="156" t="s">
        <v>664</v>
      </c>
      <c r="B453" s="22">
        <v>44317</v>
      </c>
      <c r="C453">
        <v>23.989999771118161</v>
      </c>
      <c r="D453">
        <v>25.909999847412109</v>
      </c>
      <c r="E453">
        <v>23.39999961853027</v>
      </c>
      <c r="F453">
        <v>25.239999771118161</v>
      </c>
      <c r="G453">
        <v>756800</v>
      </c>
      <c r="H453">
        <v>22.688308715820309</v>
      </c>
      <c r="I453" s="156" t="s">
        <v>663</v>
      </c>
      <c r="J453" s="22">
        <v>45544</v>
      </c>
      <c r="K453">
        <v>0</v>
      </c>
      <c r="L453">
        <v>1.5363807678222661</v>
      </c>
      <c r="M453">
        <v>6.4529765741217826E-2</v>
      </c>
      <c r="N453">
        <v>1.25</v>
      </c>
      <c r="O453">
        <v>1.9200000762939451</v>
      </c>
      <c r="P453" s="156" t="s">
        <v>582</v>
      </c>
      <c r="Q453">
        <v>2021</v>
      </c>
    </row>
    <row r="454" spans="1:17" hidden="1" x14ac:dyDescent="0.35">
      <c r="A454" s="156" t="s">
        <v>664</v>
      </c>
      <c r="B454" s="22">
        <v>44348</v>
      </c>
      <c r="C454">
        <v>25.239999771118161</v>
      </c>
      <c r="D454">
        <v>25.75</v>
      </c>
      <c r="E454">
        <v>23.020000457763668</v>
      </c>
      <c r="F454">
        <v>23.069999694824219</v>
      </c>
      <c r="G454">
        <v>578200</v>
      </c>
      <c r="H454">
        <v>20.737689971923832</v>
      </c>
      <c r="I454" s="156" t="s">
        <v>663</v>
      </c>
      <c r="J454" s="22">
        <v>45544</v>
      </c>
      <c r="K454">
        <v>0</v>
      </c>
      <c r="L454">
        <v>-1.9506187438964839</v>
      </c>
      <c r="M454">
        <v>-8.5974647225514289E-2</v>
      </c>
      <c r="N454">
        <v>-2.1700000762939449</v>
      </c>
      <c r="O454">
        <v>0.51000022888183594</v>
      </c>
      <c r="P454" s="156" t="s">
        <v>586</v>
      </c>
      <c r="Q454">
        <v>2021</v>
      </c>
    </row>
    <row r="455" spans="1:17" hidden="1" x14ac:dyDescent="0.35">
      <c r="A455" s="156" t="s">
        <v>664</v>
      </c>
      <c r="B455" s="22">
        <v>44378</v>
      </c>
      <c r="C455">
        <v>23.280000686645511</v>
      </c>
      <c r="D455">
        <v>24.079999923706051</v>
      </c>
      <c r="E455">
        <v>22</v>
      </c>
      <c r="F455">
        <v>23.04999923706055</v>
      </c>
      <c r="G455">
        <v>459700</v>
      </c>
      <c r="H455">
        <v>20.719711303710941</v>
      </c>
      <c r="I455" s="156" t="s">
        <v>663</v>
      </c>
      <c r="J455" s="22">
        <v>45544</v>
      </c>
      <c r="K455">
        <v>0.19</v>
      </c>
      <c r="L455">
        <v>-1.7978668212890622E-2</v>
      </c>
      <c r="M455">
        <v>-8.6694659853681078E-4</v>
      </c>
      <c r="N455">
        <v>-0.23000144958496091</v>
      </c>
      <c r="O455">
        <v>0.79999923706054688</v>
      </c>
      <c r="P455" s="156" t="s">
        <v>587</v>
      </c>
      <c r="Q455">
        <v>2021</v>
      </c>
    </row>
    <row r="456" spans="1:17" hidden="1" x14ac:dyDescent="0.35">
      <c r="A456" s="156" t="s">
        <v>664</v>
      </c>
      <c r="B456" s="22">
        <v>44409</v>
      </c>
      <c r="C456">
        <v>23.129999160766602</v>
      </c>
      <c r="D456">
        <v>24.10000038146973</v>
      </c>
      <c r="E456">
        <v>22.5</v>
      </c>
      <c r="F456">
        <v>23.860000610351559</v>
      </c>
      <c r="G456">
        <v>455200</v>
      </c>
      <c r="H456">
        <v>21.62264442443848</v>
      </c>
      <c r="I456" s="156" t="s">
        <v>663</v>
      </c>
      <c r="J456" s="22">
        <v>45544</v>
      </c>
      <c r="K456">
        <v>0</v>
      </c>
      <c r="L456">
        <v>0.90293312072753906</v>
      </c>
      <c r="M456">
        <v>3.5141058572733863E-2</v>
      </c>
      <c r="N456">
        <v>0.73000144958496094</v>
      </c>
      <c r="O456">
        <v>0.970001220703125</v>
      </c>
      <c r="P456" s="156" t="s">
        <v>583</v>
      </c>
      <c r="Q456">
        <v>2021</v>
      </c>
    </row>
    <row r="457" spans="1:17" hidden="1" x14ac:dyDescent="0.35">
      <c r="A457" s="156" t="s">
        <v>664</v>
      </c>
      <c r="B457" s="22">
        <v>44440</v>
      </c>
      <c r="C457">
        <v>23.64999961853027</v>
      </c>
      <c r="D457">
        <v>24</v>
      </c>
      <c r="E457">
        <v>22.219999313354489</v>
      </c>
      <c r="F457">
        <v>23.39999961853027</v>
      </c>
      <c r="G457">
        <v>467900</v>
      </c>
      <c r="H457">
        <v>21.205780029296879</v>
      </c>
      <c r="I457" s="156" t="s">
        <v>663</v>
      </c>
      <c r="J457" s="22">
        <v>45544</v>
      </c>
      <c r="K457">
        <v>0</v>
      </c>
      <c r="L457">
        <v>-0.41686439514160162</v>
      </c>
      <c r="M457">
        <v>-1.9279169323311751E-2</v>
      </c>
      <c r="N457">
        <v>-0.25</v>
      </c>
      <c r="O457">
        <v>0.35000038146972662</v>
      </c>
      <c r="P457" s="156" t="s">
        <v>581</v>
      </c>
      <c r="Q457">
        <v>2021</v>
      </c>
    </row>
    <row r="458" spans="1:17" hidden="1" x14ac:dyDescent="0.35">
      <c r="A458" s="156" t="s">
        <v>664</v>
      </c>
      <c r="B458" s="22">
        <v>44470</v>
      </c>
      <c r="C458">
        <v>23.430000305175781</v>
      </c>
      <c r="D458">
        <v>24.690000534057621</v>
      </c>
      <c r="E458">
        <v>23.39999961853027</v>
      </c>
      <c r="F458">
        <v>23.70999908447266</v>
      </c>
      <c r="G458">
        <v>290400</v>
      </c>
      <c r="H458">
        <v>21.486709594726559</v>
      </c>
      <c r="I458" s="156" t="s">
        <v>663</v>
      </c>
      <c r="J458" s="22">
        <v>45544</v>
      </c>
      <c r="K458">
        <v>0.19</v>
      </c>
      <c r="L458">
        <v>0.2809295654296875</v>
      </c>
      <c r="M458">
        <v>1.3247840640856051E-2</v>
      </c>
      <c r="N458">
        <v>0.279998779296875</v>
      </c>
      <c r="O458">
        <v>1.2600002288818359</v>
      </c>
      <c r="P458" s="156" t="s">
        <v>584</v>
      </c>
      <c r="Q458">
        <v>2021</v>
      </c>
    </row>
    <row r="459" spans="1:17" hidden="1" x14ac:dyDescent="0.35">
      <c r="A459" s="156" t="s">
        <v>664</v>
      </c>
      <c r="B459" s="22">
        <v>44501</v>
      </c>
      <c r="C459">
        <v>23.930000305175781</v>
      </c>
      <c r="D459">
        <v>25.489999771118161</v>
      </c>
      <c r="E459">
        <v>23.39999961853027</v>
      </c>
      <c r="F459">
        <v>23.39999961853027</v>
      </c>
      <c r="G459">
        <v>338900</v>
      </c>
      <c r="H459">
        <v>21.375711441040039</v>
      </c>
      <c r="I459" s="156" t="s">
        <v>663</v>
      </c>
      <c r="J459" s="22">
        <v>45544</v>
      </c>
      <c r="K459">
        <v>0</v>
      </c>
      <c r="L459">
        <v>-0.1109981536865234</v>
      </c>
      <c r="M459">
        <v>-1.3074630025835639E-2</v>
      </c>
      <c r="N459">
        <v>-0.53000068664550781</v>
      </c>
      <c r="O459">
        <v>1.559999465942383</v>
      </c>
      <c r="P459" s="156" t="s">
        <v>585</v>
      </c>
      <c r="Q459">
        <v>2021</v>
      </c>
    </row>
    <row r="460" spans="1:17" hidden="1" x14ac:dyDescent="0.35">
      <c r="A460" s="156" t="s">
        <v>664</v>
      </c>
      <c r="B460" s="22">
        <v>44531</v>
      </c>
      <c r="C460">
        <v>23.79000091552734</v>
      </c>
      <c r="D460">
        <v>25.840000152587891</v>
      </c>
      <c r="E460">
        <v>23.229999542236332</v>
      </c>
      <c r="F460">
        <v>25.20000076293945</v>
      </c>
      <c r="G460">
        <v>451600</v>
      </c>
      <c r="H460">
        <v>23.01999664306641</v>
      </c>
      <c r="I460" s="156" t="s">
        <v>663</v>
      </c>
      <c r="J460" s="22">
        <v>45544</v>
      </c>
      <c r="K460">
        <v>0</v>
      </c>
      <c r="L460">
        <v>1.644285202026367</v>
      </c>
      <c r="M460">
        <v>7.6923127083462495E-2</v>
      </c>
      <c r="N460">
        <v>1.4099998474121089</v>
      </c>
      <c r="O460">
        <v>2.0499992370605469</v>
      </c>
      <c r="P460" s="156" t="s">
        <v>581</v>
      </c>
      <c r="Q460">
        <v>2021</v>
      </c>
    </row>
    <row r="461" spans="1:17" hidden="1" x14ac:dyDescent="0.35">
      <c r="A461" s="156" t="s">
        <v>664</v>
      </c>
      <c r="B461" s="22">
        <v>44562</v>
      </c>
      <c r="C461">
        <v>25.469999313354489</v>
      </c>
      <c r="D461">
        <v>25.829999923706051</v>
      </c>
      <c r="E461">
        <v>23.829999923706051</v>
      </c>
      <c r="F461">
        <v>24.75</v>
      </c>
      <c r="G461">
        <v>466700</v>
      </c>
      <c r="H461">
        <v>22.60892295837402</v>
      </c>
      <c r="I461" s="156" t="s">
        <v>663</v>
      </c>
      <c r="J461" s="22">
        <v>45544</v>
      </c>
      <c r="K461">
        <v>0.19</v>
      </c>
      <c r="L461">
        <v>-0.41107368469238281</v>
      </c>
      <c r="M461">
        <v>-1.7857172591885351E-2</v>
      </c>
      <c r="N461">
        <v>-0.71999931335449219</v>
      </c>
      <c r="O461">
        <v>0.3600006103515625</v>
      </c>
      <c r="P461" s="156" t="s">
        <v>582</v>
      </c>
      <c r="Q461">
        <v>2022</v>
      </c>
    </row>
    <row r="462" spans="1:17" hidden="1" x14ac:dyDescent="0.35">
      <c r="A462" s="156" t="s">
        <v>664</v>
      </c>
      <c r="B462" s="22">
        <v>44593</v>
      </c>
      <c r="C462">
        <v>24.79999923706055</v>
      </c>
      <c r="D462">
        <v>25.25</v>
      </c>
      <c r="E462">
        <v>23.620000839233398</v>
      </c>
      <c r="F462">
        <v>24.420000076293949</v>
      </c>
      <c r="G462">
        <v>389700</v>
      </c>
      <c r="H462">
        <v>22.482978820800781</v>
      </c>
      <c r="I462" s="156" t="s">
        <v>663</v>
      </c>
      <c r="J462" s="22">
        <v>45544</v>
      </c>
      <c r="K462">
        <v>0</v>
      </c>
      <c r="L462">
        <v>-0.12594413757324219</v>
      </c>
      <c r="M462">
        <v>-1.3333330250749681E-2</v>
      </c>
      <c r="N462">
        <v>-0.37999916076660162</v>
      </c>
      <c r="O462">
        <v>0.45000076293945313</v>
      </c>
      <c r="P462" s="156" t="s">
        <v>586</v>
      </c>
      <c r="Q462">
        <v>2022</v>
      </c>
    </row>
    <row r="463" spans="1:17" hidden="1" x14ac:dyDescent="0.35">
      <c r="A463" s="156" t="s">
        <v>664</v>
      </c>
      <c r="B463" s="22">
        <v>44621</v>
      </c>
      <c r="C463">
        <v>24.29000091552734</v>
      </c>
      <c r="D463">
        <v>24.75</v>
      </c>
      <c r="E463">
        <v>22.70999908447266</v>
      </c>
      <c r="F463">
        <v>22.930000305175781</v>
      </c>
      <c r="G463">
        <v>527200</v>
      </c>
      <c r="H463">
        <v>21.111162185668949</v>
      </c>
      <c r="I463" s="156" t="s">
        <v>663</v>
      </c>
      <c r="J463" s="22">
        <v>45544</v>
      </c>
      <c r="K463">
        <v>0</v>
      </c>
      <c r="L463">
        <v>-1.3718166351318359</v>
      </c>
      <c r="M463">
        <v>-6.1015551452213268E-2</v>
      </c>
      <c r="N463">
        <v>-1.3600006103515621</v>
      </c>
      <c r="O463">
        <v>0.45999908447265619</v>
      </c>
      <c r="P463" s="156" t="s">
        <v>586</v>
      </c>
      <c r="Q463">
        <v>2022</v>
      </c>
    </row>
    <row r="464" spans="1:17" hidden="1" x14ac:dyDescent="0.35">
      <c r="A464" s="156" t="s">
        <v>664</v>
      </c>
      <c r="B464" s="22">
        <v>44652</v>
      </c>
      <c r="C464">
        <v>22.840000152587891</v>
      </c>
      <c r="D464">
        <v>25.510000228881839</v>
      </c>
      <c r="E464">
        <v>21.809999465942379</v>
      </c>
      <c r="F464">
        <v>23.579999923706051</v>
      </c>
      <c r="G464">
        <v>794900</v>
      </c>
      <c r="H464">
        <v>21.7096061706543</v>
      </c>
      <c r="I464" s="156" t="s">
        <v>663</v>
      </c>
      <c r="J464" s="22">
        <v>45544</v>
      </c>
      <c r="K464">
        <v>0.19</v>
      </c>
      <c r="L464">
        <v>0.59844398498535156</v>
      </c>
      <c r="M464">
        <v>2.834712646661219E-2</v>
      </c>
      <c r="N464">
        <v>0.73999977111816406</v>
      </c>
      <c r="O464">
        <v>2.6700000762939449</v>
      </c>
      <c r="P464" s="156" t="s">
        <v>584</v>
      </c>
      <c r="Q464">
        <v>2022</v>
      </c>
    </row>
    <row r="465" spans="1:17" hidden="1" x14ac:dyDescent="0.35">
      <c r="A465" s="156" t="s">
        <v>664</v>
      </c>
      <c r="B465" s="22">
        <v>44682</v>
      </c>
      <c r="C465">
        <v>23.70000076293945</v>
      </c>
      <c r="D465">
        <v>24.70999908447266</v>
      </c>
      <c r="E465">
        <v>23.129999160766602</v>
      </c>
      <c r="F465">
        <v>24.579999923706051</v>
      </c>
      <c r="G465">
        <v>1069400</v>
      </c>
      <c r="H465">
        <v>22.808994293212891</v>
      </c>
      <c r="I465" s="156" t="s">
        <v>663</v>
      </c>
      <c r="J465" s="22">
        <v>45544</v>
      </c>
      <c r="K465">
        <v>0</v>
      </c>
      <c r="L465">
        <v>1.099388122558594</v>
      </c>
      <c r="M465">
        <v>4.2408821171990407E-2</v>
      </c>
      <c r="N465">
        <v>0.87999916076660156</v>
      </c>
      <c r="O465">
        <v>1.0099983215332029</v>
      </c>
      <c r="P465" s="156" t="s">
        <v>583</v>
      </c>
      <c r="Q465">
        <v>2022</v>
      </c>
    </row>
    <row r="466" spans="1:17" hidden="1" x14ac:dyDescent="0.35">
      <c r="A466" s="156" t="s">
        <v>664</v>
      </c>
      <c r="B466" s="22">
        <v>44713</v>
      </c>
      <c r="C466">
        <v>24.5</v>
      </c>
      <c r="D466">
        <v>25.5</v>
      </c>
      <c r="E466">
        <v>23.809999465942379</v>
      </c>
      <c r="F466">
        <v>24.170000076293949</v>
      </c>
      <c r="G466">
        <v>780900</v>
      </c>
      <c r="H466">
        <v>22.428535461425781</v>
      </c>
      <c r="I466" s="156" t="s">
        <v>663</v>
      </c>
      <c r="J466" s="22">
        <v>45544</v>
      </c>
      <c r="K466">
        <v>0</v>
      </c>
      <c r="L466">
        <v>-0.38045883178710938</v>
      </c>
      <c r="M466">
        <v>-1.6680221671469101E-2</v>
      </c>
      <c r="N466">
        <v>-0.32999992370605469</v>
      </c>
      <c r="O466">
        <v>1</v>
      </c>
      <c r="P466" s="156" t="s">
        <v>581</v>
      </c>
      <c r="Q466">
        <v>2022</v>
      </c>
    </row>
    <row r="467" spans="1:17" hidden="1" x14ac:dyDescent="0.35">
      <c r="A467" s="156" t="s">
        <v>664</v>
      </c>
      <c r="B467" s="22">
        <v>44743</v>
      </c>
      <c r="C467">
        <v>24.069999694824219</v>
      </c>
      <c r="D467">
        <v>26.79000091552734</v>
      </c>
      <c r="E467">
        <v>22.95000076293945</v>
      </c>
      <c r="F467">
        <v>25.920000076293949</v>
      </c>
      <c r="G467">
        <v>482600</v>
      </c>
      <c r="H467">
        <v>24.052446365356449</v>
      </c>
      <c r="I467" s="156" t="s">
        <v>663</v>
      </c>
      <c r="J467" s="22">
        <v>45544</v>
      </c>
      <c r="K467">
        <v>0.19</v>
      </c>
      <c r="L467">
        <v>1.6239109039306641</v>
      </c>
      <c r="M467">
        <v>7.2403806142988358E-2</v>
      </c>
      <c r="N467">
        <v>1.850000381469727</v>
      </c>
      <c r="O467">
        <v>2.720001220703125</v>
      </c>
      <c r="P467" s="156" t="s">
        <v>584</v>
      </c>
      <c r="Q467">
        <v>2022</v>
      </c>
    </row>
    <row r="468" spans="1:17" hidden="1" x14ac:dyDescent="0.35">
      <c r="A468" s="156" t="s">
        <v>664</v>
      </c>
      <c r="B468" s="22">
        <v>44774</v>
      </c>
      <c r="C468">
        <v>25.770000457763668</v>
      </c>
      <c r="D468">
        <v>27.370000839233398</v>
      </c>
      <c r="E468">
        <v>25.479999542236332</v>
      </c>
      <c r="F468">
        <v>25.729999542236332</v>
      </c>
      <c r="G468">
        <v>488600</v>
      </c>
      <c r="H468">
        <v>24.052446365356449</v>
      </c>
      <c r="I468" s="156" t="s">
        <v>663</v>
      </c>
      <c r="J468" s="22">
        <v>45544</v>
      </c>
      <c r="K468">
        <v>0</v>
      </c>
      <c r="L468">
        <v>0</v>
      </c>
      <c r="M468">
        <v>-7.3302674960787906E-3</v>
      </c>
      <c r="N468">
        <v>-4.000091552734375E-2</v>
      </c>
      <c r="O468">
        <v>1.600000381469727</v>
      </c>
      <c r="P468" s="156" t="s">
        <v>585</v>
      </c>
      <c r="Q468">
        <v>2022</v>
      </c>
    </row>
    <row r="469" spans="1:17" hidden="1" x14ac:dyDescent="0.35">
      <c r="A469" s="156" t="s">
        <v>664</v>
      </c>
      <c r="B469" s="22">
        <v>44805</v>
      </c>
      <c r="C469">
        <v>25.639999389648441</v>
      </c>
      <c r="D469">
        <v>25.95000076293945</v>
      </c>
      <c r="E469">
        <v>23.920000076293949</v>
      </c>
      <c r="F469">
        <v>23.920000076293949</v>
      </c>
      <c r="G469">
        <v>393500</v>
      </c>
      <c r="H469">
        <v>22.360454559326168</v>
      </c>
      <c r="I469" s="156" t="s">
        <v>663</v>
      </c>
      <c r="J469" s="22">
        <v>45544</v>
      </c>
      <c r="K469">
        <v>0</v>
      </c>
      <c r="L469">
        <v>-1.691991806030273</v>
      </c>
      <c r="M469">
        <v>-7.0345880223248058E-2</v>
      </c>
      <c r="N469">
        <v>-1.719999313354492</v>
      </c>
      <c r="O469">
        <v>0.31000137329101563</v>
      </c>
      <c r="P469" s="156" t="s">
        <v>587</v>
      </c>
      <c r="Q469">
        <v>2022</v>
      </c>
    </row>
    <row r="470" spans="1:17" hidden="1" x14ac:dyDescent="0.35">
      <c r="A470" s="156" t="s">
        <v>664</v>
      </c>
      <c r="B470" s="22">
        <v>44835</v>
      </c>
      <c r="C470">
        <v>24.110000610351559</v>
      </c>
      <c r="D470">
        <v>26.629999160766602</v>
      </c>
      <c r="E470">
        <v>22.95999908447266</v>
      </c>
      <c r="F470">
        <v>26.469999313354489</v>
      </c>
      <c r="G470">
        <v>311000</v>
      </c>
      <c r="H470">
        <v>24.744197845458981</v>
      </c>
      <c r="I470" s="156" t="s">
        <v>663</v>
      </c>
      <c r="J470" s="22">
        <v>45544</v>
      </c>
      <c r="K470">
        <v>0.19</v>
      </c>
      <c r="L470">
        <v>2.3837432861328121</v>
      </c>
      <c r="M470">
        <v>0.106605318935084</v>
      </c>
      <c r="N470">
        <v>2.3599987030029301</v>
      </c>
      <c r="O470">
        <v>2.5199985504150391</v>
      </c>
      <c r="P470" s="156" t="s">
        <v>582</v>
      </c>
      <c r="Q470">
        <v>2022</v>
      </c>
    </row>
    <row r="471" spans="1:17" hidden="1" x14ac:dyDescent="0.35">
      <c r="A471" s="156" t="s">
        <v>664</v>
      </c>
      <c r="B471" s="22">
        <v>44866</v>
      </c>
      <c r="C471">
        <v>26.680000305175781</v>
      </c>
      <c r="D471">
        <v>27.639999389648441</v>
      </c>
      <c r="E471">
        <v>25.260000228881839</v>
      </c>
      <c r="F471">
        <v>26.909999847412109</v>
      </c>
      <c r="G471">
        <v>296800</v>
      </c>
      <c r="H471">
        <v>25.341701507568359</v>
      </c>
      <c r="I471" s="156" t="s">
        <v>663</v>
      </c>
      <c r="J471" s="22">
        <v>45544</v>
      </c>
      <c r="K471">
        <v>0</v>
      </c>
      <c r="L471">
        <v>0.597503662109375</v>
      </c>
      <c r="M471">
        <v>1.662261222030437E-2</v>
      </c>
      <c r="N471">
        <v>0.2299995422363281</v>
      </c>
      <c r="O471">
        <v>0.95999908447265625</v>
      </c>
      <c r="P471" s="156" t="s">
        <v>586</v>
      </c>
      <c r="Q471">
        <v>2022</v>
      </c>
    </row>
    <row r="472" spans="1:17" hidden="1" x14ac:dyDescent="0.35">
      <c r="A472" s="156" t="s">
        <v>664</v>
      </c>
      <c r="B472" s="22">
        <v>44896</v>
      </c>
      <c r="C472">
        <v>26.829999923706051</v>
      </c>
      <c r="D472">
        <v>28.420000076293949</v>
      </c>
      <c r="E472">
        <v>23.030000686645511</v>
      </c>
      <c r="F472">
        <v>23.159999847412109</v>
      </c>
      <c r="G472">
        <v>485600</v>
      </c>
      <c r="H472">
        <v>21.810251235961911</v>
      </c>
      <c r="I472" s="156" t="s">
        <v>663</v>
      </c>
      <c r="J472" s="22">
        <v>45544</v>
      </c>
      <c r="K472">
        <v>0</v>
      </c>
      <c r="L472">
        <v>-3.5314502716064449</v>
      </c>
      <c r="M472">
        <v>-0.13935340101314159</v>
      </c>
      <c r="N472">
        <v>-3.6700000762939449</v>
      </c>
      <c r="O472">
        <v>1.5900001525878911</v>
      </c>
      <c r="P472" s="156" t="s">
        <v>587</v>
      </c>
      <c r="Q472">
        <v>2022</v>
      </c>
    </row>
    <row r="473" spans="1:17" hidden="1" x14ac:dyDescent="0.35">
      <c r="A473" s="156" t="s">
        <v>664</v>
      </c>
      <c r="B473" s="22">
        <v>44927</v>
      </c>
      <c r="C473">
        <v>23.260000228881839</v>
      </c>
      <c r="D473">
        <v>24.829999923706051</v>
      </c>
      <c r="E473">
        <v>22.75</v>
      </c>
      <c r="F473">
        <v>24.75</v>
      </c>
      <c r="G473">
        <v>239200</v>
      </c>
      <c r="H473">
        <v>23.307582855224609</v>
      </c>
      <c r="I473" s="156" t="s">
        <v>663</v>
      </c>
      <c r="J473" s="22">
        <v>45544</v>
      </c>
      <c r="K473">
        <v>0</v>
      </c>
      <c r="L473">
        <v>1.4973316192626951</v>
      </c>
      <c r="M473">
        <v>6.8652856781670435E-2</v>
      </c>
      <c r="N473">
        <v>1.4899997711181641</v>
      </c>
      <c r="O473">
        <v>1.569999694824219</v>
      </c>
      <c r="P473" s="156" t="s">
        <v>583</v>
      </c>
      <c r="Q473">
        <v>2023</v>
      </c>
    </row>
    <row r="474" spans="1:17" hidden="1" x14ac:dyDescent="0.35">
      <c r="A474" s="156" t="s">
        <v>664</v>
      </c>
      <c r="B474" s="22">
        <v>44958</v>
      </c>
      <c r="C474">
        <v>24.95000076293945</v>
      </c>
      <c r="D474">
        <v>25.20000076293945</v>
      </c>
      <c r="E474">
        <v>22.45999908447266</v>
      </c>
      <c r="F474">
        <v>23</v>
      </c>
      <c r="G474">
        <v>322000</v>
      </c>
      <c r="H474">
        <v>21.659576416015621</v>
      </c>
      <c r="I474" s="156" t="s">
        <v>663</v>
      </c>
      <c r="J474" s="22">
        <v>45544</v>
      </c>
      <c r="K474">
        <v>0.2</v>
      </c>
      <c r="L474">
        <v>-1.6480064392089839</v>
      </c>
      <c r="M474">
        <v>-7.0707070707070718E-2</v>
      </c>
      <c r="N474">
        <v>-1.9500007629394529</v>
      </c>
      <c r="O474">
        <v>0.25</v>
      </c>
      <c r="P474" s="156" t="s">
        <v>581</v>
      </c>
      <c r="Q474">
        <v>2023</v>
      </c>
    </row>
    <row r="475" spans="1:17" hidden="1" x14ac:dyDescent="0.35">
      <c r="A475" s="156" t="s">
        <v>664</v>
      </c>
      <c r="B475" s="22">
        <v>44986</v>
      </c>
      <c r="C475">
        <v>23.20000076293945</v>
      </c>
      <c r="D475">
        <v>23.260000228881839</v>
      </c>
      <c r="E475">
        <v>19.10000038146973</v>
      </c>
      <c r="F475">
        <v>19.860000610351559</v>
      </c>
      <c r="G475">
        <v>481500</v>
      </c>
      <c r="H475">
        <v>18.854257583618161</v>
      </c>
      <c r="I475" s="156" t="s">
        <v>663</v>
      </c>
      <c r="J475" s="22">
        <v>45544</v>
      </c>
      <c r="K475">
        <v>0</v>
      </c>
      <c r="L475">
        <v>-2.8053188323974609</v>
      </c>
      <c r="M475">
        <v>-0.13652171259341031</v>
      </c>
      <c r="N475">
        <v>-3.3400001525878911</v>
      </c>
      <c r="O475">
        <v>5.9999465942382813E-2</v>
      </c>
      <c r="P475" s="156" t="s">
        <v>581</v>
      </c>
      <c r="Q475">
        <v>2023</v>
      </c>
    </row>
    <row r="476" spans="1:17" hidden="1" x14ac:dyDescent="0.35">
      <c r="A476" s="156" t="s">
        <v>664</v>
      </c>
      <c r="B476" s="22">
        <v>45017</v>
      </c>
      <c r="C476">
        <v>19.860000610351559</v>
      </c>
      <c r="D476">
        <v>20.70999908447266</v>
      </c>
      <c r="E476">
        <v>18.229999542236332</v>
      </c>
      <c r="F476">
        <v>19.170000076293949</v>
      </c>
      <c r="G476">
        <v>224200</v>
      </c>
      <c r="H476">
        <v>18.199197769165039</v>
      </c>
      <c r="I476" s="156" t="s">
        <v>663</v>
      </c>
      <c r="J476" s="22">
        <v>45544</v>
      </c>
      <c r="K476">
        <v>0</v>
      </c>
      <c r="L476">
        <v>-0.655059814453125</v>
      </c>
      <c r="M476">
        <v>-3.4743228240283641E-2</v>
      </c>
      <c r="N476">
        <v>-0.69000053405761719</v>
      </c>
      <c r="O476">
        <v>0.84999847412109375</v>
      </c>
      <c r="P476" s="156" t="s">
        <v>582</v>
      </c>
      <c r="Q476">
        <v>2023</v>
      </c>
    </row>
    <row r="477" spans="1:17" hidden="1" x14ac:dyDescent="0.35">
      <c r="A477" s="156" t="s">
        <v>664</v>
      </c>
      <c r="B477" s="22">
        <v>45047</v>
      </c>
      <c r="C477">
        <v>19.010000228881839</v>
      </c>
      <c r="D477">
        <v>19.10000038146973</v>
      </c>
      <c r="E477">
        <v>15.52000045776367</v>
      </c>
      <c r="F477">
        <v>18.10000038146973</v>
      </c>
      <c r="G477">
        <v>424300</v>
      </c>
      <c r="H477">
        <v>17.18338775634766</v>
      </c>
      <c r="I477" s="156" t="s">
        <v>663</v>
      </c>
      <c r="J477" s="22">
        <v>45544</v>
      </c>
      <c r="K477">
        <v>0.2</v>
      </c>
      <c r="L477">
        <v>-1.015810012817383</v>
      </c>
      <c r="M477">
        <v>-5.5816363618454212E-2</v>
      </c>
      <c r="N477">
        <v>-0.90999984741210938</v>
      </c>
      <c r="O477">
        <v>9.0000152587890625E-2</v>
      </c>
      <c r="P477" s="156" t="s">
        <v>585</v>
      </c>
      <c r="Q477">
        <v>2023</v>
      </c>
    </row>
    <row r="478" spans="1:17" hidden="1" x14ac:dyDescent="0.35">
      <c r="A478" s="156" t="s">
        <v>664</v>
      </c>
      <c r="B478" s="22">
        <v>45078</v>
      </c>
      <c r="C478">
        <v>18.229999542236332</v>
      </c>
      <c r="D478">
        <v>20.620000839233398</v>
      </c>
      <c r="E478">
        <v>17.620000839233398</v>
      </c>
      <c r="F478">
        <v>19.14999961853027</v>
      </c>
      <c r="G478">
        <v>378300</v>
      </c>
      <c r="H478">
        <v>18.406612396240231</v>
      </c>
      <c r="I478" s="156" t="s">
        <v>663</v>
      </c>
      <c r="J478" s="22">
        <v>45544</v>
      </c>
      <c r="K478">
        <v>0</v>
      </c>
      <c r="L478">
        <v>1.2232246398925779</v>
      </c>
      <c r="M478">
        <v>5.8011006349784733E-2</v>
      </c>
      <c r="N478">
        <v>0.92000007629394531</v>
      </c>
      <c r="O478">
        <v>2.3900012969970699</v>
      </c>
      <c r="P478" s="156" t="s">
        <v>587</v>
      </c>
      <c r="Q478">
        <v>2023</v>
      </c>
    </row>
    <row r="479" spans="1:17" hidden="1" x14ac:dyDescent="0.35">
      <c r="A479" s="156" t="s">
        <v>664</v>
      </c>
      <c r="B479" s="22">
        <v>45108</v>
      </c>
      <c r="C479">
        <v>19</v>
      </c>
      <c r="D479">
        <v>24.239999771118161</v>
      </c>
      <c r="E479">
        <v>18.579999923706051</v>
      </c>
      <c r="F479">
        <v>23.39999961853027</v>
      </c>
      <c r="G479">
        <v>394500</v>
      </c>
      <c r="H479">
        <v>22.491634368896481</v>
      </c>
      <c r="I479" s="156" t="s">
        <v>663</v>
      </c>
      <c r="J479" s="22">
        <v>45544</v>
      </c>
      <c r="K479">
        <v>0</v>
      </c>
      <c r="L479">
        <v>4.08502197265625</v>
      </c>
      <c r="M479">
        <v>0.2219321193034143</v>
      </c>
      <c r="N479">
        <v>4.3999996185302734</v>
      </c>
      <c r="O479">
        <v>5.2399997711181641</v>
      </c>
      <c r="P479" s="156" t="s">
        <v>582</v>
      </c>
      <c r="Q479">
        <v>2023</v>
      </c>
    </row>
    <row r="480" spans="1:17" hidden="1" x14ac:dyDescent="0.35">
      <c r="A480" s="156" t="s">
        <v>664</v>
      </c>
      <c r="B480" s="22">
        <v>45139</v>
      </c>
      <c r="C480">
        <v>23.25</v>
      </c>
      <c r="D480">
        <v>24.489999771118161</v>
      </c>
      <c r="E480">
        <v>21.39999961853027</v>
      </c>
      <c r="F480">
        <v>21.60000038146973</v>
      </c>
      <c r="G480">
        <v>385900</v>
      </c>
      <c r="H480">
        <v>20.761508941650391</v>
      </c>
      <c r="I480" s="156" t="s">
        <v>663</v>
      </c>
      <c r="J480" s="22">
        <v>45544</v>
      </c>
      <c r="K480">
        <v>0.2</v>
      </c>
      <c r="L480">
        <v>-1.730125427246094</v>
      </c>
      <c r="M480">
        <v>-7.6923045572835913E-2</v>
      </c>
      <c r="N480">
        <v>-1.649999618530273</v>
      </c>
      <c r="O480">
        <v>1.2399997711181641</v>
      </c>
      <c r="P480" s="156" t="s">
        <v>586</v>
      </c>
      <c r="Q480">
        <v>2023</v>
      </c>
    </row>
    <row r="481" spans="1:17" hidden="1" x14ac:dyDescent="0.35">
      <c r="A481" s="156" t="s">
        <v>664</v>
      </c>
      <c r="B481" s="22">
        <v>45170</v>
      </c>
      <c r="C481">
        <v>21.64999961853027</v>
      </c>
      <c r="D481">
        <v>22.909999847412109</v>
      </c>
      <c r="E481">
        <v>19.29999923706055</v>
      </c>
      <c r="F481">
        <v>21.010000228881839</v>
      </c>
      <c r="G481">
        <v>544400</v>
      </c>
      <c r="H481">
        <v>20.366645812988281</v>
      </c>
      <c r="I481" s="156" t="s">
        <v>663</v>
      </c>
      <c r="J481" s="22">
        <v>45544</v>
      </c>
      <c r="K481">
        <v>0</v>
      </c>
      <c r="L481">
        <v>-0.39486312866210938</v>
      </c>
      <c r="M481">
        <v>-2.7314821396671851E-2</v>
      </c>
      <c r="N481">
        <v>-0.6399993896484375</v>
      </c>
      <c r="O481">
        <v>1.2600002288818359</v>
      </c>
      <c r="P481" s="156" t="s">
        <v>584</v>
      </c>
      <c r="Q481">
        <v>2023</v>
      </c>
    </row>
    <row r="482" spans="1:17" hidden="1" x14ac:dyDescent="0.35">
      <c r="A482" s="156" t="s">
        <v>664</v>
      </c>
      <c r="B482" s="22">
        <v>45200</v>
      </c>
      <c r="C482">
        <v>20.610000610351559</v>
      </c>
      <c r="D482">
        <v>21.969999313354489</v>
      </c>
      <c r="E482">
        <v>20</v>
      </c>
      <c r="F482">
        <v>21.110000610351559</v>
      </c>
      <c r="G482">
        <v>305600</v>
      </c>
      <c r="H482">
        <v>20.463582992553711</v>
      </c>
      <c r="I482" s="156" t="s">
        <v>663</v>
      </c>
      <c r="J482" s="22">
        <v>45544</v>
      </c>
      <c r="K482">
        <v>0</v>
      </c>
      <c r="L482">
        <v>9.6937179565429688E-2</v>
      </c>
      <c r="M482">
        <v>4.7596563722192009E-3</v>
      </c>
      <c r="N482">
        <v>0.5</v>
      </c>
      <c r="O482">
        <v>1.3599987030029299</v>
      </c>
      <c r="P482" s="156" t="s">
        <v>583</v>
      </c>
      <c r="Q482">
        <v>2023</v>
      </c>
    </row>
    <row r="483" spans="1:17" hidden="1" x14ac:dyDescent="0.35">
      <c r="A483" s="156" t="s">
        <v>664</v>
      </c>
      <c r="B483" s="22">
        <v>45231</v>
      </c>
      <c r="C483">
        <v>20.85000038146973</v>
      </c>
      <c r="D483">
        <v>24.5</v>
      </c>
      <c r="E483">
        <v>20.809999465942379</v>
      </c>
      <c r="F483">
        <v>23.930000305175781</v>
      </c>
      <c r="G483">
        <v>334600</v>
      </c>
      <c r="H483">
        <v>23.197231292724609</v>
      </c>
      <c r="I483" s="156" t="s">
        <v>663</v>
      </c>
      <c r="J483" s="22">
        <v>45544</v>
      </c>
      <c r="K483">
        <v>0.2</v>
      </c>
      <c r="L483">
        <v>2.733648300170898</v>
      </c>
      <c r="M483">
        <v>0.13358595989056471</v>
      </c>
      <c r="N483">
        <v>3.0799999237060551</v>
      </c>
      <c r="O483">
        <v>3.649999618530273</v>
      </c>
      <c r="P483" s="156" t="s">
        <v>581</v>
      </c>
      <c r="Q483">
        <v>2023</v>
      </c>
    </row>
    <row r="484" spans="1:17" hidden="1" x14ac:dyDescent="0.35">
      <c r="A484" s="156" t="s">
        <v>664</v>
      </c>
      <c r="B484" s="22">
        <v>45261</v>
      </c>
      <c r="C484">
        <v>23.860000610351559</v>
      </c>
      <c r="D484">
        <v>29.79000091552734</v>
      </c>
      <c r="E484">
        <v>23.520000457763668</v>
      </c>
      <c r="F484">
        <v>29.5</v>
      </c>
      <c r="G484">
        <v>918400</v>
      </c>
      <c r="H484">
        <v>28.850187301635739</v>
      </c>
      <c r="I484" s="156" t="s">
        <v>663</v>
      </c>
      <c r="J484" s="22">
        <v>45544</v>
      </c>
      <c r="K484">
        <v>0</v>
      </c>
      <c r="L484">
        <v>5.6529560089111328</v>
      </c>
      <c r="M484">
        <v>0.23276220742962089</v>
      </c>
      <c r="N484">
        <v>5.6399993896484384</v>
      </c>
      <c r="O484">
        <v>5.9300003051757813</v>
      </c>
      <c r="P484" s="156" t="s">
        <v>584</v>
      </c>
      <c r="Q484">
        <v>2023</v>
      </c>
    </row>
    <row r="485" spans="1:17" hidden="1" x14ac:dyDescent="0.35">
      <c r="A485" s="156" t="s">
        <v>666</v>
      </c>
      <c r="B485" s="22">
        <v>43466</v>
      </c>
      <c r="C485">
        <v>65.330001831054688</v>
      </c>
      <c r="D485">
        <v>73.230003356933594</v>
      </c>
      <c r="E485">
        <v>64.680000305175781</v>
      </c>
      <c r="F485">
        <v>72.80999755859375</v>
      </c>
      <c r="G485">
        <v>5364000</v>
      </c>
      <c r="H485">
        <v>64.3494873046875</v>
      </c>
      <c r="I485" s="156" t="s">
        <v>665</v>
      </c>
      <c r="J485" s="22">
        <v>45544</v>
      </c>
      <c r="K485">
        <v>0.35</v>
      </c>
      <c r="N485">
        <v>7.4799957275390616</v>
      </c>
      <c r="O485">
        <v>7.9000015258789063</v>
      </c>
      <c r="P485" s="156" t="s">
        <v>586</v>
      </c>
      <c r="Q485">
        <v>2019</v>
      </c>
    </row>
    <row r="486" spans="1:17" hidden="1" x14ac:dyDescent="0.35">
      <c r="A486" s="156" t="s">
        <v>666</v>
      </c>
      <c r="B486" s="22">
        <v>43497</v>
      </c>
      <c r="C486">
        <v>72.879997253417969</v>
      </c>
      <c r="D486">
        <v>74.029998779296875</v>
      </c>
      <c r="E486">
        <v>68.5</v>
      </c>
      <c r="F486">
        <v>69.730003356933594</v>
      </c>
      <c r="G486">
        <v>5290700</v>
      </c>
      <c r="H486">
        <v>61.948276519775391</v>
      </c>
      <c r="I486" s="156" t="s">
        <v>665</v>
      </c>
      <c r="J486" s="22">
        <v>45544</v>
      </c>
      <c r="K486">
        <v>0</v>
      </c>
      <c r="L486">
        <v>-2.4012107849121089</v>
      </c>
      <c r="M486">
        <v>-4.2301803391512793E-2</v>
      </c>
      <c r="N486">
        <v>-3.149993896484375</v>
      </c>
      <c r="O486">
        <v>1.150001525878906</v>
      </c>
      <c r="P486" s="156" t="s">
        <v>584</v>
      </c>
      <c r="Q486">
        <v>2019</v>
      </c>
    </row>
    <row r="487" spans="1:17" hidden="1" x14ac:dyDescent="0.35">
      <c r="A487" s="156" t="s">
        <v>666</v>
      </c>
      <c r="B487" s="22">
        <v>43525</v>
      </c>
      <c r="C487">
        <v>69.860000610351563</v>
      </c>
      <c r="D487">
        <v>69.860000610351563</v>
      </c>
      <c r="E487">
        <v>64.120002746582031</v>
      </c>
      <c r="F487">
        <v>65.980003356933594</v>
      </c>
      <c r="G487">
        <v>7909700</v>
      </c>
      <c r="H487">
        <v>58.616767883300781</v>
      </c>
      <c r="I487" s="156" t="s">
        <v>665</v>
      </c>
      <c r="J487" s="22">
        <v>45544</v>
      </c>
      <c r="K487">
        <v>0</v>
      </c>
      <c r="L487">
        <v>-3.3315086364746089</v>
      </c>
      <c r="M487">
        <v>-5.3778858733227297E-2</v>
      </c>
      <c r="N487">
        <v>-3.8799972534179692</v>
      </c>
      <c r="O487">
        <v>0</v>
      </c>
      <c r="P487" s="156" t="s">
        <v>584</v>
      </c>
      <c r="Q487">
        <v>2019</v>
      </c>
    </row>
    <row r="488" spans="1:17" hidden="1" x14ac:dyDescent="0.35">
      <c r="A488" s="156" t="s">
        <v>666</v>
      </c>
      <c r="B488" s="22">
        <v>43556</v>
      </c>
      <c r="C488">
        <v>66.400001525878906</v>
      </c>
      <c r="D488">
        <v>69.889999389648438</v>
      </c>
      <c r="E488">
        <v>64.620002746582031</v>
      </c>
      <c r="F488">
        <v>65.389999389648438</v>
      </c>
      <c r="G488">
        <v>5839200</v>
      </c>
      <c r="H488">
        <v>58.092601776123047</v>
      </c>
      <c r="I488" s="156" t="s">
        <v>665</v>
      </c>
      <c r="J488" s="22">
        <v>45544</v>
      </c>
      <c r="K488">
        <v>0.35</v>
      </c>
      <c r="L488">
        <v>-0.52416610717773438</v>
      </c>
      <c r="M488">
        <v>-8.9421633414202839E-3</v>
      </c>
      <c r="N488">
        <v>-1.010002136230469</v>
      </c>
      <c r="O488">
        <v>3.4899978637695308</v>
      </c>
      <c r="P488" s="156" t="s">
        <v>585</v>
      </c>
      <c r="Q488">
        <v>2019</v>
      </c>
    </row>
    <row r="489" spans="1:17" hidden="1" x14ac:dyDescent="0.35">
      <c r="A489" s="156" t="s">
        <v>666</v>
      </c>
      <c r="B489" s="22">
        <v>43586</v>
      </c>
      <c r="C489">
        <v>65.430000305175781</v>
      </c>
      <c r="D489">
        <v>72.660003662109375</v>
      </c>
      <c r="E489">
        <v>62.430000305175781</v>
      </c>
      <c r="F489">
        <v>63.520000457763672</v>
      </c>
      <c r="G489">
        <v>11417400</v>
      </c>
      <c r="H489">
        <v>56.720428466796882</v>
      </c>
      <c r="I489" s="156" t="s">
        <v>665</v>
      </c>
      <c r="J489" s="22">
        <v>45544</v>
      </c>
      <c r="K489">
        <v>0</v>
      </c>
      <c r="L489">
        <v>-1.3721733093261721</v>
      </c>
      <c r="M489">
        <v>-2.8597628832227721E-2</v>
      </c>
      <c r="N489">
        <v>-1.9099998474121089</v>
      </c>
      <c r="O489">
        <v>7.2300033569335938</v>
      </c>
      <c r="P489" s="156" t="s">
        <v>581</v>
      </c>
      <c r="Q489">
        <v>2019</v>
      </c>
    </row>
    <row r="490" spans="1:17" hidden="1" x14ac:dyDescent="0.35">
      <c r="A490" s="156" t="s">
        <v>666</v>
      </c>
      <c r="B490" s="22">
        <v>43617</v>
      </c>
      <c r="C490">
        <v>63.520000457763672</v>
      </c>
      <c r="D490">
        <v>66.680000305175781</v>
      </c>
      <c r="E490">
        <v>62.540000915527337</v>
      </c>
      <c r="F490">
        <v>64.400001525878906</v>
      </c>
      <c r="G490">
        <v>7484900</v>
      </c>
      <c r="H490">
        <v>57.506233215332031</v>
      </c>
      <c r="I490" s="156" t="s">
        <v>665</v>
      </c>
      <c r="J490" s="22">
        <v>45544</v>
      </c>
      <c r="K490">
        <v>0</v>
      </c>
      <c r="L490">
        <v>0.78580474853515625</v>
      </c>
      <c r="M490">
        <v>1.385392099769223E-2</v>
      </c>
      <c r="N490">
        <v>0.88000106811523438</v>
      </c>
      <c r="O490">
        <v>3.1599998474121089</v>
      </c>
      <c r="P490" s="156" t="s">
        <v>582</v>
      </c>
      <c r="Q490">
        <v>2019</v>
      </c>
    </row>
    <row r="491" spans="1:17" hidden="1" x14ac:dyDescent="0.35">
      <c r="A491" s="156" t="s">
        <v>666</v>
      </c>
      <c r="B491" s="22">
        <v>43647</v>
      </c>
      <c r="C491">
        <v>65.30999755859375</v>
      </c>
      <c r="D491">
        <v>66.949996948242188</v>
      </c>
      <c r="E491">
        <v>63.529998779296882</v>
      </c>
      <c r="F491">
        <v>64.430000305175781</v>
      </c>
      <c r="G491">
        <v>6069600</v>
      </c>
      <c r="H491">
        <v>57.533012390136719</v>
      </c>
      <c r="I491" s="156" t="s">
        <v>665</v>
      </c>
      <c r="J491" s="22">
        <v>45544</v>
      </c>
      <c r="K491">
        <v>0.35</v>
      </c>
      <c r="L491">
        <v>2.67791748046875E-2</v>
      </c>
      <c r="M491">
        <v>4.6581954326230251E-4</v>
      </c>
      <c r="N491">
        <v>-0.87999725341796875</v>
      </c>
      <c r="O491">
        <v>1.6399993896484379</v>
      </c>
      <c r="P491" s="156" t="s">
        <v>585</v>
      </c>
      <c r="Q491">
        <v>2019</v>
      </c>
    </row>
    <row r="492" spans="1:17" hidden="1" x14ac:dyDescent="0.35">
      <c r="A492" s="156" t="s">
        <v>666</v>
      </c>
      <c r="B492" s="22">
        <v>43678</v>
      </c>
      <c r="C492">
        <v>64.660003662109375</v>
      </c>
      <c r="D492">
        <v>66</v>
      </c>
      <c r="E492">
        <v>47.020000457763672</v>
      </c>
      <c r="F492">
        <v>49.169998168945313</v>
      </c>
      <c r="G492">
        <v>10848700</v>
      </c>
      <c r="H492">
        <v>44.146804809570313</v>
      </c>
      <c r="I492" s="156" t="s">
        <v>665</v>
      </c>
      <c r="J492" s="22">
        <v>45544</v>
      </c>
      <c r="K492">
        <v>0</v>
      </c>
      <c r="L492">
        <v>-13.38620758056641</v>
      </c>
      <c r="M492">
        <v>-0.23684622169720221</v>
      </c>
      <c r="N492">
        <v>-15.490005493164061</v>
      </c>
      <c r="O492">
        <v>1.339996337890625</v>
      </c>
      <c r="P492" s="156" t="s">
        <v>587</v>
      </c>
      <c r="Q492">
        <v>2019</v>
      </c>
    </row>
    <row r="493" spans="1:17" hidden="1" x14ac:dyDescent="0.35">
      <c r="A493" s="156" t="s">
        <v>666</v>
      </c>
      <c r="B493" s="22">
        <v>43709</v>
      </c>
      <c r="C493">
        <v>48.849998474121087</v>
      </c>
      <c r="D493">
        <v>56.299999237060547</v>
      </c>
      <c r="E493">
        <v>48.240001678466797</v>
      </c>
      <c r="F493">
        <v>52.470001220703118</v>
      </c>
      <c r="G493">
        <v>6347800</v>
      </c>
      <c r="H493">
        <v>47.10968017578125</v>
      </c>
      <c r="I493" s="156" t="s">
        <v>665</v>
      </c>
      <c r="J493" s="22">
        <v>45544</v>
      </c>
      <c r="K493">
        <v>0</v>
      </c>
      <c r="L493">
        <v>2.9628753662109379</v>
      </c>
      <c r="M493">
        <v>6.7114158524456125E-2</v>
      </c>
      <c r="N493">
        <v>3.6200027465820308</v>
      </c>
      <c r="O493">
        <v>7.4500007629394531</v>
      </c>
      <c r="P493" s="156" t="s">
        <v>583</v>
      </c>
      <c r="Q493">
        <v>2019</v>
      </c>
    </row>
    <row r="494" spans="1:17" hidden="1" x14ac:dyDescent="0.35">
      <c r="A494" s="156" t="s">
        <v>666</v>
      </c>
      <c r="B494" s="22">
        <v>43739</v>
      </c>
      <c r="C494">
        <v>52.590000152587891</v>
      </c>
      <c r="D494">
        <v>57.569999694824219</v>
      </c>
      <c r="E494">
        <v>49.840000152587891</v>
      </c>
      <c r="F494">
        <v>53.630001068115227</v>
      </c>
      <c r="G494">
        <v>6660100</v>
      </c>
      <c r="H494">
        <v>48.151176452636719</v>
      </c>
      <c r="I494" s="156" t="s">
        <v>665</v>
      </c>
      <c r="J494" s="22">
        <v>45544</v>
      </c>
      <c r="K494">
        <v>0.35</v>
      </c>
      <c r="L494">
        <v>1.041496276855469</v>
      </c>
      <c r="M494">
        <v>2.210786774204232E-2</v>
      </c>
      <c r="N494">
        <v>1.040000915527344</v>
      </c>
      <c r="O494">
        <v>4.9799995422363281</v>
      </c>
      <c r="P494" s="156" t="s">
        <v>586</v>
      </c>
      <c r="Q494">
        <v>2019</v>
      </c>
    </row>
    <row r="495" spans="1:17" hidden="1" x14ac:dyDescent="0.35">
      <c r="A495" s="156" t="s">
        <v>666</v>
      </c>
      <c r="B495" s="22">
        <v>43770</v>
      </c>
      <c r="C495">
        <v>54.630001068115227</v>
      </c>
      <c r="D495">
        <v>60.330001831054688</v>
      </c>
      <c r="E495">
        <v>54.240001678466797</v>
      </c>
      <c r="F495">
        <v>56.799999237060547</v>
      </c>
      <c r="G495">
        <v>5663700</v>
      </c>
      <c r="H495">
        <v>51.342906951904297</v>
      </c>
      <c r="I495" s="156" t="s">
        <v>665</v>
      </c>
      <c r="J495" s="22">
        <v>45544</v>
      </c>
      <c r="K495">
        <v>0</v>
      </c>
      <c r="L495">
        <v>3.1917304992675781</v>
      </c>
      <c r="M495">
        <v>5.9108672493202397E-2</v>
      </c>
      <c r="N495">
        <v>2.1699981689453121</v>
      </c>
      <c r="O495">
        <v>5.7000007629394531</v>
      </c>
      <c r="P495" s="156" t="s">
        <v>584</v>
      </c>
      <c r="Q495">
        <v>2019</v>
      </c>
    </row>
    <row r="496" spans="1:17" hidden="1" x14ac:dyDescent="0.35">
      <c r="A496" s="156" t="s">
        <v>666</v>
      </c>
      <c r="B496" s="22">
        <v>43800</v>
      </c>
      <c r="C496">
        <v>57.040000915527337</v>
      </c>
      <c r="D496">
        <v>57.650001525878913</v>
      </c>
      <c r="E496">
        <v>52.849998474121087</v>
      </c>
      <c r="F496">
        <v>54.490001678466797</v>
      </c>
      <c r="G496">
        <v>5672600</v>
      </c>
      <c r="H496">
        <v>49.254848480224609</v>
      </c>
      <c r="I496" s="156" t="s">
        <v>665</v>
      </c>
      <c r="J496" s="22">
        <v>45544</v>
      </c>
      <c r="K496">
        <v>0</v>
      </c>
      <c r="L496">
        <v>-2.0880584716796879</v>
      </c>
      <c r="M496">
        <v>-4.0668971648269547E-2</v>
      </c>
      <c r="N496">
        <v>-2.5499992370605469</v>
      </c>
      <c r="O496">
        <v>0.6100006103515625</v>
      </c>
      <c r="P496" s="156" t="s">
        <v>583</v>
      </c>
      <c r="Q496">
        <v>2019</v>
      </c>
    </row>
    <row r="497" spans="1:17" hidden="1" x14ac:dyDescent="0.35">
      <c r="A497" s="156" t="s">
        <v>666</v>
      </c>
      <c r="B497" s="22">
        <v>43831</v>
      </c>
      <c r="C497">
        <v>55.049999237060547</v>
      </c>
      <c r="D497">
        <v>60.25</v>
      </c>
      <c r="E497">
        <v>53.369998931884773</v>
      </c>
      <c r="F497">
        <v>55.25</v>
      </c>
      <c r="G497">
        <v>4933900</v>
      </c>
      <c r="H497">
        <v>49.941825866699219</v>
      </c>
      <c r="I497" s="156" t="s">
        <v>665</v>
      </c>
      <c r="J497" s="22">
        <v>45544</v>
      </c>
      <c r="K497">
        <v>0.35</v>
      </c>
      <c r="L497">
        <v>0.68697738647460938</v>
      </c>
      <c r="M497">
        <v>1.394748207235863E-2</v>
      </c>
      <c r="N497">
        <v>0.2000007629394531</v>
      </c>
      <c r="O497">
        <v>5.2000007629394531</v>
      </c>
      <c r="P497" s="156" t="s">
        <v>581</v>
      </c>
      <c r="Q497">
        <v>2020</v>
      </c>
    </row>
    <row r="498" spans="1:17" hidden="1" x14ac:dyDescent="0.35">
      <c r="A498" s="156" t="s">
        <v>666</v>
      </c>
      <c r="B498" s="22">
        <v>43862</v>
      </c>
      <c r="C498">
        <v>55.880001068115227</v>
      </c>
      <c r="D498">
        <v>64.220001220703125</v>
      </c>
      <c r="E498">
        <v>50.830001831054688</v>
      </c>
      <c r="F498">
        <v>52.889999389648438</v>
      </c>
      <c r="G498">
        <v>4816300</v>
      </c>
      <c r="H498">
        <v>48.119007110595703</v>
      </c>
      <c r="I498" s="156" t="s">
        <v>665</v>
      </c>
      <c r="J498" s="22">
        <v>45544</v>
      </c>
      <c r="K498">
        <v>0</v>
      </c>
      <c r="L498">
        <v>-1.8228187561035161</v>
      </c>
      <c r="M498">
        <v>-4.2714943173783881E-2</v>
      </c>
      <c r="N498">
        <v>-2.9900016784667969</v>
      </c>
      <c r="O498">
        <v>8.3400001525878906</v>
      </c>
      <c r="P498" s="156" t="s">
        <v>582</v>
      </c>
      <c r="Q498">
        <v>2020</v>
      </c>
    </row>
    <row r="499" spans="1:17" hidden="1" x14ac:dyDescent="0.35">
      <c r="A499" s="156" t="s">
        <v>666</v>
      </c>
      <c r="B499" s="22">
        <v>43891</v>
      </c>
      <c r="C499">
        <v>53.340000152587891</v>
      </c>
      <c r="D499">
        <v>55.430000305175781</v>
      </c>
      <c r="E499">
        <v>31.04000091552734</v>
      </c>
      <c r="F499">
        <v>44.630001068115227</v>
      </c>
      <c r="G499">
        <v>7393900</v>
      </c>
      <c r="H499">
        <v>40.604110717773438</v>
      </c>
      <c r="I499" s="156" t="s">
        <v>665</v>
      </c>
      <c r="J499" s="22">
        <v>45544</v>
      </c>
      <c r="K499">
        <v>0</v>
      </c>
      <c r="L499">
        <v>-7.5148963928222656</v>
      </c>
      <c r="M499">
        <v>-0.15617315970606421</v>
      </c>
      <c r="N499">
        <v>-8.7099990844726563</v>
      </c>
      <c r="O499">
        <v>2.0900001525878911</v>
      </c>
      <c r="P499" s="156" t="s">
        <v>583</v>
      </c>
      <c r="Q499">
        <v>2020</v>
      </c>
    </row>
    <row r="500" spans="1:17" hidden="1" x14ac:dyDescent="0.35">
      <c r="A500" s="156" t="s">
        <v>666</v>
      </c>
      <c r="B500" s="22">
        <v>43922</v>
      </c>
      <c r="C500">
        <v>43.009998321533203</v>
      </c>
      <c r="D500">
        <v>62.659999847412109</v>
      </c>
      <c r="E500">
        <v>41.610000610351563</v>
      </c>
      <c r="F500">
        <v>57.770000457763672</v>
      </c>
      <c r="G500">
        <v>5524000</v>
      </c>
      <c r="H500">
        <v>52.558803558349609</v>
      </c>
      <c r="I500" s="156" t="s">
        <v>665</v>
      </c>
      <c r="J500" s="22">
        <v>45544</v>
      </c>
      <c r="K500">
        <v>0.35</v>
      </c>
      <c r="L500">
        <v>11.95469284057617</v>
      </c>
      <c r="M500">
        <v>0.29442077246634829</v>
      </c>
      <c r="N500">
        <v>14.760002136230471</v>
      </c>
      <c r="O500">
        <v>19.65000152587891</v>
      </c>
      <c r="P500" s="156" t="s">
        <v>581</v>
      </c>
      <c r="Q500">
        <v>2020</v>
      </c>
    </row>
    <row r="501" spans="1:17" hidden="1" x14ac:dyDescent="0.35">
      <c r="A501" s="156" t="s">
        <v>666</v>
      </c>
      <c r="B501" s="22">
        <v>43952</v>
      </c>
      <c r="C501">
        <v>56.110000610351563</v>
      </c>
      <c r="D501">
        <v>60.459999084472663</v>
      </c>
      <c r="E501">
        <v>51.310001373291023</v>
      </c>
      <c r="F501">
        <v>54.970001220703118</v>
      </c>
      <c r="G501">
        <v>4816900</v>
      </c>
      <c r="H501">
        <v>50.39898681640625</v>
      </c>
      <c r="I501" s="156" t="s">
        <v>665</v>
      </c>
      <c r="J501" s="22">
        <v>45544</v>
      </c>
      <c r="K501">
        <v>0</v>
      </c>
      <c r="L501">
        <v>-2.1598167419433589</v>
      </c>
      <c r="M501">
        <v>-4.8468049417926817E-2</v>
      </c>
      <c r="N501">
        <v>-1.1399993896484379</v>
      </c>
      <c r="O501">
        <v>4.3499984741210938</v>
      </c>
      <c r="P501" s="156" t="s">
        <v>584</v>
      </c>
      <c r="Q501">
        <v>2020</v>
      </c>
    </row>
    <row r="502" spans="1:17" hidden="1" x14ac:dyDescent="0.35">
      <c r="A502" s="156" t="s">
        <v>666</v>
      </c>
      <c r="B502" s="22">
        <v>43983</v>
      </c>
      <c r="C502">
        <v>54.950000762939453</v>
      </c>
      <c r="D502">
        <v>60.729999542236328</v>
      </c>
      <c r="E502">
        <v>52.889999389648438</v>
      </c>
      <c r="F502">
        <v>56.630001068115227</v>
      </c>
      <c r="G502">
        <v>5868500</v>
      </c>
      <c r="H502">
        <v>51.920951843261719</v>
      </c>
      <c r="I502" s="156" t="s">
        <v>665</v>
      </c>
      <c r="J502" s="22">
        <v>45544</v>
      </c>
      <c r="K502">
        <v>0</v>
      </c>
      <c r="L502">
        <v>1.521965026855469</v>
      </c>
      <c r="M502">
        <v>3.0198286529906641E-2</v>
      </c>
      <c r="N502">
        <v>1.680000305175781</v>
      </c>
      <c r="O502">
        <v>5.779998779296875</v>
      </c>
      <c r="P502" s="156" t="s">
        <v>585</v>
      </c>
      <c r="Q502">
        <v>2020</v>
      </c>
    </row>
    <row r="503" spans="1:17" hidden="1" x14ac:dyDescent="0.35">
      <c r="A503" s="156" t="s">
        <v>666</v>
      </c>
      <c r="B503" s="22">
        <v>44013</v>
      </c>
      <c r="C503">
        <v>56.540000915527337</v>
      </c>
      <c r="D503">
        <v>61.310001373291023</v>
      </c>
      <c r="E503">
        <v>54.619998931884773</v>
      </c>
      <c r="F503">
        <v>60.020000457763672</v>
      </c>
      <c r="G503">
        <v>4032100</v>
      </c>
      <c r="H503">
        <v>55.029045104980469</v>
      </c>
      <c r="I503" s="156" t="s">
        <v>665</v>
      </c>
      <c r="J503" s="22">
        <v>45544</v>
      </c>
      <c r="K503">
        <v>0.35</v>
      </c>
      <c r="L503">
        <v>3.10809326171875</v>
      </c>
      <c r="M503">
        <v>5.9862251910800968E-2</v>
      </c>
      <c r="N503">
        <v>3.4799995422363281</v>
      </c>
      <c r="O503">
        <v>4.7700004577636719</v>
      </c>
      <c r="P503" s="156" t="s">
        <v>581</v>
      </c>
      <c r="Q503">
        <v>2020</v>
      </c>
    </row>
    <row r="504" spans="1:17" hidden="1" x14ac:dyDescent="0.35">
      <c r="A504" s="156" t="s">
        <v>666</v>
      </c>
      <c r="B504" s="22">
        <v>44044</v>
      </c>
      <c r="C504">
        <v>60.779998779296882</v>
      </c>
      <c r="D504">
        <v>67.05999755859375</v>
      </c>
      <c r="E504">
        <v>60.450000762939453</v>
      </c>
      <c r="F504">
        <v>61.150001525878913</v>
      </c>
      <c r="G504">
        <v>3572000</v>
      </c>
      <c r="H504">
        <v>56.402534484863281</v>
      </c>
      <c r="I504" s="156" t="s">
        <v>665</v>
      </c>
      <c r="J504" s="22">
        <v>45544</v>
      </c>
      <c r="K504">
        <v>0</v>
      </c>
      <c r="L504">
        <v>1.3734893798828121</v>
      </c>
      <c r="M504">
        <v>1.8827075299848062E-2</v>
      </c>
      <c r="N504">
        <v>0.37000274658203119</v>
      </c>
      <c r="O504">
        <v>6.279998779296875</v>
      </c>
      <c r="P504" s="156" t="s">
        <v>582</v>
      </c>
      <c r="Q504">
        <v>2020</v>
      </c>
    </row>
    <row r="505" spans="1:17" hidden="1" x14ac:dyDescent="0.35">
      <c r="A505" s="156" t="s">
        <v>666</v>
      </c>
      <c r="B505" s="22">
        <v>44075</v>
      </c>
      <c r="C505">
        <v>61.130001068115227</v>
      </c>
      <c r="D505">
        <v>63.180000305175781</v>
      </c>
      <c r="E505">
        <v>54.849998474121087</v>
      </c>
      <c r="F505">
        <v>57.060001373291023</v>
      </c>
      <c r="G505">
        <v>3728900</v>
      </c>
      <c r="H505">
        <v>52.63006591796875</v>
      </c>
      <c r="I505" s="156" t="s">
        <v>665</v>
      </c>
      <c r="J505" s="22">
        <v>45544</v>
      </c>
      <c r="K505">
        <v>0</v>
      </c>
      <c r="L505">
        <v>-3.7724685668945308</v>
      </c>
      <c r="M505">
        <v>-6.6884710556499138E-2</v>
      </c>
      <c r="N505">
        <v>-4.0699996948242188</v>
      </c>
      <c r="O505">
        <v>2.0499992370605469</v>
      </c>
      <c r="P505" s="156" t="s">
        <v>586</v>
      </c>
      <c r="Q505">
        <v>2020</v>
      </c>
    </row>
    <row r="506" spans="1:17" hidden="1" x14ac:dyDescent="0.35">
      <c r="A506" s="156" t="s">
        <v>666</v>
      </c>
      <c r="B506" s="22">
        <v>44105</v>
      </c>
      <c r="C506">
        <v>57.299999237060547</v>
      </c>
      <c r="D506">
        <v>61.900001525878913</v>
      </c>
      <c r="E506">
        <v>55.380001068115227</v>
      </c>
      <c r="F506">
        <v>55.979999542236328</v>
      </c>
      <c r="G506">
        <v>2940200</v>
      </c>
      <c r="H506">
        <v>51.633914947509773</v>
      </c>
      <c r="I506" s="156" t="s">
        <v>665</v>
      </c>
      <c r="J506" s="22">
        <v>45544</v>
      </c>
      <c r="K506">
        <v>0.35</v>
      </c>
      <c r="L506">
        <v>-0.99615097045898438</v>
      </c>
      <c r="M506">
        <v>-1.8927476429403289E-2</v>
      </c>
      <c r="N506">
        <v>-1.319999694824219</v>
      </c>
      <c r="O506">
        <v>4.6000022888183594</v>
      </c>
      <c r="P506" s="156" t="s">
        <v>587</v>
      </c>
      <c r="Q506">
        <v>2020</v>
      </c>
    </row>
    <row r="507" spans="1:17" hidden="1" x14ac:dyDescent="0.35">
      <c r="A507" s="156" t="s">
        <v>666</v>
      </c>
      <c r="B507" s="22">
        <v>44136</v>
      </c>
      <c r="C507">
        <v>55.919998168945313</v>
      </c>
      <c r="D507">
        <v>63.439998626708977</v>
      </c>
      <c r="E507">
        <v>54.369998931884773</v>
      </c>
      <c r="F507">
        <v>59.909999847412109</v>
      </c>
      <c r="G507">
        <v>3174100</v>
      </c>
      <c r="H507">
        <v>55.573577880859382</v>
      </c>
      <c r="I507" s="156" t="s">
        <v>665</v>
      </c>
      <c r="J507" s="22">
        <v>45544</v>
      </c>
      <c r="K507">
        <v>0</v>
      </c>
      <c r="L507">
        <v>3.9396629333496089</v>
      </c>
      <c r="M507">
        <v>7.0203650184216926E-2</v>
      </c>
      <c r="N507">
        <v>3.9900016784667969</v>
      </c>
      <c r="O507">
        <v>7.5200004577636719</v>
      </c>
      <c r="P507" s="156" t="s">
        <v>583</v>
      </c>
      <c r="Q507">
        <v>2020</v>
      </c>
    </row>
    <row r="508" spans="1:17" hidden="1" x14ac:dyDescent="0.35">
      <c r="A508" s="156" t="s">
        <v>666</v>
      </c>
      <c r="B508" s="22">
        <v>44166</v>
      </c>
      <c r="C508">
        <v>60.830001831054688</v>
      </c>
      <c r="D508">
        <v>63.740001678466797</v>
      </c>
      <c r="E508">
        <v>59.5</v>
      </c>
      <c r="F508">
        <v>60.680000305175781</v>
      </c>
      <c r="G508">
        <v>3137300</v>
      </c>
      <c r="H508">
        <v>56.287864685058587</v>
      </c>
      <c r="I508" s="156" t="s">
        <v>665</v>
      </c>
      <c r="J508" s="22">
        <v>45544</v>
      </c>
      <c r="K508">
        <v>0</v>
      </c>
      <c r="L508">
        <v>0.71428680419921875</v>
      </c>
      <c r="M508">
        <v>1.2852619925301619E-2</v>
      </c>
      <c r="N508">
        <v>-0.15000152587890619</v>
      </c>
      <c r="O508">
        <v>2.9099998474121089</v>
      </c>
      <c r="P508" s="156" t="s">
        <v>586</v>
      </c>
      <c r="Q508">
        <v>2020</v>
      </c>
    </row>
    <row r="509" spans="1:17" hidden="1" x14ac:dyDescent="0.35">
      <c r="A509" s="156" t="s">
        <v>666</v>
      </c>
      <c r="B509" s="22">
        <v>44197</v>
      </c>
      <c r="C509">
        <v>61.189998626708977</v>
      </c>
      <c r="D509">
        <v>68.360000610351563</v>
      </c>
      <c r="E509">
        <v>59.930000305175781</v>
      </c>
      <c r="F509">
        <v>64.209999084472656</v>
      </c>
      <c r="G509">
        <v>4433200</v>
      </c>
      <c r="H509">
        <v>59.562339782714837</v>
      </c>
      <c r="I509" s="156" t="s">
        <v>665</v>
      </c>
      <c r="J509" s="22">
        <v>45544</v>
      </c>
      <c r="K509">
        <v>0.35</v>
      </c>
      <c r="L509">
        <v>3.27447509765625</v>
      </c>
      <c r="M509">
        <v>5.81740072765915E-2</v>
      </c>
      <c r="N509">
        <v>3.0200004577636719</v>
      </c>
      <c r="O509">
        <v>7.1700019836425781</v>
      </c>
      <c r="P509" s="156" t="s">
        <v>584</v>
      </c>
      <c r="Q509">
        <v>2021</v>
      </c>
    </row>
    <row r="510" spans="1:17" hidden="1" x14ac:dyDescent="0.35">
      <c r="A510" s="156" t="s">
        <v>666</v>
      </c>
      <c r="B510" s="22">
        <v>44228</v>
      </c>
      <c r="C510">
        <v>65.029998779296875</v>
      </c>
      <c r="D510">
        <v>69</v>
      </c>
      <c r="E510">
        <v>63.009998321533203</v>
      </c>
      <c r="F510">
        <v>63.369998931884773</v>
      </c>
      <c r="G510">
        <v>3867600</v>
      </c>
      <c r="H510">
        <v>59.100994110107422</v>
      </c>
      <c r="I510" s="156" t="s">
        <v>665</v>
      </c>
      <c r="J510" s="22">
        <v>45544</v>
      </c>
      <c r="K510">
        <v>0</v>
      </c>
      <c r="L510">
        <v>-0.46134567260742188</v>
      </c>
      <c r="M510">
        <v>-1.3082077006149939E-2</v>
      </c>
      <c r="N510">
        <v>-1.6599998474121089</v>
      </c>
      <c r="O510">
        <v>3.970001220703125</v>
      </c>
      <c r="P510" s="156" t="s">
        <v>585</v>
      </c>
      <c r="Q510">
        <v>2021</v>
      </c>
    </row>
    <row r="511" spans="1:17" hidden="1" x14ac:dyDescent="0.35">
      <c r="A511" s="156" t="s">
        <v>666</v>
      </c>
      <c r="B511" s="22">
        <v>44256</v>
      </c>
      <c r="C511">
        <v>64.599998474121094</v>
      </c>
      <c r="D511">
        <v>69.019996643066406</v>
      </c>
      <c r="E511">
        <v>60.020000457763672</v>
      </c>
      <c r="F511">
        <v>63.450000762939453</v>
      </c>
      <c r="G511">
        <v>5440800</v>
      </c>
      <c r="H511">
        <v>59.17559814453125</v>
      </c>
      <c r="I511" s="156" t="s">
        <v>665</v>
      </c>
      <c r="J511" s="22">
        <v>45544</v>
      </c>
      <c r="K511">
        <v>0</v>
      </c>
      <c r="L511">
        <v>7.4604034423828125E-2</v>
      </c>
      <c r="M511">
        <v>1.2624559318783479E-3</v>
      </c>
      <c r="N511">
        <v>-1.1499977111816411</v>
      </c>
      <c r="O511">
        <v>4.4199981689453116</v>
      </c>
      <c r="P511" s="156" t="s">
        <v>585</v>
      </c>
      <c r="Q511">
        <v>2021</v>
      </c>
    </row>
    <row r="512" spans="1:17" hidden="1" x14ac:dyDescent="0.35">
      <c r="A512" s="156" t="s">
        <v>666</v>
      </c>
      <c r="B512" s="22">
        <v>44287</v>
      </c>
      <c r="C512">
        <v>63.740001678466797</v>
      </c>
      <c r="D512">
        <v>74.199996948242188</v>
      </c>
      <c r="E512">
        <v>63.740001678466797</v>
      </c>
      <c r="F512">
        <v>69.419998168945313</v>
      </c>
      <c r="G512">
        <v>13180600</v>
      </c>
      <c r="H512">
        <v>64.743446350097656</v>
      </c>
      <c r="I512" s="156" t="s">
        <v>665</v>
      </c>
      <c r="J512" s="22">
        <v>45544</v>
      </c>
      <c r="K512">
        <v>0.35</v>
      </c>
      <c r="L512">
        <v>5.5678482055664063</v>
      </c>
      <c r="M512">
        <v>9.4089792501513614E-2</v>
      </c>
      <c r="N512">
        <v>5.6799964904785156</v>
      </c>
      <c r="O512">
        <v>10.459995269775391</v>
      </c>
      <c r="P512" s="156" t="s">
        <v>587</v>
      </c>
      <c r="Q512">
        <v>2021</v>
      </c>
    </row>
    <row r="513" spans="1:17" hidden="1" x14ac:dyDescent="0.35">
      <c r="A513" s="156" t="s">
        <v>666</v>
      </c>
      <c r="B513" s="22">
        <v>44317</v>
      </c>
      <c r="C513">
        <v>69.970001220703125</v>
      </c>
      <c r="D513">
        <v>81.75</v>
      </c>
      <c r="E513">
        <v>67.430000305175781</v>
      </c>
      <c r="F513">
        <v>80.779998779296875</v>
      </c>
      <c r="G513">
        <v>5066800</v>
      </c>
      <c r="H513">
        <v>75.712120056152344</v>
      </c>
      <c r="I513" s="156" t="s">
        <v>665</v>
      </c>
      <c r="J513" s="22">
        <v>45544</v>
      </c>
      <c r="K513">
        <v>0</v>
      </c>
      <c r="L513">
        <v>10.968673706054689</v>
      </c>
      <c r="M513">
        <v>0.16364161495229479</v>
      </c>
      <c r="N513">
        <v>10.80999755859375</v>
      </c>
      <c r="O513">
        <v>11.77999877929688</v>
      </c>
      <c r="P513" s="156" t="s">
        <v>582</v>
      </c>
      <c r="Q513">
        <v>2021</v>
      </c>
    </row>
    <row r="514" spans="1:17" hidden="1" x14ac:dyDescent="0.35">
      <c r="A514" s="156" t="s">
        <v>666</v>
      </c>
      <c r="B514" s="22">
        <v>44348</v>
      </c>
      <c r="C514">
        <v>82.199996948242188</v>
      </c>
      <c r="D514">
        <v>85.75</v>
      </c>
      <c r="E514">
        <v>72.25</v>
      </c>
      <c r="F514">
        <v>73.029998779296875</v>
      </c>
      <c r="G514">
        <v>5854700</v>
      </c>
      <c r="H514">
        <v>68.448326110839844</v>
      </c>
      <c r="I514" s="156" t="s">
        <v>665</v>
      </c>
      <c r="J514" s="22">
        <v>45544</v>
      </c>
      <c r="K514">
        <v>0</v>
      </c>
      <c r="L514">
        <v>-7.2637939453125</v>
      </c>
      <c r="M514">
        <v>-9.5939590456966539E-2</v>
      </c>
      <c r="N514">
        <v>-9.1699981689453125</v>
      </c>
      <c r="O514">
        <v>3.5500030517578121</v>
      </c>
      <c r="P514" s="156" t="s">
        <v>586</v>
      </c>
      <c r="Q514">
        <v>2021</v>
      </c>
    </row>
    <row r="515" spans="1:17" hidden="1" x14ac:dyDescent="0.35">
      <c r="A515" s="156" t="s">
        <v>666</v>
      </c>
      <c r="B515" s="22">
        <v>44378</v>
      </c>
      <c r="C515">
        <v>73.260002136230469</v>
      </c>
      <c r="D515">
        <v>73.830001831054688</v>
      </c>
      <c r="E515">
        <v>63.340000152587891</v>
      </c>
      <c r="F515">
        <v>65.889999389648438</v>
      </c>
      <c r="G515">
        <v>4147100</v>
      </c>
      <c r="H515">
        <v>61.756256103515618</v>
      </c>
      <c r="I515" s="156" t="s">
        <v>665</v>
      </c>
      <c r="J515" s="22">
        <v>45544</v>
      </c>
      <c r="K515">
        <v>0.35</v>
      </c>
      <c r="L515">
        <v>-6.6920700073242188</v>
      </c>
      <c r="M515">
        <v>-9.776803380794441E-2</v>
      </c>
      <c r="N515">
        <v>-7.3700027465820313</v>
      </c>
      <c r="O515">
        <v>0.56999969482421875</v>
      </c>
      <c r="P515" s="156" t="s">
        <v>587</v>
      </c>
      <c r="Q515">
        <v>2021</v>
      </c>
    </row>
    <row r="516" spans="1:17" hidden="1" x14ac:dyDescent="0.35">
      <c r="A516" s="156" t="s">
        <v>666</v>
      </c>
      <c r="B516" s="22">
        <v>44409</v>
      </c>
      <c r="C516">
        <v>66.019996643066406</v>
      </c>
      <c r="D516">
        <v>75.25</v>
      </c>
      <c r="E516">
        <v>65.239997863769531</v>
      </c>
      <c r="F516">
        <v>72.110000610351563</v>
      </c>
      <c r="G516">
        <v>4117300</v>
      </c>
      <c r="H516">
        <v>67.922721862792969</v>
      </c>
      <c r="I516" s="156" t="s">
        <v>665</v>
      </c>
      <c r="J516" s="22">
        <v>45544</v>
      </c>
      <c r="K516">
        <v>0</v>
      </c>
      <c r="L516">
        <v>6.1664657592773438</v>
      </c>
      <c r="M516">
        <v>9.4399776571864935E-2</v>
      </c>
      <c r="N516">
        <v>6.0900039672851563</v>
      </c>
      <c r="O516">
        <v>9.2300033569335938</v>
      </c>
      <c r="P516" s="156" t="s">
        <v>583</v>
      </c>
      <c r="Q516">
        <v>2021</v>
      </c>
    </row>
    <row r="517" spans="1:17" hidden="1" x14ac:dyDescent="0.35">
      <c r="A517" s="156" t="s">
        <v>666</v>
      </c>
      <c r="B517" s="22">
        <v>44440</v>
      </c>
      <c r="C517">
        <v>72.519996643066406</v>
      </c>
      <c r="D517">
        <v>72.519996643066406</v>
      </c>
      <c r="E517">
        <v>66.25</v>
      </c>
      <c r="F517">
        <v>67.819999694824219</v>
      </c>
      <c r="G517">
        <v>2668500</v>
      </c>
      <c r="H517">
        <v>63.8818359375</v>
      </c>
      <c r="I517" s="156" t="s">
        <v>665</v>
      </c>
      <c r="J517" s="22">
        <v>45544</v>
      </c>
      <c r="K517">
        <v>0</v>
      </c>
      <c r="L517">
        <v>-4.0408859252929688</v>
      </c>
      <c r="M517">
        <v>-5.9492454295049679E-2</v>
      </c>
      <c r="N517">
        <v>-4.6999969482421884</v>
      </c>
      <c r="O517">
        <v>0</v>
      </c>
      <c r="P517" s="156" t="s">
        <v>581</v>
      </c>
      <c r="Q517">
        <v>2021</v>
      </c>
    </row>
    <row r="518" spans="1:17" hidden="1" x14ac:dyDescent="0.35">
      <c r="A518" s="156" t="s">
        <v>666</v>
      </c>
      <c r="B518" s="22">
        <v>44470</v>
      </c>
      <c r="C518">
        <v>68.30999755859375</v>
      </c>
      <c r="D518">
        <v>69.760002136230469</v>
      </c>
      <c r="E518">
        <v>65.790000915527344</v>
      </c>
      <c r="F518">
        <v>66.949996948242188</v>
      </c>
      <c r="G518">
        <v>2160400</v>
      </c>
      <c r="H518">
        <v>63.062347412109382</v>
      </c>
      <c r="I518" s="156" t="s">
        <v>665</v>
      </c>
      <c r="J518" s="22">
        <v>45544</v>
      </c>
      <c r="K518">
        <v>0.35</v>
      </c>
      <c r="L518">
        <v>-0.819488525390625</v>
      </c>
      <c r="M518">
        <v>-1.2828114870198529E-2</v>
      </c>
      <c r="N518">
        <v>-1.3600006103515621</v>
      </c>
      <c r="O518">
        <v>1.450004577636719</v>
      </c>
      <c r="P518" s="156" t="s">
        <v>584</v>
      </c>
      <c r="Q518">
        <v>2021</v>
      </c>
    </row>
    <row r="519" spans="1:17" hidden="1" x14ac:dyDescent="0.35">
      <c r="A519" s="156" t="s">
        <v>666</v>
      </c>
      <c r="B519" s="22">
        <v>44501</v>
      </c>
      <c r="C519">
        <v>67.010002136230469</v>
      </c>
      <c r="D519">
        <v>74.269996643066406</v>
      </c>
      <c r="E519">
        <v>66.550003051757813</v>
      </c>
      <c r="F519">
        <v>67.910003662109375</v>
      </c>
      <c r="G519">
        <v>2695000</v>
      </c>
      <c r="H519">
        <v>64.299263000488281</v>
      </c>
      <c r="I519" s="156" t="s">
        <v>665</v>
      </c>
      <c r="J519" s="22">
        <v>45544</v>
      </c>
      <c r="K519">
        <v>0</v>
      </c>
      <c r="L519">
        <v>1.236915588378906</v>
      </c>
      <c r="M519">
        <v>1.4339159934680049E-2</v>
      </c>
      <c r="N519">
        <v>0.90000152587890625</v>
      </c>
      <c r="O519">
        <v>7.2599945068359384</v>
      </c>
      <c r="P519" s="156" t="s">
        <v>585</v>
      </c>
      <c r="Q519">
        <v>2021</v>
      </c>
    </row>
    <row r="520" spans="1:17" hidden="1" x14ac:dyDescent="0.35">
      <c r="A520" s="156" t="s">
        <v>666</v>
      </c>
      <c r="B520" s="22">
        <v>44531</v>
      </c>
      <c r="C520">
        <v>69.459999084472656</v>
      </c>
      <c r="D520">
        <v>73.55999755859375</v>
      </c>
      <c r="E520">
        <v>66.089996337890625</v>
      </c>
      <c r="F520">
        <v>71.629997253417969</v>
      </c>
      <c r="G520">
        <v>3811400</v>
      </c>
      <c r="H520">
        <v>67.821487426757813</v>
      </c>
      <c r="I520" s="156" t="s">
        <v>665</v>
      </c>
      <c r="J520" s="22">
        <v>45544</v>
      </c>
      <c r="K520">
        <v>0</v>
      </c>
      <c r="L520">
        <v>3.5222244262695308</v>
      </c>
      <c r="M520">
        <v>5.4778285829841337E-2</v>
      </c>
      <c r="N520">
        <v>2.1699981689453121</v>
      </c>
      <c r="O520">
        <v>4.0999984741210938</v>
      </c>
      <c r="P520" s="156" t="s">
        <v>581</v>
      </c>
      <c r="Q520">
        <v>2021</v>
      </c>
    </row>
    <row r="521" spans="1:17" hidden="1" x14ac:dyDescent="0.35">
      <c r="A521" s="156" t="s">
        <v>666</v>
      </c>
      <c r="B521" s="22">
        <v>44562</v>
      </c>
      <c r="C521">
        <v>71.779998779296875</v>
      </c>
      <c r="D521">
        <v>73.970001220703125</v>
      </c>
      <c r="E521">
        <v>64.94000244140625</v>
      </c>
      <c r="F521">
        <v>69.029998779296875</v>
      </c>
      <c r="G521">
        <v>3056800</v>
      </c>
      <c r="H521">
        <v>65.359718322753906</v>
      </c>
      <c r="I521" s="156" t="s">
        <v>665</v>
      </c>
      <c r="J521" s="22">
        <v>45544</v>
      </c>
      <c r="K521">
        <v>0.35</v>
      </c>
      <c r="L521">
        <v>-2.4617691040039058</v>
      </c>
      <c r="M521">
        <v>-3.6297620742921748E-2</v>
      </c>
      <c r="N521">
        <v>-2.75</v>
      </c>
      <c r="O521">
        <v>2.19000244140625</v>
      </c>
      <c r="P521" s="156" t="s">
        <v>582</v>
      </c>
      <c r="Q521">
        <v>2022</v>
      </c>
    </row>
    <row r="522" spans="1:17" hidden="1" x14ac:dyDescent="0.35">
      <c r="A522" s="156" t="s">
        <v>666</v>
      </c>
      <c r="B522" s="22">
        <v>44593</v>
      </c>
      <c r="C522">
        <v>69.089996337890625</v>
      </c>
      <c r="D522">
        <v>71.730003356933594</v>
      </c>
      <c r="E522">
        <v>61.720001220703118</v>
      </c>
      <c r="F522">
        <v>64.419998168945313</v>
      </c>
      <c r="G522">
        <v>3178900</v>
      </c>
      <c r="H522">
        <v>61.299808502197273</v>
      </c>
      <c r="I522" s="156" t="s">
        <v>665</v>
      </c>
      <c r="J522" s="22">
        <v>45544</v>
      </c>
      <c r="K522">
        <v>0</v>
      </c>
      <c r="L522">
        <v>-4.0599098205566406</v>
      </c>
      <c r="M522">
        <v>-6.6782568330772896E-2</v>
      </c>
      <c r="N522">
        <v>-4.6699981689453116</v>
      </c>
      <c r="O522">
        <v>2.6400070190429692</v>
      </c>
      <c r="P522" s="156" t="s">
        <v>586</v>
      </c>
      <c r="Q522">
        <v>2022</v>
      </c>
    </row>
    <row r="523" spans="1:17" hidden="1" x14ac:dyDescent="0.35">
      <c r="A523" s="156" t="s">
        <v>666</v>
      </c>
      <c r="B523" s="22">
        <v>44621</v>
      </c>
      <c r="C523">
        <v>64.129997253417969</v>
      </c>
      <c r="D523">
        <v>66.279998779296875</v>
      </c>
      <c r="E523">
        <v>61.360000610351563</v>
      </c>
      <c r="F523">
        <v>63.799999237060547</v>
      </c>
      <c r="G523">
        <v>3065700</v>
      </c>
      <c r="H523">
        <v>60.709831237792969</v>
      </c>
      <c r="I523" s="156" t="s">
        <v>665</v>
      </c>
      <c r="J523" s="22">
        <v>45544</v>
      </c>
      <c r="K523">
        <v>0</v>
      </c>
      <c r="L523">
        <v>-0.58997726440429688</v>
      </c>
      <c r="M523">
        <v>-9.6243239600656283E-3</v>
      </c>
      <c r="N523">
        <v>-0.32999801635742188</v>
      </c>
      <c r="O523">
        <v>2.1500015258789058</v>
      </c>
      <c r="P523" s="156" t="s">
        <v>586</v>
      </c>
      <c r="Q523">
        <v>2022</v>
      </c>
    </row>
    <row r="524" spans="1:17" hidden="1" x14ac:dyDescent="0.35">
      <c r="A524" s="156" t="s">
        <v>666</v>
      </c>
      <c r="B524" s="22">
        <v>44652</v>
      </c>
      <c r="C524">
        <v>63.830001831054688</v>
      </c>
      <c r="D524">
        <v>64.879997253417969</v>
      </c>
      <c r="E524">
        <v>56.130001068115227</v>
      </c>
      <c r="F524">
        <v>56.849998474121087</v>
      </c>
      <c r="G524">
        <v>2668400</v>
      </c>
      <c r="H524">
        <v>54.096462249755859</v>
      </c>
      <c r="I524" s="156" t="s">
        <v>665</v>
      </c>
      <c r="J524" s="22">
        <v>45544</v>
      </c>
      <c r="K524">
        <v>0.35</v>
      </c>
      <c r="L524">
        <v>-6.6133689880371094</v>
      </c>
      <c r="M524">
        <v>-0.108934182539963</v>
      </c>
      <c r="N524">
        <v>-6.9800033569335938</v>
      </c>
      <c r="O524">
        <v>1.049995422363281</v>
      </c>
      <c r="P524" s="156" t="s">
        <v>584</v>
      </c>
      <c r="Q524">
        <v>2022</v>
      </c>
    </row>
    <row r="525" spans="1:17" hidden="1" x14ac:dyDescent="0.35">
      <c r="A525" s="156" t="s">
        <v>666</v>
      </c>
      <c r="B525" s="22">
        <v>44682</v>
      </c>
      <c r="C525">
        <v>57.060001373291023</v>
      </c>
      <c r="D525">
        <v>65.970001220703125</v>
      </c>
      <c r="E525">
        <v>56.490001678466797</v>
      </c>
      <c r="F525">
        <v>65.290000915527344</v>
      </c>
      <c r="G525">
        <v>6833400</v>
      </c>
      <c r="H525">
        <v>62.492389678955078</v>
      </c>
      <c r="I525" s="156" t="s">
        <v>665</v>
      </c>
      <c r="J525" s="22">
        <v>45544</v>
      </c>
      <c r="K525">
        <v>0</v>
      </c>
      <c r="L525">
        <v>8.3959274291992188</v>
      </c>
      <c r="M525">
        <v>0.1484609088467832</v>
      </c>
      <c r="N525">
        <v>8.2299995422363281</v>
      </c>
      <c r="O525">
        <v>8.9099998474121094</v>
      </c>
      <c r="P525" s="156" t="s">
        <v>583</v>
      </c>
      <c r="Q525">
        <v>2022</v>
      </c>
    </row>
    <row r="526" spans="1:17" hidden="1" x14ac:dyDescent="0.35">
      <c r="A526" s="156" t="s">
        <v>666</v>
      </c>
      <c r="B526" s="22">
        <v>44713</v>
      </c>
      <c r="C526">
        <v>65.489997863769531</v>
      </c>
      <c r="D526">
        <v>67.139999389648438</v>
      </c>
      <c r="E526">
        <v>59.130001068115227</v>
      </c>
      <c r="F526">
        <v>60.799999237060547</v>
      </c>
      <c r="G526">
        <v>7268500</v>
      </c>
      <c r="H526">
        <v>58.194774627685547</v>
      </c>
      <c r="I526" s="156" t="s">
        <v>665</v>
      </c>
      <c r="J526" s="22">
        <v>45544</v>
      </c>
      <c r="K526">
        <v>0</v>
      </c>
      <c r="L526">
        <v>-4.2976150512695313</v>
      </c>
      <c r="M526">
        <v>-6.8770127362626221E-2</v>
      </c>
      <c r="N526">
        <v>-4.6899986267089844</v>
      </c>
      <c r="O526">
        <v>1.650001525878906</v>
      </c>
      <c r="P526" s="156" t="s">
        <v>581</v>
      </c>
      <c r="Q526">
        <v>2022</v>
      </c>
    </row>
    <row r="527" spans="1:17" hidden="1" x14ac:dyDescent="0.35">
      <c r="A527" s="156" t="s">
        <v>666</v>
      </c>
      <c r="B527" s="22">
        <v>44743</v>
      </c>
      <c r="C527">
        <v>60.580001831054688</v>
      </c>
      <c r="D527">
        <v>63.909999847412109</v>
      </c>
      <c r="E527">
        <v>57.060001373291023</v>
      </c>
      <c r="F527">
        <v>61.389999389648438</v>
      </c>
      <c r="G527">
        <v>4341800</v>
      </c>
      <c r="H527">
        <v>58.759490966796882</v>
      </c>
      <c r="I527" s="156" t="s">
        <v>665</v>
      </c>
      <c r="J527" s="22">
        <v>45544</v>
      </c>
      <c r="K527">
        <v>0.35</v>
      </c>
      <c r="L527">
        <v>0.56471633911132813</v>
      </c>
      <c r="M527">
        <v>9.7039499998587964E-3</v>
      </c>
      <c r="N527">
        <v>0.80999755859375</v>
      </c>
      <c r="O527">
        <v>3.3299980163574219</v>
      </c>
      <c r="P527" s="156" t="s">
        <v>584</v>
      </c>
      <c r="Q527">
        <v>2022</v>
      </c>
    </row>
    <row r="528" spans="1:17" hidden="1" x14ac:dyDescent="0.35">
      <c r="A528" s="156" t="s">
        <v>666</v>
      </c>
      <c r="B528" s="22">
        <v>44774</v>
      </c>
      <c r="C528">
        <v>60.790000915527337</v>
      </c>
      <c r="D528">
        <v>64</v>
      </c>
      <c r="E528">
        <v>50.130001068115227</v>
      </c>
      <c r="F528">
        <v>50.159999847412109</v>
      </c>
      <c r="G528">
        <v>4898400</v>
      </c>
      <c r="H528">
        <v>48.280628204345703</v>
      </c>
      <c r="I528" s="156" t="s">
        <v>665</v>
      </c>
      <c r="J528" s="22">
        <v>45544</v>
      </c>
      <c r="K528">
        <v>0</v>
      </c>
      <c r="L528">
        <v>-10.47886276245117</v>
      </c>
      <c r="M528">
        <v>-0.18292881013010609</v>
      </c>
      <c r="N528">
        <v>-10.630001068115231</v>
      </c>
      <c r="O528">
        <v>3.2099990844726558</v>
      </c>
      <c r="P528" s="156" t="s">
        <v>585</v>
      </c>
      <c r="Q528">
        <v>2022</v>
      </c>
    </row>
    <row r="529" spans="1:17" hidden="1" x14ac:dyDescent="0.35">
      <c r="A529" s="156" t="s">
        <v>666</v>
      </c>
      <c r="B529" s="22">
        <v>44805</v>
      </c>
      <c r="C529">
        <v>49.75</v>
      </c>
      <c r="D529">
        <v>49.75</v>
      </c>
      <c r="E529">
        <v>40.229999542236328</v>
      </c>
      <c r="F529">
        <v>40.419998168945313</v>
      </c>
      <c r="G529">
        <v>6680400</v>
      </c>
      <c r="H529">
        <v>38.905559539794922</v>
      </c>
      <c r="I529" s="156" t="s">
        <v>665</v>
      </c>
      <c r="J529" s="22">
        <v>45544</v>
      </c>
      <c r="K529">
        <v>0</v>
      </c>
      <c r="L529">
        <v>-9.3750686645507813</v>
      </c>
      <c r="M529">
        <v>-0.19417866244210749</v>
      </c>
      <c r="N529">
        <v>-9.3300018310546875</v>
      </c>
      <c r="O529">
        <v>0</v>
      </c>
      <c r="P529" s="156" t="s">
        <v>587</v>
      </c>
      <c r="Q529">
        <v>2022</v>
      </c>
    </row>
    <row r="530" spans="1:17" hidden="1" x14ac:dyDescent="0.35">
      <c r="A530" s="156" t="s">
        <v>666</v>
      </c>
      <c r="B530" s="22">
        <v>44835</v>
      </c>
      <c r="C530">
        <v>44</v>
      </c>
      <c r="D530">
        <v>50.279998779296882</v>
      </c>
      <c r="E530">
        <v>43.869998931884773</v>
      </c>
      <c r="F530">
        <v>49.869998931884773</v>
      </c>
      <c r="G530">
        <v>5927100</v>
      </c>
      <c r="H530">
        <v>48.001495361328118</v>
      </c>
      <c r="I530" s="156" t="s">
        <v>665</v>
      </c>
      <c r="J530" s="22">
        <v>45544</v>
      </c>
      <c r="K530">
        <v>0.35</v>
      </c>
      <c r="L530">
        <v>9.0959358215332031</v>
      </c>
      <c r="M530">
        <v>0.23379518038177169</v>
      </c>
      <c r="N530">
        <v>5.8699989318847656</v>
      </c>
      <c r="O530">
        <v>6.279998779296875</v>
      </c>
      <c r="P530" s="156" t="s">
        <v>582</v>
      </c>
      <c r="Q530">
        <v>2022</v>
      </c>
    </row>
    <row r="531" spans="1:17" hidden="1" x14ac:dyDescent="0.35">
      <c r="A531" s="156" t="s">
        <v>666</v>
      </c>
      <c r="B531" s="22">
        <v>44866</v>
      </c>
      <c r="C531">
        <v>50.369998931884773</v>
      </c>
      <c r="D531">
        <v>51.479999542236328</v>
      </c>
      <c r="E531">
        <v>43.919998168945313</v>
      </c>
      <c r="F531">
        <v>50.169998168945313</v>
      </c>
      <c r="G531">
        <v>5107500</v>
      </c>
      <c r="H531">
        <v>48.651012420654297</v>
      </c>
      <c r="I531" s="156" t="s">
        <v>665</v>
      </c>
      <c r="J531" s="22">
        <v>45544</v>
      </c>
      <c r="K531">
        <v>0</v>
      </c>
      <c r="L531">
        <v>0.64951705932617188</v>
      </c>
      <c r="M531">
        <v>6.0156254960082034E-3</v>
      </c>
      <c r="N531">
        <v>-0.2000007629394531</v>
      </c>
      <c r="O531">
        <v>1.1100006103515621</v>
      </c>
      <c r="P531" s="156" t="s">
        <v>586</v>
      </c>
      <c r="Q531">
        <v>2022</v>
      </c>
    </row>
    <row r="532" spans="1:17" hidden="1" x14ac:dyDescent="0.35">
      <c r="A532" s="156" t="s">
        <v>666</v>
      </c>
      <c r="B532" s="22">
        <v>44896</v>
      </c>
      <c r="C532">
        <v>50.569999694824219</v>
      </c>
      <c r="D532">
        <v>51.400001525878913</v>
      </c>
      <c r="E532">
        <v>47.110000610351563</v>
      </c>
      <c r="F532">
        <v>49.479999542236328</v>
      </c>
      <c r="G532">
        <v>4738800</v>
      </c>
      <c r="H532">
        <v>47.981910705566413</v>
      </c>
      <c r="I532" s="156" t="s">
        <v>665</v>
      </c>
      <c r="J532" s="22">
        <v>45544</v>
      </c>
      <c r="K532">
        <v>0</v>
      </c>
      <c r="L532">
        <v>-0.66910171508789063</v>
      </c>
      <c r="M532">
        <v>-1.3753212116640819E-2</v>
      </c>
      <c r="N532">
        <v>-1.0900001525878911</v>
      </c>
      <c r="O532">
        <v>0.8300018310546875</v>
      </c>
      <c r="P532" s="156" t="s">
        <v>587</v>
      </c>
      <c r="Q532">
        <v>2022</v>
      </c>
    </row>
    <row r="533" spans="1:17" hidden="1" x14ac:dyDescent="0.35">
      <c r="A533" s="156" t="s">
        <v>666</v>
      </c>
      <c r="B533" s="22">
        <v>44927</v>
      </c>
      <c r="C533">
        <v>52.75</v>
      </c>
      <c r="D533">
        <v>70</v>
      </c>
      <c r="E533">
        <v>52.130001068115227</v>
      </c>
      <c r="F533">
        <v>69.949996948242188</v>
      </c>
      <c r="G533">
        <v>7371400</v>
      </c>
      <c r="H533">
        <v>67.832145690917969</v>
      </c>
      <c r="I533" s="156" t="s">
        <v>665</v>
      </c>
      <c r="J533" s="22">
        <v>45544</v>
      </c>
      <c r="K533">
        <v>0.35</v>
      </c>
      <c r="L533">
        <v>19.850234985351559</v>
      </c>
      <c r="M533">
        <v>0.41370245746531559</v>
      </c>
      <c r="N533">
        <v>17.199996948242191</v>
      </c>
      <c r="O533">
        <v>17.25</v>
      </c>
      <c r="P533" s="156" t="s">
        <v>583</v>
      </c>
      <c r="Q533">
        <v>2023</v>
      </c>
    </row>
    <row r="534" spans="1:17" hidden="1" x14ac:dyDescent="0.35">
      <c r="A534" s="156" t="s">
        <v>666</v>
      </c>
      <c r="B534" s="22">
        <v>44958</v>
      </c>
      <c r="C534">
        <v>70</v>
      </c>
      <c r="D534">
        <v>74.739997863769531</v>
      </c>
      <c r="E534">
        <v>69.150001525878906</v>
      </c>
      <c r="F534">
        <v>72.989997863769531</v>
      </c>
      <c r="G534">
        <v>11171800</v>
      </c>
      <c r="H534">
        <v>71.208770751953125</v>
      </c>
      <c r="I534" s="156" t="s">
        <v>665</v>
      </c>
      <c r="J534" s="22">
        <v>45544</v>
      </c>
      <c r="K534">
        <v>0</v>
      </c>
      <c r="L534">
        <v>3.3766250610351558</v>
      </c>
      <c r="M534">
        <v>4.3459628994361843E-2</v>
      </c>
      <c r="N534">
        <v>2.9899978637695308</v>
      </c>
      <c r="O534">
        <v>4.7399978637695313</v>
      </c>
      <c r="P534" s="156" t="s">
        <v>581</v>
      </c>
      <c r="Q534">
        <v>2023</v>
      </c>
    </row>
    <row r="535" spans="1:17" hidden="1" x14ac:dyDescent="0.35">
      <c r="A535" s="156" t="s">
        <v>666</v>
      </c>
      <c r="B535" s="22">
        <v>44986</v>
      </c>
      <c r="C535">
        <v>72.989997863769531</v>
      </c>
      <c r="D535">
        <v>75.739997863769531</v>
      </c>
      <c r="E535">
        <v>71.510002136230469</v>
      </c>
      <c r="F535">
        <v>72.900001525878906</v>
      </c>
      <c r="G535">
        <v>7573400</v>
      </c>
      <c r="H535">
        <v>71.1209716796875</v>
      </c>
      <c r="I535" s="156" t="s">
        <v>665</v>
      </c>
      <c r="J535" s="22">
        <v>45544</v>
      </c>
      <c r="K535">
        <v>0</v>
      </c>
      <c r="L535">
        <v>-8.7799072265625E-2</v>
      </c>
      <c r="M535">
        <v>-1.23299548601985E-3</v>
      </c>
      <c r="N535">
        <v>-8.9996337890625E-2</v>
      </c>
      <c r="O535">
        <v>2.75</v>
      </c>
      <c r="P535" s="156" t="s">
        <v>581</v>
      </c>
      <c r="Q535">
        <v>2023</v>
      </c>
    </row>
    <row r="536" spans="1:17" hidden="1" x14ac:dyDescent="0.35">
      <c r="A536" s="156" t="s">
        <v>666</v>
      </c>
      <c r="B536" s="22">
        <v>45017</v>
      </c>
      <c r="C536">
        <v>72.819999694824219</v>
      </c>
      <c r="D536">
        <v>74.879997253417969</v>
      </c>
      <c r="E536">
        <v>67.230003356933594</v>
      </c>
      <c r="F536">
        <v>67.739997863769531</v>
      </c>
      <c r="G536">
        <v>5051300</v>
      </c>
      <c r="H536">
        <v>66.086898803710938</v>
      </c>
      <c r="I536" s="156" t="s">
        <v>665</v>
      </c>
      <c r="J536" s="22">
        <v>45544</v>
      </c>
      <c r="K536">
        <v>0.35</v>
      </c>
      <c r="L536">
        <v>-5.0340728759765616</v>
      </c>
      <c r="M536">
        <v>-7.0781941757266154E-2</v>
      </c>
      <c r="N536">
        <v>-5.0800018310546884</v>
      </c>
      <c r="O536">
        <v>2.05999755859375</v>
      </c>
      <c r="P536" s="156" t="s">
        <v>582</v>
      </c>
      <c r="Q536">
        <v>2023</v>
      </c>
    </row>
    <row r="537" spans="1:17" hidden="1" x14ac:dyDescent="0.35">
      <c r="A537" s="156" t="s">
        <v>666</v>
      </c>
      <c r="B537" s="22">
        <v>45047</v>
      </c>
      <c r="C537">
        <v>67.389999389648438</v>
      </c>
      <c r="D537">
        <v>86.269996643066406</v>
      </c>
      <c r="E537">
        <v>66.819999694824219</v>
      </c>
      <c r="F537">
        <v>83.040000915527344</v>
      </c>
      <c r="G537">
        <v>8774500</v>
      </c>
      <c r="H537">
        <v>81.402847290039063</v>
      </c>
      <c r="I537" s="156" t="s">
        <v>665</v>
      </c>
      <c r="J537" s="22">
        <v>45544</v>
      </c>
      <c r="K537">
        <v>0</v>
      </c>
      <c r="L537">
        <v>15.31594848632812</v>
      </c>
      <c r="M537">
        <v>0.2258636482765666</v>
      </c>
      <c r="N537">
        <v>15.65000152587891</v>
      </c>
      <c r="O537">
        <v>18.879997253417969</v>
      </c>
      <c r="P537" s="156" t="s">
        <v>585</v>
      </c>
      <c r="Q537">
        <v>2023</v>
      </c>
    </row>
    <row r="538" spans="1:17" hidden="1" x14ac:dyDescent="0.35">
      <c r="A538" s="156" t="s">
        <v>666</v>
      </c>
      <c r="B538" s="22">
        <v>45078</v>
      </c>
      <c r="C538">
        <v>82.610000610351563</v>
      </c>
      <c r="D538">
        <v>97.620002746582031</v>
      </c>
      <c r="E538">
        <v>82.459999084472656</v>
      </c>
      <c r="F538">
        <v>96.550003051757813</v>
      </c>
      <c r="G538">
        <v>9485900</v>
      </c>
      <c r="H538">
        <v>94.646492004394531</v>
      </c>
      <c r="I538" s="156" t="s">
        <v>665</v>
      </c>
      <c r="J538" s="22">
        <v>45544</v>
      </c>
      <c r="K538">
        <v>0</v>
      </c>
      <c r="L538">
        <v>13.243644714355471</v>
      </c>
      <c r="M538">
        <v>0.16269270215896969</v>
      </c>
      <c r="N538">
        <v>13.94000244140625</v>
      </c>
      <c r="O538">
        <v>15.010002136230471</v>
      </c>
      <c r="P538" s="156" t="s">
        <v>587</v>
      </c>
      <c r="Q538">
        <v>2023</v>
      </c>
    </row>
    <row r="539" spans="1:17" hidden="1" x14ac:dyDescent="0.35">
      <c r="A539" s="156" t="s">
        <v>666</v>
      </c>
      <c r="B539" s="22">
        <v>45108</v>
      </c>
      <c r="C539">
        <v>96.760002136230469</v>
      </c>
      <c r="D539">
        <v>98.69000244140625</v>
      </c>
      <c r="E539">
        <v>90.730003356933594</v>
      </c>
      <c r="F539">
        <v>92.69000244140625</v>
      </c>
      <c r="G539">
        <v>6970100</v>
      </c>
      <c r="H539">
        <v>90.862586975097656</v>
      </c>
      <c r="I539" s="156" t="s">
        <v>665</v>
      </c>
      <c r="J539" s="22">
        <v>45544</v>
      </c>
      <c r="K539">
        <v>0.35</v>
      </c>
      <c r="L539">
        <v>-3.783905029296875</v>
      </c>
      <c r="M539">
        <v>-3.997929040232473E-2</v>
      </c>
      <c r="N539">
        <v>-4.0699996948242188</v>
      </c>
      <c r="O539">
        <v>1.930000305175781</v>
      </c>
      <c r="P539" s="156" t="s">
        <v>582</v>
      </c>
      <c r="Q539">
        <v>2023</v>
      </c>
    </row>
    <row r="540" spans="1:17" hidden="1" x14ac:dyDescent="0.35">
      <c r="A540" s="156" t="s">
        <v>666</v>
      </c>
      <c r="B540" s="22">
        <v>45139</v>
      </c>
      <c r="C540">
        <v>92.400001525878906</v>
      </c>
      <c r="D540">
        <v>93.230003356933594</v>
      </c>
      <c r="E540">
        <v>80.80999755859375</v>
      </c>
      <c r="F540">
        <v>86.709999084472656</v>
      </c>
      <c r="G540">
        <v>6346000</v>
      </c>
      <c r="H540">
        <v>85.313880920410156</v>
      </c>
      <c r="I540" s="156" t="s">
        <v>665</v>
      </c>
      <c r="J540" s="22">
        <v>45544</v>
      </c>
      <c r="K540">
        <v>0</v>
      </c>
      <c r="L540">
        <v>-5.5487060546875</v>
      </c>
      <c r="M540">
        <v>-6.4516163549718675E-2</v>
      </c>
      <c r="N540">
        <v>-5.69000244140625</v>
      </c>
      <c r="O540">
        <v>0.8300018310546875</v>
      </c>
      <c r="P540" s="156" t="s">
        <v>586</v>
      </c>
      <c r="Q540">
        <v>2023</v>
      </c>
    </row>
    <row r="541" spans="1:17" hidden="1" x14ac:dyDescent="0.35">
      <c r="A541" s="156" t="s">
        <v>666</v>
      </c>
      <c r="B541" s="22">
        <v>45170</v>
      </c>
      <c r="C541">
        <v>86.830001831054688</v>
      </c>
      <c r="D541">
        <v>87.010002136230469</v>
      </c>
      <c r="E541">
        <v>79.199996948242188</v>
      </c>
      <c r="F541">
        <v>80.239997863769531</v>
      </c>
      <c r="G541">
        <v>5391400</v>
      </c>
      <c r="H541">
        <v>78.948043823242188</v>
      </c>
      <c r="I541" s="156" t="s">
        <v>665</v>
      </c>
      <c r="J541" s="22">
        <v>45544</v>
      </c>
      <c r="K541">
        <v>0</v>
      </c>
      <c r="L541">
        <v>-6.3658370971679688</v>
      </c>
      <c r="M541">
        <v>-7.4616552750739418E-2</v>
      </c>
      <c r="N541">
        <v>-6.5900039672851563</v>
      </c>
      <c r="O541">
        <v>0.18000030517578119</v>
      </c>
      <c r="P541" s="156" t="s">
        <v>584</v>
      </c>
      <c r="Q541">
        <v>2023</v>
      </c>
    </row>
    <row r="542" spans="1:17" hidden="1" x14ac:dyDescent="0.35">
      <c r="A542" s="156" t="s">
        <v>666</v>
      </c>
      <c r="B542" s="22">
        <v>45200</v>
      </c>
      <c r="C542">
        <v>80.5</v>
      </c>
      <c r="D542">
        <v>83.160003662109375</v>
      </c>
      <c r="E542">
        <v>74.650001525878906</v>
      </c>
      <c r="F542">
        <v>75.25</v>
      </c>
      <c r="G542">
        <v>4505400</v>
      </c>
      <c r="H542">
        <v>74.03839111328125</v>
      </c>
      <c r="I542" s="156" t="s">
        <v>665</v>
      </c>
      <c r="J542" s="22">
        <v>45544</v>
      </c>
      <c r="K542">
        <v>0.4</v>
      </c>
      <c r="L542">
        <v>-4.9096527099609384</v>
      </c>
      <c r="M542">
        <v>-6.2188409728543233E-2</v>
      </c>
      <c r="N542">
        <v>-5.25</v>
      </c>
      <c r="O542">
        <v>2.660003662109375</v>
      </c>
      <c r="P542" s="156" t="s">
        <v>583</v>
      </c>
      <c r="Q542">
        <v>2023</v>
      </c>
    </row>
    <row r="543" spans="1:17" hidden="1" x14ac:dyDescent="0.35">
      <c r="A543" s="156" t="s">
        <v>666</v>
      </c>
      <c r="B543" s="22">
        <v>45231</v>
      </c>
      <c r="C543">
        <v>75.199996948242188</v>
      </c>
      <c r="D543">
        <v>101.0899963378906</v>
      </c>
      <c r="E543">
        <v>75.199996948242188</v>
      </c>
      <c r="F543">
        <v>99.919998168945313</v>
      </c>
      <c r="G543">
        <v>7944900</v>
      </c>
      <c r="H543">
        <v>98.79998779296875</v>
      </c>
      <c r="I543" s="156" t="s">
        <v>665</v>
      </c>
      <c r="J543" s="22">
        <v>45544</v>
      </c>
      <c r="K543">
        <v>0</v>
      </c>
      <c r="L543">
        <v>24.7615966796875</v>
      </c>
      <c r="M543">
        <v>0.3278405072285091</v>
      </c>
      <c r="N543">
        <v>24.720001220703121</v>
      </c>
      <c r="O543">
        <v>25.889999389648441</v>
      </c>
      <c r="P543" s="156" t="s">
        <v>581</v>
      </c>
      <c r="Q543">
        <v>2023</v>
      </c>
    </row>
    <row r="544" spans="1:17" hidden="1" x14ac:dyDescent="0.35">
      <c r="A544" s="156" t="s">
        <v>666</v>
      </c>
      <c r="B544" s="22">
        <v>45261</v>
      </c>
      <c r="C544">
        <v>100.2099990844727</v>
      </c>
      <c r="D544">
        <v>111.7900009155273</v>
      </c>
      <c r="E544">
        <v>99.370002746582031</v>
      </c>
      <c r="F544">
        <v>108.5400009155273</v>
      </c>
      <c r="G544">
        <v>8109900</v>
      </c>
      <c r="H544">
        <v>107.3233642578125</v>
      </c>
      <c r="I544" s="156" t="s">
        <v>665</v>
      </c>
      <c r="J544" s="22">
        <v>45544</v>
      </c>
      <c r="K544">
        <v>0</v>
      </c>
      <c r="L544">
        <v>8.52337646484375</v>
      </c>
      <c r="M544">
        <v>8.6269044280878449E-2</v>
      </c>
      <c r="N544">
        <v>8.3300018310546875</v>
      </c>
      <c r="O544">
        <v>11.580001831054689</v>
      </c>
      <c r="P544" s="156" t="s">
        <v>584</v>
      </c>
      <c r="Q544">
        <v>2023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CA76-988B-4498-95DC-A292C743FE62}">
  <sheetPr>
    <tabColor theme="6" tint="0.79998168889431442"/>
  </sheetPr>
  <dimension ref="A1:O49"/>
  <sheetViews>
    <sheetView workbookViewId="0">
      <selection activeCell="K2" sqref="K2"/>
    </sheetView>
  </sheetViews>
  <sheetFormatPr defaultRowHeight="14.5" x14ac:dyDescent="0.35"/>
  <cols>
    <col min="1" max="1" width="8.26953125" bestFit="1" customWidth="1"/>
    <col min="2" max="2" width="12.26953125" bestFit="1" customWidth="1"/>
    <col min="3" max="6" width="11.81640625" bestFit="1" customWidth="1"/>
    <col min="7" max="7" width="9.6328125" bestFit="1" customWidth="1"/>
    <col min="8" max="8" width="11.81640625" bestFit="1" customWidth="1"/>
    <col min="9" max="9" width="13.1796875" bestFit="1" customWidth="1"/>
    <col min="10" max="10" width="11.453125" bestFit="1" customWidth="1"/>
    <col min="11" max="11" width="16.1796875" bestFit="1" customWidth="1"/>
    <col min="12" max="12" width="17" bestFit="1" customWidth="1"/>
    <col min="13" max="13" width="16.36328125" bestFit="1" customWidth="1"/>
    <col min="14" max="14" width="14.54296875" bestFit="1" customWidth="1"/>
    <col min="15" max="15" width="17" bestFit="1" customWidth="1"/>
  </cols>
  <sheetData>
    <row r="1" spans="1:15" x14ac:dyDescent="0.35">
      <c r="A1" t="s">
        <v>211</v>
      </c>
      <c r="B1" t="s">
        <v>567</v>
      </c>
      <c r="C1" t="s">
        <v>568</v>
      </c>
      <c r="D1" t="s">
        <v>569</v>
      </c>
      <c r="E1" t="s">
        <v>570</v>
      </c>
      <c r="F1" t="s">
        <v>571</v>
      </c>
      <c r="G1" t="s">
        <v>572</v>
      </c>
      <c r="H1" t="s">
        <v>573</v>
      </c>
      <c r="I1" t="s">
        <v>139</v>
      </c>
      <c r="J1" t="s">
        <v>574</v>
      </c>
      <c r="K1" t="s">
        <v>575</v>
      </c>
      <c r="L1" t="s">
        <v>576</v>
      </c>
      <c r="M1" t="s">
        <v>577</v>
      </c>
      <c r="N1" t="s">
        <v>578</v>
      </c>
      <c r="O1" t="s">
        <v>579</v>
      </c>
    </row>
    <row r="2" spans="1:15" x14ac:dyDescent="0.35">
      <c r="A2" t="s">
        <v>590</v>
      </c>
      <c r="B2" s="22">
        <v>43831</v>
      </c>
      <c r="C2">
        <v>1.9029999971389771</v>
      </c>
      <c r="D2">
        <v>1.9029999971389771</v>
      </c>
      <c r="E2">
        <v>1.5119999647140501</v>
      </c>
      <c r="F2">
        <v>1.5199999809265139</v>
      </c>
      <c r="G2">
        <v>0</v>
      </c>
      <c r="H2">
        <v>1.5199999809265139</v>
      </c>
      <c r="I2" t="s">
        <v>591</v>
      </c>
      <c r="J2" s="22">
        <v>45460</v>
      </c>
      <c r="L2">
        <v>-0.38300001621246338</v>
      </c>
      <c r="M2">
        <v>0</v>
      </c>
      <c r="N2" t="s">
        <v>581</v>
      </c>
      <c r="O2">
        <v>2020</v>
      </c>
    </row>
    <row r="3" spans="1:15" x14ac:dyDescent="0.35">
      <c r="A3" t="s">
        <v>590</v>
      </c>
      <c r="B3" s="22">
        <v>43862</v>
      </c>
      <c r="C3">
        <v>1.554999947547913</v>
      </c>
      <c r="D3">
        <v>1.6679999828338621</v>
      </c>
      <c r="E3">
        <v>1.126999974250793</v>
      </c>
      <c r="F3">
        <v>1.126999974250793</v>
      </c>
      <c r="G3">
        <v>0</v>
      </c>
      <c r="H3">
        <v>1.126999974250793</v>
      </c>
      <c r="I3" t="s">
        <v>591</v>
      </c>
      <c r="J3" s="22">
        <v>45460</v>
      </c>
      <c r="K3">
        <v>-0.2585526392152766</v>
      </c>
      <c r="L3">
        <v>-0.42799997329711909</v>
      </c>
      <c r="M3">
        <v>0.11300003528594969</v>
      </c>
      <c r="N3" t="s">
        <v>582</v>
      </c>
      <c r="O3">
        <v>2020</v>
      </c>
    </row>
    <row r="4" spans="1:15" x14ac:dyDescent="0.35">
      <c r="A4" t="s">
        <v>590</v>
      </c>
      <c r="B4" s="22">
        <v>43891</v>
      </c>
      <c r="C4">
        <v>1.067000031471252</v>
      </c>
      <c r="D4">
        <v>1.266000032424927</v>
      </c>
      <c r="E4">
        <v>0.39800000190734858</v>
      </c>
      <c r="F4">
        <v>0.69800001382827759</v>
      </c>
      <c r="G4">
        <v>0</v>
      </c>
      <c r="H4">
        <v>0.69800001382827759</v>
      </c>
      <c r="I4" t="s">
        <v>591</v>
      </c>
      <c r="J4" s="22">
        <v>45460</v>
      </c>
      <c r="K4">
        <v>-0.38065658404979669</v>
      </c>
      <c r="L4">
        <v>-0.36900001764297491</v>
      </c>
      <c r="M4">
        <v>0.19900000095367429</v>
      </c>
      <c r="N4" t="s">
        <v>583</v>
      </c>
      <c r="O4">
        <v>2020</v>
      </c>
    </row>
    <row r="5" spans="1:15" x14ac:dyDescent="0.35">
      <c r="A5" t="s">
        <v>590</v>
      </c>
      <c r="B5" s="22">
        <v>43922</v>
      </c>
      <c r="C5">
        <v>0.61000001430511475</v>
      </c>
      <c r="D5">
        <v>0.7839999794960022</v>
      </c>
      <c r="E5">
        <v>0.5429999828338623</v>
      </c>
      <c r="F5">
        <v>0.62199997901916504</v>
      </c>
      <c r="G5">
        <v>0</v>
      </c>
      <c r="H5">
        <v>0.62199997901916504</v>
      </c>
      <c r="I5" t="s">
        <v>591</v>
      </c>
      <c r="J5" s="22">
        <v>45460</v>
      </c>
      <c r="K5">
        <v>-0.1088825692026564</v>
      </c>
      <c r="L5">
        <v>1.1999964714050289E-2</v>
      </c>
      <c r="M5">
        <v>0.17399996519088751</v>
      </c>
      <c r="N5" t="s">
        <v>581</v>
      </c>
      <c r="O5">
        <v>2020</v>
      </c>
    </row>
    <row r="6" spans="1:15" x14ac:dyDescent="0.35">
      <c r="A6" t="s">
        <v>590</v>
      </c>
      <c r="B6" s="22">
        <v>43952</v>
      </c>
      <c r="C6">
        <v>0.61299997568130493</v>
      </c>
      <c r="D6">
        <v>0.74500000476837158</v>
      </c>
      <c r="E6">
        <v>0.5899999737739563</v>
      </c>
      <c r="F6">
        <v>0.64800000190734863</v>
      </c>
      <c r="G6">
        <v>0</v>
      </c>
      <c r="H6">
        <v>0.64800000190734863</v>
      </c>
      <c r="I6" t="s">
        <v>591</v>
      </c>
      <c r="J6" s="22">
        <v>45460</v>
      </c>
      <c r="K6">
        <v>4.180068129452863E-2</v>
      </c>
      <c r="L6">
        <v>3.5000026226043701E-2</v>
      </c>
      <c r="M6">
        <v>0.13200002908706671</v>
      </c>
      <c r="N6" t="s">
        <v>584</v>
      </c>
      <c r="O6">
        <v>2020</v>
      </c>
    </row>
    <row r="7" spans="1:15" x14ac:dyDescent="0.35">
      <c r="A7" t="s">
        <v>590</v>
      </c>
      <c r="B7" s="22">
        <v>43983</v>
      </c>
      <c r="C7">
        <v>0.66699999570846558</v>
      </c>
      <c r="D7">
        <v>0.9570000171661377</v>
      </c>
      <c r="E7">
        <v>0.61900001764297485</v>
      </c>
      <c r="F7">
        <v>0.65299999713897705</v>
      </c>
      <c r="G7">
        <v>0</v>
      </c>
      <c r="H7">
        <v>0.65299999713897705</v>
      </c>
      <c r="I7" t="s">
        <v>591</v>
      </c>
      <c r="J7" s="22">
        <v>45460</v>
      </c>
      <c r="K7">
        <v>7.716042001406187E-3</v>
      </c>
      <c r="L7">
        <v>-1.3999998569488531E-2</v>
      </c>
      <c r="M7">
        <v>0.29000002145767212</v>
      </c>
      <c r="N7" t="s">
        <v>585</v>
      </c>
      <c r="O7">
        <v>2020</v>
      </c>
    </row>
    <row r="8" spans="1:15" x14ac:dyDescent="0.35">
      <c r="A8" t="s">
        <v>590</v>
      </c>
      <c r="B8" s="22">
        <v>44013</v>
      </c>
      <c r="C8">
        <v>0.6809999942779541</v>
      </c>
      <c r="D8">
        <v>0.72399997711181641</v>
      </c>
      <c r="E8">
        <v>0.52799999713897705</v>
      </c>
      <c r="F8">
        <v>0.53600001335144043</v>
      </c>
      <c r="G8">
        <v>0</v>
      </c>
      <c r="H8">
        <v>0.53600001335144043</v>
      </c>
      <c r="I8" t="s">
        <v>591</v>
      </c>
      <c r="J8" s="22">
        <v>45460</v>
      </c>
      <c r="K8">
        <v>-0.1791730234305586</v>
      </c>
      <c r="L8">
        <v>-0.1449999809265137</v>
      </c>
      <c r="M8">
        <v>4.2999982833862298E-2</v>
      </c>
      <c r="N8" t="s">
        <v>581</v>
      </c>
      <c r="O8">
        <v>2020</v>
      </c>
    </row>
    <row r="9" spans="1:15" x14ac:dyDescent="0.35">
      <c r="A9" t="s">
        <v>590</v>
      </c>
      <c r="B9" s="22">
        <v>44044</v>
      </c>
      <c r="C9">
        <v>0.55900001525878906</v>
      </c>
      <c r="D9">
        <v>0.74599999189376831</v>
      </c>
      <c r="E9">
        <v>0.50400000810623169</v>
      </c>
      <c r="F9">
        <v>0.69300001859664917</v>
      </c>
      <c r="G9">
        <v>0</v>
      </c>
      <c r="H9">
        <v>0.69300001859664917</v>
      </c>
      <c r="I9" t="s">
        <v>591</v>
      </c>
      <c r="J9" s="22">
        <v>45460</v>
      </c>
      <c r="K9">
        <v>0.29291045025080659</v>
      </c>
      <c r="L9">
        <v>0.13400000333786011</v>
      </c>
      <c r="M9">
        <v>0.18699997663497919</v>
      </c>
      <c r="N9" t="s">
        <v>582</v>
      </c>
      <c r="O9">
        <v>2020</v>
      </c>
    </row>
    <row r="10" spans="1:15" x14ac:dyDescent="0.35">
      <c r="A10" t="s">
        <v>590</v>
      </c>
      <c r="B10" s="22">
        <v>44075</v>
      </c>
      <c r="C10">
        <v>0.72000002861022949</v>
      </c>
      <c r="D10">
        <v>0.72899997234344482</v>
      </c>
      <c r="E10">
        <v>0.60600000619888306</v>
      </c>
      <c r="F10">
        <v>0.67699998617172241</v>
      </c>
      <c r="G10">
        <v>0</v>
      </c>
      <c r="H10">
        <v>0.67699998617172241</v>
      </c>
      <c r="I10" t="s">
        <v>591</v>
      </c>
      <c r="J10" s="22">
        <v>45460</v>
      </c>
      <c r="K10">
        <v>-2.308806925767104E-2</v>
      </c>
      <c r="L10">
        <v>-4.300004243850708E-2</v>
      </c>
      <c r="M10">
        <v>8.999943733215332E-3</v>
      </c>
      <c r="N10" t="s">
        <v>586</v>
      </c>
      <c r="O10">
        <v>2020</v>
      </c>
    </row>
    <row r="11" spans="1:15" x14ac:dyDescent="0.35">
      <c r="A11" t="s">
        <v>590</v>
      </c>
      <c r="B11" s="22">
        <v>44105</v>
      </c>
      <c r="C11">
        <v>0.70099997520446777</v>
      </c>
      <c r="D11">
        <v>0.87199997901916504</v>
      </c>
      <c r="E11">
        <v>0.65299999713897705</v>
      </c>
      <c r="F11">
        <v>0.86000001430511475</v>
      </c>
      <c r="G11">
        <v>0</v>
      </c>
      <c r="H11">
        <v>0.86000001430511475</v>
      </c>
      <c r="I11" t="s">
        <v>591</v>
      </c>
      <c r="J11" s="22">
        <v>45460</v>
      </c>
      <c r="K11">
        <v>0.27031023910091201</v>
      </c>
      <c r="L11">
        <v>0.159000039100647</v>
      </c>
      <c r="M11">
        <v>0.17100000381469729</v>
      </c>
      <c r="N11" t="s">
        <v>587</v>
      </c>
      <c r="O11">
        <v>2020</v>
      </c>
    </row>
    <row r="12" spans="1:15" x14ac:dyDescent="0.35">
      <c r="A12" t="s">
        <v>590</v>
      </c>
      <c r="B12" s="22">
        <v>44136</v>
      </c>
      <c r="C12">
        <v>0.85399997234344482</v>
      </c>
      <c r="D12">
        <v>0.97500002384185791</v>
      </c>
      <c r="E12">
        <v>0.74800002574920654</v>
      </c>
      <c r="F12">
        <v>0.84399998188018799</v>
      </c>
      <c r="G12">
        <v>0</v>
      </c>
      <c r="H12">
        <v>0.84399998188018799</v>
      </c>
      <c r="I12" t="s">
        <v>591</v>
      </c>
      <c r="J12" s="22">
        <v>45460</v>
      </c>
      <c r="K12">
        <v>-1.860468855672626E-2</v>
      </c>
      <c r="L12">
        <v>-9.9999904632568359E-3</v>
      </c>
      <c r="M12">
        <v>0.1210000514984131</v>
      </c>
      <c r="N12" t="s">
        <v>583</v>
      </c>
      <c r="O12">
        <v>2020</v>
      </c>
    </row>
    <row r="13" spans="1:15" x14ac:dyDescent="0.35">
      <c r="A13" t="s">
        <v>590</v>
      </c>
      <c r="B13" s="22">
        <v>44166</v>
      </c>
      <c r="C13">
        <v>0.85699999332427979</v>
      </c>
      <c r="D13">
        <v>0.98600000143051147</v>
      </c>
      <c r="E13">
        <v>0.85699999332427979</v>
      </c>
      <c r="F13">
        <v>0.91699999570846558</v>
      </c>
      <c r="G13">
        <v>0</v>
      </c>
      <c r="H13">
        <v>0.91699999570846558</v>
      </c>
      <c r="I13" t="s">
        <v>591</v>
      </c>
      <c r="J13" s="22">
        <v>45460</v>
      </c>
      <c r="K13">
        <v>8.6492909236389526E-2</v>
      </c>
      <c r="L13">
        <v>6.0000002384185791E-2</v>
      </c>
      <c r="M13">
        <v>0.12900000810623169</v>
      </c>
      <c r="N13" t="s">
        <v>586</v>
      </c>
      <c r="O13">
        <v>2020</v>
      </c>
    </row>
    <row r="14" spans="1:15" x14ac:dyDescent="0.35">
      <c r="A14" t="s">
        <v>590</v>
      </c>
      <c r="B14" s="22">
        <v>44197</v>
      </c>
      <c r="C14">
        <v>0.93500000238418579</v>
      </c>
      <c r="D14">
        <v>1.187000036239624</v>
      </c>
      <c r="E14">
        <v>0.90700000524520874</v>
      </c>
      <c r="F14">
        <v>1.093000054359436</v>
      </c>
      <c r="G14">
        <v>0</v>
      </c>
      <c r="H14">
        <v>1.093000054359436</v>
      </c>
      <c r="I14" t="s">
        <v>591</v>
      </c>
      <c r="J14" s="22">
        <v>45460</v>
      </c>
      <c r="K14">
        <v>0.19193027205522981</v>
      </c>
      <c r="L14">
        <v>0.15800005197525019</v>
      </c>
      <c r="M14">
        <v>0.25200003385543818</v>
      </c>
      <c r="N14" t="s">
        <v>584</v>
      </c>
      <c r="O14">
        <v>2021</v>
      </c>
    </row>
    <row r="15" spans="1:15" x14ac:dyDescent="0.35">
      <c r="A15" t="s">
        <v>590</v>
      </c>
      <c r="B15" s="22">
        <v>44228</v>
      </c>
      <c r="C15">
        <v>1.078999996185303</v>
      </c>
      <c r="D15">
        <v>1.6139999628067021</v>
      </c>
      <c r="E15">
        <v>1.059999942779541</v>
      </c>
      <c r="F15">
        <v>1.4600000381469731</v>
      </c>
      <c r="G15">
        <v>0</v>
      </c>
      <c r="H15">
        <v>1.4600000381469731</v>
      </c>
      <c r="I15" t="s">
        <v>591</v>
      </c>
      <c r="J15" s="22">
        <v>45460</v>
      </c>
      <c r="K15">
        <v>0.33577307002296602</v>
      </c>
      <c r="L15">
        <v>0.38100004196166992</v>
      </c>
      <c r="M15">
        <v>0.53499996662139893</v>
      </c>
      <c r="N15" t="s">
        <v>585</v>
      </c>
      <c r="O15">
        <v>2021</v>
      </c>
    </row>
    <row r="16" spans="1:15" x14ac:dyDescent="0.35">
      <c r="A16" t="s">
        <v>590</v>
      </c>
      <c r="B16" s="22">
        <v>44256</v>
      </c>
      <c r="C16">
        <v>1.450999975204468</v>
      </c>
      <c r="D16">
        <v>1.764999985694885</v>
      </c>
      <c r="E16">
        <v>1.4029999971389771</v>
      </c>
      <c r="F16">
        <v>1.7460000514984131</v>
      </c>
      <c r="G16">
        <v>0</v>
      </c>
      <c r="H16">
        <v>1.7460000514984131</v>
      </c>
      <c r="I16" t="s">
        <v>591</v>
      </c>
      <c r="J16" s="22">
        <v>45460</v>
      </c>
      <c r="K16">
        <v>0.1958904149854892</v>
      </c>
      <c r="L16">
        <v>0.29500007629394531</v>
      </c>
      <c r="M16">
        <v>0.31400001049041748</v>
      </c>
      <c r="N16" t="s">
        <v>585</v>
      </c>
      <c r="O16">
        <v>2021</v>
      </c>
    </row>
    <row r="17" spans="1:15" x14ac:dyDescent="0.35">
      <c r="A17" t="s">
        <v>590</v>
      </c>
      <c r="B17" s="22">
        <v>44287</v>
      </c>
      <c r="C17">
        <v>1.705000042915344</v>
      </c>
      <c r="D17">
        <v>1.745000004768372</v>
      </c>
      <c r="E17">
        <v>1.529000043869019</v>
      </c>
      <c r="F17">
        <v>1.6310000419616699</v>
      </c>
      <c r="G17">
        <v>0</v>
      </c>
      <c r="H17">
        <v>1.6310000419616699</v>
      </c>
      <c r="I17" t="s">
        <v>591</v>
      </c>
      <c r="J17" s="22">
        <v>45460</v>
      </c>
      <c r="K17">
        <v>-6.5864837425434475E-2</v>
      </c>
      <c r="L17">
        <v>-7.4000000953674316E-2</v>
      </c>
      <c r="M17">
        <v>3.9999961853027337E-2</v>
      </c>
      <c r="N17" t="s">
        <v>587</v>
      </c>
      <c r="O17">
        <v>2021</v>
      </c>
    </row>
    <row r="18" spans="1:15" x14ac:dyDescent="0.35">
      <c r="A18" t="s">
        <v>590</v>
      </c>
      <c r="B18" s="22">
        <v>44317</v>
      </c>
      <c r="C18">
        <v>1.651000022888184</v>
      </c>
      <c r="D18">
        <v>1.700000047683716</v>
      </c>
      <c r="E18">
        <v>1.470999956130981</v>
      </c>
      <c r="F18">
        <v>1.580999970436096</v>
      </c>
      <c r="G18">
        <v>0</v>
      </c>
      <c r="H18">
        <v>1.580999970436096</v>
      </c>
      <c r="I18" t="s">
        <v>591</v>
      </c>
      <c r="J18" s="22">
        <v>45460</v>
      </c>
      <c r="K18">
        <v>-3.0656082304839519E-2</v>
      </c>
      <c r="L18">
        <v>-7.0000052452087402E-2</v>
      </c>
      <c r="M18">
        <v>4.9000024795532227E-2</v>
      </c>
      <c r="N18" t="s">
        <v>582</v>
      </c>
      <c r="O18">
        <v>2021</v>
      </c>
    </row>
    <row r="19" spans="1:15" x14ac:dyDescent="0.35">
      <c r="A19" t="s">
        <v>590</v>
      </c>
      <c r="B19" s="22">
        <v>44348</v>
      </c>
      <c r="C19">
        <v>1.625</v>
      </c>
      <c r="D19">
        <v>1.6390000581741331</v>
      </c>
      <c r="E19">
        <v>1.437999963760376</v>
      </c>
      <c r="F19">
        <v>1.442999958992004</v>
      </c>
      <c r="G19">
        <v>0</v>
      </c>
      <c r="H19">
        <v>1.442999958992004</v>
      </c>
      <c r="I19" t="s">
        <v>591</v>
      </c>
      <c r="J19" s="22">
        <v>45460</v>
      </c>
      <c r="K19">
        <v>-8.7286536384960534E-2</v>
      </c>
      <c r="L19">
        <v>-0.18200004100799561</v>
      </c>
      <c r="M19">
        <v>1.4000058174133301E-2</v>
      </c>
      <c r="N19" t="s">
        <v>586</v>
      </c>
      <c r="O19">
        <v>2021</v>
      </c>
    </row>
    <row r="20" spans="1:15" x14ac:dyDescent="0.35">
      <c r="A20" t="s">
        <v>590</v>
      </c>
      <c r="B20" s="22">
        <v>44378</v>
      </c>
      <c r="C20">
        <v>1.470999956130981</v>
      </c>
      <c r="D20">
        <v>1.485000014305115</v>
      </c>
      <c r="E20">
        <v>1.128000020980835</v>
      </c>
      <c r="F20">
        <v>1.2389999628067021</v>
      </c>
      <c r="G20">
        <v>0</v>
      </c>
      <c r="H20">
        <v>1.2389999628067021</v>
      </c>
      <c r="I20" t="s">
        <v>591</v>
      </c>
      <c r="J20" s="22">
        <v>45460</v>
      </c>
      <c r="K20">
        <v>-0.14137214274614759</v>
      </c>
      <c r="L20">
        <v>-0.23199999332427981</v>
      </c>
      <c r="M20">
        <v>1.4000058174133301E-2</v>
      </c>
      <c r="N20" t="s">
        <v>587</v>
      </c>
      <c r="O20">
        <v>2021</v>
      </c>
    </row>
    <row r="21" spans="1:15" x14ac:dyDescent="0.35">
      <c r="A21" t="s">
        <v>590</v>
      </c>
      <c r="B21" s="22">
        <v>44409</v>
      </c>
      <c r="C21">
        <v>1.2309999465942381</v>
      </c>
      <c r="D21">
        <v>1.3789999485015869</v>
      </c>
      <c r="E21">
        <v>1.1289999485015869</v>
      </c>
      <c r="F21">
        <v>1.3040000200271611</v>
      </c>
      <c r="G21">
        <v>0</v>
      </c>
      <c r="H21">
        <v>1.3040000200271611</v>
      </c>
      <c r="I21" t="s">
        <v>591</v>
      </c>
      <c r="J21" s="22">
        <v>45460</v>
      </c>
      <c r="K21">
        <v>5.2461710388767679E-2</v>
      </c>
      <c r="L21">
        <v>7.3000073432922363E-2</v>
      </c>
      <c r="M21">
        <v>0.14800000190734861</v>
      </c>
      <c r="N21" t="s">
        <v>583</v>
      </c>
      <c r="O21">
        <v>2021</v>
      </c>
    </row>
    <row r="22" spans="1:15" x14ac:dyDescent="0.35">
      <c r="A22" t="s">
        <v>590</v>
      </c>
      <c r="B22" s="22">
        <v>44440</v>
      </c>
      <c r="C22">
        <v>1.310999989509583</v>
      </c>
      <c r="D22">
        <v>1.567000031471252</v>
      </c>
      <c r="E22">
        <v>1.2599999904632571</v>
      </c>
      <c r="F22">
        <v>1.529000043869019</v>
      </c>
      <c r="G22">
        <v>0</v>
      </c>
      <c r="H22">
        <v>1.529000043869019</v>
      </c>
      <c r="I22" t="s">
        <v>591</v>
      </c>
      <c r="J22" s="22">
        <v>45460</v>
      </c>
      <c r="K22">
        <v>0.17254602790356671</v>
      </c>
      <c r="L22">
        <v>0.21800005435943601</v>
      </c>
      <c r="M22">
        <v>0.25600004196166992</v>
      </c>
      <c r="N22" t="s">
        <v>581</v>
      </c>
      <c r="O22">
        <v>2021</v>
      </c>
    </row>
    <row r="23" spans="1:15" x14ac:dyDescent="0.35">
      <c r="A23" t="s">
        <v>590</v>
      </c>
      <c r="B23" s="22">
        <v>44470</v>
      </c>
      <c r="C23">
        <v>1.4960000514984131</v>
      </c>
      <c r="D23">
        <v>1.6909999847412109</v>
      </c>
      <c r="E23">
        <v>1.4630000591278081</v>
      </c>
      <c r="F23">
        <v>1.557000041007996</v>
      </c>
      <c r="G23">
        <v>0</v>
      </c>
      <c r="H23">
        <v>1.557000041007996</v>
      </c>
      <c r="I23" t="s">
        <v>591</v>
      </c>
      <c r="J23" s="22">
        <v>45460</v>
      </c>
      <c r="K23">
        <v>1.8312620232583621E-2</v>
      </c>
      <c r="L23">
        <v>6.099998950958252E-2</v>
      </c>
      <c r="M23">
        <v>0.19499993324279791</v>
      </c>
      <c r="N23" t="s">
        <v>584</v>
      </c>
      <c r="O23">
        <v>2021</v>
      </c>
    </row>
    <row r="24" spans="1:15" x14ac:dyDescent="0.35">
      <c r="A24" t="s">
        <v>590</v>
      </c>
      <c r="B24" s="22">
        <v>44501</v>
      </c>
      <c r="C24">
        <v>1.5870000123977659</v>
      </c>
      <c r="D24">
        <v>1.692999958992004</v>
      </c>
      <c r="E24">
        <v>1.4119999408721919</v>
      </c>
      <c r="F24">
        <v>1.442999958992004</v>
      </c>
      <c r="G24">
        <v>0</v>
      </c>
      <c r="H24">
        <v>1.442999958992004</v>
      </c>
      <c r="I24" t="s">
        <v>591</v>
      </c>
      <c r="J24" s="22">
        <v>45460</v>
      </c>
      <c r="K24">
        <v>-7.3217777144172769E-2</v>
      </c>
      <c r="L24">
        <v>-0.14400005340576169</v>
      </c>
      <c r="M24">
        <v>0.1059999465942383</v>
      </c>
      <c r="N24" t="s">
        <v>585</v>
      </c>
      <c r="O24">
        <v>2021</v>
      </c>
    </row>
    <row r="25" spans="1:15" x14ac:dyDescent="0.35">
      <c r="A25" t="s">
        <v>590</v>
      </c>
      <c r="B25" s="22">
        <v>44531</v>
      </c>
      <c r="C25">
        <v>1.48199999332428</v>
      </c>
      <c r="D25">
        <v>1.557999968528748</v>
      </c>
      <c r="E25">
        <v>1.343000054359436</v>
      </c>
      <c r="F25">
        <v>1.5119999647140501</v>
      </c>
      <c r="G25">
        <v>0</v>
      </c>
      <c r="H25">
        <v>1.5119999647140501</v>
      </c>
      <c r="I25" t="s">
        <v>591</v>
      </c>
      <c r="J25" s="22">
        <v>45460</v>
      </c>
      <c r="K25">
        <v>4.7817053141321793E-2</v>
      </c>
      <c r="L25">
        <v>2.9999971389770511E-2</v>
      </c>
      <c r="M25">
        <v>7.5999975204467773E-2</v>
      </c>
      <c r="N25" t="s">
        <v>581</v>
      </c>
      <c r="O25">
        <v>2021</v>
      </c>
    </row>
    <row r="26" spans="1:15" x14ac:dyDescent="0.35">
      <c r="A26" t="s">
        <v>590</v>
      </c>
      <c r="B26" s="22">
        <v>44562</v>
      </c>
      <c r="C26">
        <v>1.534000039100647</v>
      </c>
      <c r="D26">
        <v>1.8739999532699581</v>
      </c>
      <c r="E26">
        <v>1.532999992370605</v>
      </c>
      <c r="F26">
        <v>1.781999945640564</v>
      </c>
      <c r="G26">
        <v>0</v>
      </c>
      <c r="H26">
        <v>1.781999945640564</v>
      </c>
      <c r="I26" t="s">
        <v>591</v>
      </c>
      <c r="J26" s="22">
        <v>45460</v>
      </c>
      <c r="K26">
        <v>0.17857142012405799</v>
      </c>
      <c r="L26">
        <v>0.24799990653991699</v>
      </c>
      <c r="M26">
        <v>0.33999991416931152</v>
      </c>
      <c r="N26" t="s">
        <v>582</v>
      </c>
      <c r="O26">
        <v>2022</v>
      </c>
    </row>
    <row r="27" spans="1:15" x14ac:dyDescent="0.35">
      <c r="A27" t="s">
        <v>590</v>
      </c>
      <c r="B27" s="22">
        <v>44593</v>
      </c>
      <c r="C27">
        <v>1.75</v>
      </c>
      <c r="D27">
        <v>2.065000057220459</v>
      </c>
      <c r="E27">
        <v>1.7430000305175779</v>
      </c>
      <c r="F27">
        <v>1.83899998664856</v>
      </c>
      <c r="G27">
        <v>0</v>
      </c>
      <c r="H27">
        <v>1.83899998664856</v>
      </c>
      <c r="I27" t="s">
        <v>591</v>
      </c>
      <c r="J27" s="22">
        <v>45460</v>
      </c>
      <c r="K27">
        <v>3.1986555974616637E-2</v>
      </c>
      <c r="L27">
        <v>8.899998664855957E-2</v>
      </c>
      <c r="M27">
        <v>0.31500005722045898</v>
      </c>
      <c r="N27" t="s">
        <v>586</v>
      </c>
      <c r="O27">
        <v>2022</v>
      </c>
    </row>
    <row r="28" spans="1:15" x14ac:dyDescent="0.35">
      <c r="A28" t="s">
        <v>590</v>
      </c>
      <c r="B28" s="22">
        <v>44621</v>
      </c>
      <c r="C28">
        <v>1.733999967575073</v>
      </c>
      <c r="D28">
        <v>2.503000020980835</v>
      </c>
      <c r="E28">
        <v>1.682000041007996</v>
      </c>
      <c r="F28">
        <v>2.3269999027252202</v>
      </c>
      <c r="G28">
        <v>0</v>
      </c>
      <c r="H28">
        <v>2.3269999027252202</v>
      </c>
      <c r="I28" t="s">
        <v>591</v>
      </c>
      <c r="J28" s="22">
        <v>45460</v>
      </c>
      <c r="K28">
        <v>0.26536156586167442</v>
      </c>
      <c r="L28">
        <v>0.59299993515014648</v>
      </c>
      <c r="M28">
        <v>0.76900005340576172</v>
      </c>
      <c r="N28" t="s">
        <v>586</v>
      </c>
      <c r="O28">
        <v>2022</v>
      </c>
    </row>
    <row r="29" spans="1:15" x14ac:dyDescent="0.35">
      <c r="A29" t="s">
        <v>590</v>
      </c>
      <c r="B29" s="22">
        <v>44652</v>
      </c>
      <c r="C29">
        <v>2.404000043869019</v>
      </c>
      <c r="D29">
        <v>2.9539999961853032</v>
      </c>
      <c r="E29">
        <v>2.3570001125335689</v>
      </c>
      <c r="F29">
        <v>2.8870000839233398</v>
      </c>
      <c r="G29">
        <v>0</v>
      </c>
      <c r="H29">
        <v>2.8870000839233398</v>
      </c>
      <c r="I29" t="s">
        <v>591</v>
      </c>
      <c r="J29" s="22">
        <v>45460</v>
      </c>
      <c r="K29">
        <v>0.2406532894746953</v>
      </c>
      <c r="L29">
        <v>0.48300004005432129</v>
      </c>
      <c r="M29">
        <v>0.54999995231628418</v>
      </c>
      <c r="N29" t="s">
        <v>584</v>
      </c>
      <c r="O29">
        <v>2022</v>
      </c>
    </row>
    <row r="30" spans="1:15" x14ac:dyDescent="0.35">
      <c r="A30" t="s">
        <v>590</v>
      </c>
      <c r="B30" s="22">
        <v>44682</v>
      </c>
      <c r="C30">
        <v>2.9219999313354492</v>
      </c>
      <c r="D30">
        <v>3.1670000553131099</v>
      </c>
      <c r="E30">
        <v>2.7079999446868901</v>
      </c>
      <c r="F30">
        <v>2.844000101089478</v>
      </c>
      <c r="G30">
        <v>0</v>
      </c>
      <c r="H30">
        <v>2.844000101089478</v>
      </c>
      <c r="I30" t="s">
        <v>591</v>
      </c>
      <c r="J30" s="22">
        <v>45460</v>
      </c>
      <c r="K30">
        <v>-1.4894347621710709E-2</v>
      </c>
      <c r="L30">
        <v>-7.799983024597168E-2</v>
      </c>
      <c r="M30">
        <v>0.24500012397766111</v>
      </c>
      <c r="N30" t="s">
        <v>583</v>
      </c>
      <c r="O30">
        <v>2022</v>
      </c>
    </row>
    <row r="31" spans="1:15" x14ac:dyDescent="0.35">
      <c r="A31" t="s">
        <v>590</v>
      </c>
      <c r="B31" s="22">
        <v>44713</v>
      </c>
      <c r="C31">
        <v>2.8710000514984131</v>
      </c>
      <c r="D31">
        <v>3.4830000400543208</v>
      </c>
      <c r="E31">
        <v>2.8329999446868901</v>
      </c>
      <c r="F31">
        <v>2.971999883651733</v>
      </c>
      <c r="G31">
        <v>0</v>
      </c>
      <c r="H31">
        <v>2.971999883651733</v>
      </c>
      <c r="I31" t="s">
        <v>591</v>
      </c>
      <c r="J31" s="22">
        <v>45460</v>
      </c>
      <c r="K31">
        <v>4.5006954294137369E-2</v>
      </c>
      <c r="L31">
        <v>0.1009998321533203</v>
      </c>
      <c r="M31">
        <v>0.6119999885559082</v>
      </c>
      <c r="N31" t="s">
        <v>581</v>
      </c>
      <c r="O31">
        <v>2022</v>
      </c>
    </row>
    <row r="32" spans="1:15" x14ac:dyDescent="0.35">
      <c r="A32" t="s">
        <v>590</v>
      </c>
      <c r="B32" s="22">
        <v>44743</v>
      </c>
      <c r="C32">
        <v>2.9319999217987061</v>
      </c>
      <c r="D32">
        <v>3.101000070571899</v>
      </c>
      <c r="E32">
        <v>2.6180000305175781</v>
      </c>
      <c r="F32">
        <v>2.6419999599456792</v>
      </c>
      <c r="G32">
        <v>0</v>
      </c>
      <c r="H32">
        <v>2.6419999599456792</v>
      </c>
      <c r="I32" t="s">
        <v>591</v>
      </c>
      <c r="J32" s="22">
        <v>45460</v>
      </c>
      <c r="K32">
        <v>-0.11103631784149991</v>
      </c>
      <c r="L32">
        <v>-0.28999996185302729</v>
      </c>
      <c r="M32">
        <v>0.16900014877319339</v>
      </c>
      <c r="N32" t="s">
        <v>584</v>
      </c>
      <c r="O32">
        <v>2022</v>
      </c>
    </row>
    <row r="33" spans="1:15" x14ac:dyDescent="0.35">
      <c r="A33" t="s">
        <v>590</v>
      </c>
      <c r="B33" s="22">
        <v>44774</v>
      </c>
      <c r="C33">
        <v>2.657999992370605</v>
      </c>
      <c r="D33">
        <v>3.151000022888184</v>
      </c>
      <c r="E33">
        <v>2.5250000953674321</v>
      </c>
      <c r="F33">
        <v>3.1329998970031738</v>
      </c>
      <c r="G33">
        <v>0</v>
      </c>
      <c r="H33">
        <v>3.1329998970031738</v>
      </c>
      <c r="I33" t="s">
        <v>591</v>
      </c>
      <c r="J33" s="22">
        <v>45460</v>
      </c>
      <c r="K33">
        <v>0.18584403652587131</v>
      </c>
      <c r="L33">
        <v>0.47499990463256841</v>
      </c>
      <c r="M33">
        <v>0.49300003051757813</v>
      </c>
      <c r="N33" t="s">
        <v>585</v>
      </c>
      <c r="O33">
        <v>2022</v>
      </c>
    </row>
    <row r="34" spans="1:15" x14ac:dyDescent="0.35">
      <c r="A34" t="s">
        <v>590</v>
      </c>
      <c r="B34" s="22">
        <v>44805</v>
      </c>
      <c r="C34">
        <v>3.217000007629395</v>
      </c>
      <c r="D34">
        <v>3.9920001029968262</v>
      </c>
      <c r="E34">
        <v>3.1760001182556148</v>
      </c>
      <c r="F34">
        <v>3.8039999008178711</v>
      </c>
      <c r="G34">
        <v>0</v>
      </c>
      <c r="H34">
        <v>3.8039999008178711</v>
      </c>
      <c r="I34" t="s">
        <v>591</v>
      </c>
      <c r="J34" s="22">
        <v>45460</v>
      </c>
      <c r="K34">
        <v>0.21417172865423079</v>
      </c>
      <c r="L34">
        <v>0.58699989318847656</v>
      </c>
      <c r="M34">
        <v>0.77500009536743164</v>
      </c>
      <c r="N34" t="s">
        <v>587</v>
      </c>
      <c r="O34">
        <v>2022</v>
      </c>
    </row>
    <row r="35" spans="1:15" x14ac:dyDescent="0.35">
      <c r="A35" t="s">
        <v>590</v>
      </c>
      <c r="B35" s="22">
        <v>44835</v>
      </c>
      <c r="C35">
        <v>3.711999893188477</v>
      </c>
      <c r="D35">
        <v>4.3330001831054688</v>
      </c>
      <c r="E35">
        <v>3.5639998912811279</v>
      </c>
      <c r="F35">
        <v>4.0770001411437988</v>
      </c>
      <c r="G35">
        <v>0</v>
      </c>
      <c r="H35">
        <v>4.0770001411437988</v>
      </c>
      <c r="I35" t="s">
        <v>591</v>
      </c>
      <c r="J35" s="22">
        <v>45460</v>
      </c>
      <c r="K35">
        <v>7.1766626562538072E-2</v>
      </c>
      <c r="L35">
        <v>0.36500024795532232</v>
      </c>
      <c r="M35">
        <v>0.62100028991699219</v>
      </c>
      <c r="N35" t="s">
        <v>582</v>
      </c>
      <c r="O35">
        <v>2022</v>
      </c>
    </row>
    <row r="36" spans="1:15" x14ac:dyDescent="0.35">
      <c r="A36" t="s">
        <v>590</v>
      </c>
      <c r="B36" s="22">
        <v>44866</v>
      </c>
      <c r="C36">
        <v>3.937000036239624</v>
      </c>
      <c r="D36">
        <v>4.2230000495910636</v>
      </c>
      <c r="E36">
        <v>3.6679999828338619</v>
      </c>
      <c r="F36">
        <v>3.7030000686645508</v>
      </c>
      <c r="G36">
        <v>0</v>
      </c>
      <c r="H36">
        <v>3.7030000686645508</v>
      </c>
      <c r="I36" t="s">
        <v>591</v>
      </c>
      <c r="J36" s="22">
        <v>45460</v>
      </c>
      <c r="K36">
        <v>-9.1734132825985748E-2</v>
      </c>
      <c r="L36">
        <v>-0.23399996757507319</v>
      </c>
      <c r="M36">
        <v>0.28600001335144037</v>
      </c>
      <c r="N36" t="s">
        <v>586</v>
      </c>
      <c r="O36">
        <v>2022</v>
      </c>
    </row>
    <row r="37" spans="1:15" x14ac:dyDescent="0.35">
      <c r="A37" t="s">
        <v>590</v>
      </c>
      <c r="B37" s="22">
        <v>44896</v>
      </c>
      <c r="C37">
        <v>3.594000101089478</v>
      </c>
      <c r="D37">
        <v>3.904999971389771</v>
      </c>
      <c r="E37">
        <v>3.401999950408936</v>
      </c>
      <c r="F37">
        <v>3.8789999485015869</v>
      </c>
      <c r="G37">
        <v>0</v>
      </c>
      <c r="H37">
        <v>3.8789999485015869</v>
      </c>
      <c r="I37" t="s">
        <v>591</v>
      </c>
      <c r="J37" s="22">
        <v>45460</v>
      </c>
      <c r="K37">
        <v>4.7528997184304263E-2</v>
      </c>
      <c r="L37">
        <v>0.28499984741210938</v>
      </c>
      <c r="M37">
        <v>0.31099987030029302</v>
      </c>
      <c r="N37" t="s">
        <v>587</v>
      </c>
      <c r="O37">
        <v>2022</v>
      </c>
    </row>
    <row r="38" spans="1:15" x14ac:dyDescent="0.35">
      <c r="A38" t="s">
        <v>590</v>
      </c>
      <c r="B38" s="22">
        <v>44927</v>
      </c>
      <c r="C38">
        <v>3.7579998970031738</v>
      </c>
      <c r="D38">
        <v>3.809999942779541</v>
      </c>
      <c r="E38">
        <v>3.372999906539917</v>
      </c>
      <c r="F38">
        <v>3.529000043869019</v>
      </c>
      <c r="G38">
        <v>0</v>
      </c>
      <c r="H38">
        <v>3.529000043869019</v>
      </c>
      <c r="I38" t="s">
        <v>591</v>
      </c>
      <c r="J38" s="22">
        <v>45460</v>
      </c>
      <c r="K38">
        <v>-9.0229417189801486E-2</v>
      </c>
      <c r="L38">
        <v>-0.2289998531341553</v>
      </c>
      <c r="M38">
        <v>5.2000045776367188E-2</v>
      </c>
      <c r="N38" t="s">
        <v>583</v>
      </c>
      <c r="O38">
        <v>2023</v>
      </c>
    </row>
    <row r="39" spans="1:15" x14ac:dyDescent="0.35">
      <c r="A39" t="s">
        <v>590</v>
      </c>
      <c r="B39" s="22">
        <v>44958</v>
      </c>
      <c r="C39">
        <v>3.4749999046325679</v>
      </c>
      <c r="D39">
        <v>3.9830000400543208</v>
      </c>
      <c r="E39">
        <v>3.3340001106262211</v>
      </c>
      <c r="F39">
        <v>3.9159998893737789</v>
      </c>
      <c r="G39">
        <v>0</v>
      </c>
      <c r="H39">
        <v>3.9159998893737789</v>
      </c>
      <c r="I39" t="s">
        <v>591</v>
      </c>
      <c r="J39" s="22">
        <v>45460</v>
      </c>
      <c r="K39">
        <v>0.10966274885065561</v>
      </c>
      <c r="L39">
        <v>0.44099998474121088</v>
      </c>
      <c r="M39">
        <v>0.50800013542175293</v>
      </c>
      <c r="N39" t="s">
        <v>581</v>
      </c>
      <c r="O39">
        <v>2023</v>
      </c>
    </row>
    <row r="40" spans="1:15" x14ac:dyDescent="0.35">
      <c r="A40" t="s">
        <v>590</v>
      </c>
      <c r="B40" s="22">
        <v>44986</v>
      </c>
      <c r="C40">
        <v>3.940000057220459</v>
      </c>
      <c r="D40">
        <v>4.0910000801086426</v>
      </c>
      <c r="E40">
        <v>3.2950000762939449</v>
      </c>
      <c r="F40">
        <v>3.4939999580383301</v>
      </c>
      <c r="G40">
        <v>0</v>
      </c>
      <c r="H40">
        <v>3.4939999580383301</v>
      </c>
      <c r="I40" t="s">
        <v>591</v>
      </c>
      <c r="J40" s="22">
        <v>45460</v>
      </c>
      <c r="K40">
        <v>-0.1077630090032848</v>
      </c>
      <c r="L40">
        <v>-0.44600009918212891</v>
      </c>
      <c r="M40">
        <v>0.15100002288818359</v>
      </c>
      <c r="N40" t="s">
        <v>581</v>
      </c>
      <c r="O40">
        <v>2023</v>
      </c>
    </row>
    <row r="41" spans="1:15" x14ac:dyDescent="0.35">
      <c r="A41" t="s">
        <v>590</v>
      </c>
      <c r="B41" s="22">
        <v>45017</v>
      </c>
      <c r="C41">
        <v>3.5169999599456792</v>
      </c>
      <c r="D41">
        <v>3.6389999389648442</v>
      </c>
      <c r="E41">
        <v>3.253000020980835</v>
      </c>
      <c r="F41">
        <v>3.4519999027252202</v>
      </c>
      <c r="G41">
        <v>0</v>
      </c>
      <c r="H41">
        <v>3.4519999027252202</v>
      </c>
      <c r="I41" t="s">
        <v>591</v>
      </c>
      <c r="J41" s="22">
        <v>45460</v>
      </c>
      <c r="K41">
        <v>-1.2020622729683961E-2</v>
      </c>
      <c r="L41">
        <v>-6.5000057220458984E-2</v>
      </c>
      <c r="M41">
        <v>0.121999979019165</v>
      </c>
      <c r="N41" t="s">
        <v>582</v>
      </c>
      <c r="O41">
        <v>2023</v>
      </c>
    </row>
    <row r="42" spans="1:15" x14ac:dyDescent="0.35">
      <c r="A42" t="s">
        <v>590</v>
      </c>
      <c r="B42" s="22">
        <v>45047</v>
      </c>
      <c r="C42">
        <v>3.500999927520752</v>
      </c>
      <c r="D42">
        <v>3.8589999675750728</v>
      </c>
      <c r="E42">
        <v>3.2960000038146968</v>
      </c>
      <c r="F42">
        <v>3.6370000839233398</v>
      </c>
      <c r="G42">
        <v>0</v>
      </c>
      <c r="H42">
        <v>3.6370000839233398</v>
      </c>
      <c r="I42" t="s">
        <v>591</v>
      </c>
      <c r="J42" s="22">
        <v>45460</v>
      </c>
      <c r="K42">
        <v>5.3592174510801671E-2</v>
      </c>
      <c r="L42">
        <v>0.13600015640258789</v>
      </c>
      <c r="M42">
        <v>0.35800004005432129</v>
      </c>
      <c r="N42" t="s">
        <v>585</v>
      </c>
      <c r="O42">
        <v>2023</v>
      </c>
    </row>
    <row r="43" spans="1:15" x14ac:dyDescent="0.35">
      <c r="A43" t="s">
        <v>590</v>
      </c>
      <c r="B43" s="22">
        <v>45078</v>
      </c>
      <c r="C43">
        <v>3.6500000953674321</v>
      </c>
      <c r="D43">
        <v>3.871999979019165</v>
      </c>
      <c r="E43">
        <v>3.5699999332427979</v>
      </c>
      <c r="F43">
        <v>3.8190000057220459</v>
      </c>
      <c r="G43">
        <v>0</v>
      </c>
      <c r="H43">
        <v>3.8190000057220459</v>
      </c>
      <c r="I43" t="s">
        <v>591</v>
      </c>
      <c r="J43" s="22">
        <v>45460</v>
      </c>
      <c r="K43">
        <v>5.0041220126224813E-2</v>
      </c>
      <c r="L43">
        <v>0.16899991035461431</v>
      </c>
      <c r="M43">
        <v>0.2219998836517334</v>
      </c>
      <c r="N43" t="s">
        <v>587</v>
      </c>
      <c r="O43">
        <v>2023</v>
      </c>
    </row>
    <row r="44" spans="1:15" x14ac:dyDescent="0.35">
      <c r="A44" t="s">
        <v>590</v>
      </c>
      <c r="B44" s="22">
        <v>45108</v>
      </c>
      <c r="C44">
        <v>3.8640000820159912</v>
      </c>
      <c r="D44">
        <v>4.0939998626708984</v>
      </c>
      <c r="E44">
        <v>3.7349998950958252</v>
      </c>
      <c r="F44">
        <v>3.9590001106262211</v>
      </c>
      <c r="G44">
        <v>0</v>
      </c>
      <c r="H44">
        <v>3.9590001106262211</v>
      </c>
      <c r="I44" t="s">
        <v>591</v>
      </c>
      <c r="J44" s="22">
        <v>45460</v>
      </c>
      <c r="K44">
        <v>3.6658838621212768E-2</v>
      </c>
      <c r="L44">
        <v>9.5000028610229492E-2</v>
      </c>
      <c r="M44">
        <v>0.2299997806549072</v>
      </c>
      <c r="N44" t="s">
        <v>582</v>
      </c>
      <c r="O44">
        <v>2023</v>
      </c>
    </row>
    <row r="45" spans="1:15" x14ac:dyDescent="0.35">
      <c r="A45" t="s">
        <v>590</v>
      </c>
      <c r="B45" s="22">
        <v>45139</v>
      </c>
      <c r="C45">
        <v>4.000999927520752</v>
      </c>
      <c r="D45">
        <v>4.3619999885559082</v>
      </c>
      <c r="E45">
        <v>3.9570000171661381</v>
      </c>
      <c r="F45">
        <v>4.0929999351501456</v>
      </c>
      <c r="G45">
        <v>0</v>
      </c>
      <c r="H45">
        <v>4.0929999351501456</v>
      </c>
      <c r="I45" t="s">
        <v>591</v>
      </c>
      <c r="J45" s="22">
        <v>45460</v>
      </c>
      <c r="K45">
        <v>3.3846885774077462E-2</v>
      </c>
      <c r="L45">
        <v>9.2000007629394531E-2</v>
      </c>
      <c r="M45">
        <v>0.36100006103515619</v>
      </c>
      <c r="N45" t="s">
        <v>586</v>
      </c>
      <c r="O45">
        <v>2023</v>
      </c>
    </row>
    <row r="46" spans="1:15" x14ac:dyDescent="0.35">
      <c r="A46" t="s">
        <v>590</v>
      </c>
      <c r="B46" s="22">
        <v>45170</v>
      </c>
      <c r="C46">
        <v>4.0970001220703116</v>
      </c>
      <c r="D46">
        <v>4.6880002021789551</v>
      </c>
      <c r="E46">
        <v>4.059999942779541</v>
      </c>
      <c r="F46">
        <v>4.5729999542236328</v>
      </c>
      <c r="G46">
        <v>0</v>
      </c>
      <c r="H46">
        <v>4.5729999542236328</v>
      </c>
      <c r="I46" t="s">
        <v>591</v>
      </c>
      <c r="J46" s="22">
        <v>45460</v>
      </c>
      <c r="K46">
        <v>0.1172734001169433</v>
      </c>
      <c r="L46">
        <v>0.47599983215332031</v>
      </c>
      <c r="M46">
        <v>0.59100008010864258</v>
      </c>
      <c r="N46" t="s">
        <v>584</v>
      </c>
      <c r="O46">
        <v>2023</v>
      </c>
    </row>
    <row r="47" spans="1:15" x14ac:dyDescent="0.35">
      <c r="A47" t="s">
        <v>590</v>
      </c>
      <c r="B47" s="22">
        <v>45200</v>
      </c>
      <c r="C47">
        <v>4.6310000419616699</v>
      </c>
      <c r="D47">
        <v>4.9970002174377441</v>
      </c>
      <c r="E47">
        <v>4.5320000648498544</v>
      </c>
      <c r="F47">
        <v>4.875</v>
      </c>
      <c r="G47">
        <v>0</v>
      </c>
      <c r="H47">
        <v>4.875</v>
      </c>
      <c r="I47" t="s">
        <v>591</v>
      </c>
      <c r="J47" s="22">
        <v>45460</v>
      </c>
      <c r="K47">
        <v>6.6039809490362922E-2</v>
      </c>
      <c r="L47">
        <v>0.24399995803833011</v>
      </c>
      <c r="M47">
        <v>0.36600017547607422</v>
      </c>
      <c r="N47" t="s">
        <v>583</v>
      </c>
      <c r="O47">
        <v>2023</v>
      </c>
    </row>
    <row r="48" spans="1:15" x14ac:dyDescent="0.35">
      <c r="A48" t="s">
        <v>590</v>
      </c>
      <c r="B48" s="22">
        <v>45231</v>
      </c>
      <c r="C48">
        <v>4.8930001258850098</v>
      </c>
      <c r="D48">
        <v>4.9029998779296884</v>
      </c>
      <c r="E48">
        <v>4.2529997825622559</v>
      </c>
      <c r="F48">
        <v>4.3520002365112296</v>
      </c>
      <c r="G48">
        <v>0</v>
      </c>
      <c r="H48">
        <v>4.3520002365112296</v>
      </c>
      <c r="I48" t="s">
        <v>591</v>
      </c>
      <c r="J48" s="22">
        <v>45460</v>
      </c>
      <c r="K48">
        <v>-0.10728200276692711</v>
      </c>
      <c r="L48">
        <v>-0.5409998893737793</v>
      </c>
      <c r="M48">
        <v>9.9997520446777344E-3</v>
      </c>
      <c r="N48" t="s">
        <v>581</v>
      </c>
      <c r="O48">
        <v>2023</v>
      </c>
    </row>
    <row r="49" spans="1:15" x14ac:dyDescent="0.35">
      <c r="A49" t="s">
        <v>590</v>
      </c>
      <c r="B49" s="22">
        <v>45261</v>
      </c>
      <c r="C49">
        <v>4.320000171661377</v>
      </c>
      <c r="D49">
        <v>4.3480000495910636</v>
      </c>
      <c r="E49">
        <v>3.785000085830688</v>
      </c>
      <c r="F49">
        <v>3.8659999370574951</v>
      </c>
      <c r="G49">
        <v>0</v>
      </c>
      <c r="H49">
        <v>3.8659999370574951</v>
      </c>
      <c r="I49" t="s">
        <v>591</v>
      </c>
      <c r="J49" s="22">
        <v>45460</v>
      </c>
      <c r="K49">
        <v>-0.1116728568570429</v>
      </c>
      <c r="L49">
        <v>-0.45400023460388178</v>
      </c>
      <c r="M49">
        <v>2.79998779296875E-2</v>
      </c>
      <c r="N49" t="s">
        <v>584</v>
      </c>
      <c r="O49">
        <v>2023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74CF-61D2-4809-AD79-C0685D255FED}">
  <sheetPr>
    <tabColor theme="6" tint="0.79998168889431442"/>
  </sheetPr>
  <dimension ref="A1:O49"/>
  <sheetViews>
    <sheetView showGridLines="0" workbookViewId="0"/>
  </sheetViews>
  <sheetFormatPr defaultRowHeight="14.5" x14ac:dyDescent="0.35"/>
  <cols>
    <col min="1" max="1" width="8.26953125" bestFit="1" customWidth="1"/>
    <col min="2" max="2" width="12.26953125" bestFit="1" customWidth="1"/>
    <col min="3" max="8" width="11.81640625" bestFit="1" customWidth="1"/>
    <col min="9" max="9" width="14.1796875" bestFit="1" customWidth="1"/>
    <col min="10" max="10" width="11.453125" bestFit="1" customWidth="1"/>
    <col min="11" max="11" width="16.1796875" bestFit="1" customWidth="1"/>
    <col min="12" max="12" width="17" bestFit="1" customWidth="1"/>
    <col min="13" max="13" width="16.36328125" bestFit="1" customWidth="1"/>
    <col min="14" max="14" width="14.54296875" bestFit="1" customWidth="1"/>
    <col min="15" max="15" width="17" bestFit="1" customWidth="1"/>
  </cols>
  <sheetData>
    <row r="1" spans="1:15" x14ac:dyDescent="0.35">
      <c r="A1" t="s">
        <v>211</v>
      </c>
      <c r="B1" t="s">
        <v>567</v>
      </c>
      <c r="C1" t="s">
        <v>568</v>
      </c>
      <c r="D1" t="s">
        <v>569</v>
      </c>
      <c r="E1" t="s">
        <v>570</v>
      </c>
      <c r="F1" t="s">
        <v>571</v>
      </c>
      <c r="G1" t="s">
        <v>572</v>
      </c>
      <c r="H1" t="s">
        <v>573</v>
      </c>
      <c r="I1" t="s">
        <v>139</v>
      </c>
      <c r="J1" t="s">
        <v>574</v>
      </c>
      <c r="K1" t="s">
        <v>575</v>
      </c>
      <c r="L1" t="s">
        <v>576</v>
      </c>
      <c r="M1" t="s">
        <v>577</v>
      </c>
      <c r="N1" t="s">
        <v>578</v>
      </c>
      <c r="O1" t="s">
        <v>579</v>
      </c>
    </row>
    <row r="2" spans="1:15" x14ac:dyDescent="0.35">
      <c r="A2" t="s">
        <v>580</v>
      </c>
      <c r="B2" s="22">
        <v>43831</v>
      </c>
      <c r="C2">
        <v>3244.669921875</v>
      </c>
      <c r="D2">
        <v>3337.77001953125</v>
      </c>
      <c r="E2">
        <v>3214.639892578125</v>
      </c>
      <c r="F2">
        <v>3225.52001953125</v>
      </c>
      <c r="G2">
        <v>77287980000</v>
      </c>
      <c r="H2">
        <v>3225.52001953125</v>
      </c>
      <c r="I2" t="s">
        <v>631</v>
      </c>
      <c r="J2" s="22">
        <v>45496</v>
      </c>
      <c r="L2">
        <v>-19.14990234375</v>
      </c>
      <c r="M2">
        <v>93.10009765625</v>
      </c>
      <c r="N2" t="s">
        <v>581</v>
      </c>
      <c r="O2">
        <v>2020</v>
      </c>
    </row>
    <row r="3" spans="1:15" x14ac:dyDescent="0.35">
      <c r="A3" t="s">
        <v>580</v>
      </c>
      <c r="B3" s="22">
        <v>43862</v>
      </c>
      <c r="C3">
        <v>3235.659912109375</v>
      </c>
      <c r="D3">
        <v>3393.52001953125</v>
      </c>
      <c r="E3">
        <v>2855.840087890625</v>
      </c>
      <c r="F3">
        <v>2954.219970703125</v>
      </c>
      <c r="G3">
        <v>84436590000</v>
      </c>
      <c r="H3">
        <v>2954.219970703125</v>
      </c>
      <c r="I3" t="s">
        <v>631</v>
      </c>
      <c r="J3" s="22">
        <v>45496</v>
      </c>
      <c r="K3">
        <v>-8.4110483638403122E-2</v>
      </c>
      <c r="L3">
        <v>-281.43994140625</v>
      </c>
      <c r="M3">
        <v>157.860107421875</v>
      </c>
      <c r="N3" t="s">
        <v>582</v>
      </c>
      <c r="O3">
        <v>2020</v>
      </c>
    </row>
    <row r="4" spans="1:15" x14ac:dyDescent="0.35">
      <c r="A4" t="s">
        <v>580</v>
      </c>
      <c r="B4" s="22">
        <v>43891</v>
      </c>
      <c r="C4">
        <v>2974.280029296875</v>
      </c>
      <c r="D4">
        <v>3136.719970703125</v>
      </c>
      <c r="E4">
        <v>2191.860107421875</v>
      </c>
      <c r="F4">
        <v>2584.590087890625</v>
      </c>
      <c r="G4">
        <v>162185380000</v>
      </c>
      <c r="H4">
        <v>2584.590087890625</v>
      </c>
      <c r="I4" t="s">
        <v>631</v>
      </c>
      <c r="J4" s="22">
        <v>45496</v>
      </c>
      <c r="K4">
        <v>-0.1251192824089282</v>
      </c>
      <c r="L4">
        <v>-389.68994140625</v>
      </c>
      <c r="M4">
        <v>162.43994140625</v>
      </c>
      <c r="N4" t="s">
        <v>583</v>
      </c>
      <c r="O4">
        <v>2020</v>
      </c>
    </row>
    <row r="5" spans="1:15" x14ac:dyDescent="0.35">
      <c r="A5" t="s">
        <v>580</v>
      </c>
      <c r="B5" s="22">
        <v>43922</v>
      </c>
      <c r="C5">
        <v>2498.080078125</v>
      </c>
      <c r="D5">
        <v>2954.860107421875</v>
      </c>
      <c r="E5">
        <v>2447.489990234375</v>
      </c>
      <c r="F5">
        <v>2912.429931640625</v>
      </c>
      <c r="G5">
        <v>123608160000</v>
      </c>
      <c r="H5">
        <v>2912.429931640625</v>
      </c>
      <c r="I5" t="s">
        <v>631</v>
      </c>
      <c r="J5" s="22">
        <v>45496</v>
      </c>
      <c r="K5">
        <v>0.12684403816527889</v>
      </c>
      <c r="L5">
        <v>414.349853515625</v>
      </c>
      <c r="M5">
        <v>456.780029296875</v>
      </c>
      <c r="N5" t="s">
        <v>581</v>
      </c>
      <c r="O5">
        <v>2020</v>
      </c>
    </row>
    <row r="6" spans="1:15" x14ac:dyDescent="0.35">
      <c r="A6" t="s">
        <v>580</v>
      </c>
      <c r="B6" s="22">
        <v>43952</v>
      </c>
      <c r="C6">
        <v>2869.090087890625</v>
      </c>
      <c r="D6">
        <v>3068.669921875</v>
      </c>
      <c r="E6">
        <v>2766.639892578125</v>
      </c>
      <c r="F6">
        <v>3044.31005859375</v>
      </c>
      <c r="G6">
        <v>107135190000</v>
      </c>
      <c r="H6">
        <v>3044.31005859375</v>
      </c>
      <c r="I6" t="s">
        <v>631</v>
      </c>
      <c r="J6" s="22">
        <v>45496</v>
      </c>
      <c r="K6">
        <v>4.5281819665558221E-2</v>
      </c>
      <c r="L6">
        <v>175.219970703125</v>
      </c>
      <c r="M6">
        <v>199.579833984375</v>
      </c>
      <c r="N6" t="s">
        <v>584</v>
      </c>
      <c r="O6">
        <v>2020</v>
      </c>
    </row>
    <row r="7" spans="1:15" x14ac:dyDescent="0.35">
      <c r="A7" t="s">
        <v>580</v>
      </c>
      <c r="B7" s="22">
        <v>43983</v>
      </c>
      <c r="C7">
        <v>3038.780029296875</v>
      </c>
      <c r="D7">
        <v>3233.1298828125</v>
      </c>
      <c r="E7">
        <v>2965.659912109375</v>
      </c>
      <c r="F7">
        <v>3100.2900390625</v>
      </c>
      <c r="G7">
        <v>131458880000</v>
      </c>
      <c r="H7">
        <v>3100.2900390625</v>
      </c>
      <c r="I7" t="s">
        <v>631</v>
      </c>
      <c r="J7" s="22">
        <v>45496</v>
      </c>
      <c r="K7">
        <v>1.838839651392421E-2</v>
      </c>
      <c r="L7">
        <v>61.510009765625</v>
      </c>
      <c r="M7">
        <v>194.349853515625</v>
      </c>
      <c r="N7" t="s">
        <v>585</v>
      </c>
      <c r="O7">
        <v>2020</v>
      </c>
    </row>
    <row r="8" spans="1:15" x14ac:dyDescent="0.35">
      <c r="A8" t="s">
        <v>580</v>
      </c>
      <c r="B8" s="22">
        <v>44013</v>
      </c>
      <c r="C8">
        <v>3105.919921875</v>
      </c>
      <c r="D8">
        <v>3279.989990234375</v>
      </c>
      <c r="E8">
        <v>3101.169921875</v>
      </c>
      <c r="F8">
        <v>3271.1201171875</v>
      </c>
      <c r="G8">
        <v>96928130000</v>
      </c>
      <c r="H8">
        <v>3271.1201171875</v>
      </c>
      <c r="I8" t="s">
        <v>631</v>
      </c>
      <c r="J8" s="22">
        <v>45496</v>
      </c>
      <c r="K8">
        <v>5.5101321480443673E-2</v>
      </c>
      <c r="L8">
        <v>165.2001953125</v>
      </c>
      <c r="M8">
        <v>174.070068359375</v>
      </c>
      <c r="N8" t="s">
        <v>581</v>
      </c>
      <c r="O8">
        <v>2020</v>
      </c>
    </row>
    <row r="9" spans="1:15" x14ac:dyDescent="0.35">
      <c r="A9" t="s">
        <v>580</v>
      </c>
      <c r="B9" s="22">
        <v>44044</v>
      </c>
      <c r="C9">
        <v>3288.260009765625</v>
      </c>
      <c r="D9">
        <v>3514.77001953125</v>
      </c>
      <c r="E9">
        <v>3284.530029296875</v>
      </c>
      <c r="F9">
        <v>3500.31005859375</v>
      </c>
      <c r="G9">
        <v>82466520000</v>
      </c>
      <c r="H9">
        <v>3500.31005859375</v>
      </c>
      <c r="I9" t="s">
        <v>631</v>
      </c>
      <c r="J9" s="22">
        <v>45496</v>
      </c>
      <c r="K9">
        <v>7.0064666901717754E-2</v>
      </c>
      <c r="L9">
        <v>212.050048828125</v>
      </c>
      <c r="M9">
        <v>226.510009765625</v>
      </c>
      <c r="N9" t="s">
        <v>582</v>
      </c>
      <c r="O9">
        <v>2020</v>
      </c>
    </row>
    <row r="10" spans="1:15" x14ac:dyDescent="0.35">
      <c r="A10" t="s">
        <v>580</v>
      </c>
      <c r="B10" s="22">
        <v>44075</v>
      </c>
      <c r="C10">
        <v>3507.43994140625</v>
      </c>
      <c r="D10">
        <v>3588.110107421875</v>
      </c>
      <c r="E10">
        <v>3209.449951171875</v>
      </c>
      <c r="F10">
        <v>3363</v>
      </c>
      <c r="G10">
        <v>92310780000</v>
      </c>
      <c r="H10">
        <v>3363</v>
      </c>
      <c r="I10" t="s">
        <v>631</v>
      </c>
      <c r="J10" s="22">
        <v>45496</v>
      </c>
      <c r="K10">
        <v>-3.9227970178423062E-2</v>
      </c>
      <c r="L10">
        <v>-144.43994140625</v>
      </c>
      <c r="M10">
        <v>80.670166015625</v>
      </c>
      <c r="N10" t="s">
        <v>586</v>
      </c>
      <c r="O10">
        <v>2020</v>
      </c>
    </row>
    <row r="11" spans="1:15" x14ac:dyDescent="0.35">
      <c r="A11" t="s">
        <v>580</v>
      </c>
      <c r="B11" s="22">
        <v>44105</v>
      </c>
      <c r="C11">
        <v>3385.8701171875</v>
      </c>
      <c r="D11">
        <v>3549.85009765625</v>
      </c>
      <c r="E11">
        <v>3233.93994140625</v>
      </c>
      <c r="F11">
        <v>3269.9599609375</v>
      </c>
      <c r="G11">
        <v>89938980000</v>
      </c>
      <c r="H11">
        <v>3269.9599609375</v>
      </c>
      <c r="I11" t="s">
        <v>631</v>
      </c>
      <c r="J11" s="22">
        <v>45496</v>
      </c>
      <c r="K11">
        <v>-2.7665786221379721E-2</v>
      </c>
      <c r="L11">
        <v>-115.91015625</v>
      </c>
      <c r="M11">
        <v>163.97998046875</v>
      </c>
      <c r="N11" t="s">
        <v>587</v>
      </c>
      <c r="O11">
        <v>2020</v>
      </c>
    </row>
    <row r="12" spans="1:15" x14ac:dyDescent="0.35">
      <c r="A12" t="s">
        <v>580</v>
      </c>
      <c r="B12" s="22">
        <v>44136</v>
      </c>
      <c r="C12">
        <v>3296.199951171875</v>
      </c>
      <c r="D12">
        <v>3645.989990234375</v>
      </c>
      <c r="E12">
        <v>3279.739990234375</v>
      </c>
      <c r="F12">
        <v>3621.6298828125</v>
      </c>
      <c r="G12">
        <v>101247180000</v>
      </c>
      <c r="H12">
        <v>3621.6298828125</v>
      </c>
      <c r="I12" t="s">
        <v>631</v>
      </c>
      <c r="J12" s="22">
        <v>45496</v>
      </c>
      <c r="K12">
        <v>0.1075456354438591</v>
      </c>
      <c r="L12">
        <v>325.429931640625</v>
      </c>
      <c r="M12">
        <v>349.7900390625</v>
      </c>
      <c r="N12" t="s">
        <v>583</v>
      </c>
      <c r="O12">
        <v>2020</v>
      </c>
    </row>
    <row r="13" spans="1:15" x14ac:dyDescent="0.35">
      <c r="A13" t="s">
        <v>580</v>
      </c>
      <c r="B13" s="22">
        <v>44166</v>
      </c>
      <c r="C13">
        <v>3645.8701171875</v>
      </c>
      <c r="D13">
        <v>3760.199951171875</v>
      </c>
      <c r="E13">
        <v>3633.39990234375</v>
      </c>
      <c r="F13">
        <v>3756.070068359375</v>
      </c>
      <c r="G13">
        <v>96375680000</v>
      </c>
      <c r="H13">
        <v>3756.070068359375</v>
      </c>
      <c r="I13" t="s">
        <v>631</v>
      </c>
      <c r="J13" s="22">
        <v>45496</v>
      </c>
      <c r="K13">
        <v>3.7121459093570008E-2</v>
      </c>
      <c r="L13">
        <v>110.199951171875</v>
      </c>
      <c r="M13">
        <v>114.329833984375</v>
      </c>
      <c r="N13" t="s">
        <v>586</v>
      </c>
      <c r="O13">
        <v>2020</v>
      </c>
    </row>
    <row r="14" spans="1:15" x14ac:dyDescent="0.35">
      <c r="A14" t="s">
        <v>580</v>
      </c>
      <c r="B14" s="22">
        <v>44197</v>
      </c>
      <c r="C14">
        <v>3764.610107421875</v>
      </c>
      <c r="D14">
        <v>3870.89990234375</v>
      </c>
      <c r="E14">
        <v>3662.7099609375</v>
      </c>
      <c r="F14">
        <v>3714.239990234375</v>
      </c>
      <c r="G14">
        <v>106117800000</v>
      </c>
      <c r="H14">
        <v>3714.239990234375</v>
      </c>
      <c r="I14" t="s">
        <v>631</v>
      </c>
      <c r="J14" s="22">
        <v>45496</v>
      </c>
      <c r="K14">
        <v>-1.113666075544517E-2</v>
      </c>
      <c r="L14">
        <v>-50.3701171875</v>
      </c>
      <c r="M14">
        <v>106.289794921875</v>
      </c>
      <c r="N14" t="s">
        <v>584</v>
      </c>
      <c r="O14">
        <v>2021</v>
      </c>
    </row>
    <row r="15" spans="1:15" x14ac:dyDescent="0.35">
      <c r="A15" t="s">
        <v>580</v>
      </c>
      <c r="B15" s="22">
        <v>44228</v>
      </c>
      <c r="C15">
        <v>3731.169921875</v>
      </c>
      <c r="D15">
        <v>3950.429931640625</v>
      </c>
      <c r="E15">
        <v>3725.6201171875</v>
      </c>
      <c r="F15">
        <v>3811.14990234375</v>
      </c>
      <c r="G15">
        <v>99082320000</v>
      </c>
      <c r="H15">
        <v>3811.14990234375</v>
      </c>
      <c r="I15" t="s">
        <v>631</v>
      </c>
      <c r="J15" s="22">
        <v>45496</v>
      </c>
      <c r="K15">
        <v>2.609145137744839E-2</v>
      </c>
      <c r="L15">
        <v>79.97998046875</v>
      </c>
      <c r="M15">
        <v>219.260009765625</v>
      </c>
      <c r="N15" t="s">
        <v>585</v>
      </c>
      <c r="O15">
        <v>2021</v>
      </c>
    </row>
    <row r="16" spans="1:15" x14ac:dyDescent="0.35">
      <c r="A16" t="s">
        <v>580</v>
      </c>
      <c r="B16" s="22">
        <v>44256</v>
      </c>
      <c r="C16">
        <v>3842.510009765625</v>
      </c>
      <c r="D16">
        <v>3994.409912109375</v>
      </c>
      <c r="E16">
        <v>3723.340087890625</v>
      </c>
      <c r="F16">
        <v>3972.889892578125</v>
      </c>
      <c r="G16">
        <v>122371150000</v>
      </c>
      <c r="H16">
        <v>3972.889892578125</v>
      </c>
      <c r="I16" t="s">
        <v>631</v>
      </c>
      <c r="J16" s="22">
        <v>45496</v>
      </c>
      <c r="K16">
        <v>4.2438632533165148E-2</v>
      </c>
      <c r="L16">
        <v>130.3798828125</v>
      </c>
      <c r="M16">
        <v>151.89990234375</v>
      </c>
      <c r="N16" t="s">
        <v>585</v>
      </c>
      <c r="O16">
        <v>2021</v>
      </c>
    </row>
    <row r="17" spans="1:15" x14ac:dyDescent="0.35">
      <c r="A17" t="s">
        <v>580</v>
      </c>
      <c r="B17" s="22">
        <v>44287</v>
      </c>
      <c r="C17">
        <v>3992.780029296875</v>
      </c>
      <c r="D17">
        <v>4218.77978515625</v>
      </c>
      <c r="E17">
        <v>3992.780029296875</v>
      </c>
      <c r="F17">
        <v>4181.169921875</v>
      </c>
      <c r="G17">
        <v>83124090000</v>
      </c>
      <c r="H17">
        <v>4181.169921875</v>
      </c>
      <c r="I17" t="s">
        <v>631</v>
      </c>
      <c r="J17" s="22">
        <v>45496</v>
      </c>
      <c r="K17">
        <v>5.2425321347558507E-2</v>
      </c>
      <c r="L17">
        <v>188.389892578125</v>
      </c>
      <c r="M17">
        <v>225.999755859375</v>
      </c>
      <c r="N17" t="s">
        <v>587</v>
      </c>
      <c r="O17">
        <v>2021</v>
      </c>
    </row>
    <row r="18" spans="1:15" x14ac:dyDescent="0.35">
      <c r="A18" t="s">
        <v>580</v>
      </c>
      <c r="B18" s="22">
        <v>44317</v>
      </c>
      <c r="C18">
        <v>4191.97998046875</v>
      </c>
      <c r="D18">
        <v>4238.0400390625</v>
      </c>
      <c r="E18">
        <v>4056.8798828125</v>
      </c>
      <c r="F18">
        <v>4204.10986328125</v>
      </c>
      <c r="G18">
        <v>88321860000</v>
      </c>
      <c r="H18">
        <v>4204.10986328125</v>
      </c>
      <c r="I18" t="s">
        <v>631</v>
      </c>
      <c r="J18" s="22">
        <v>45496</v>
      </c>
      <c r="K18">
        <v>5.4864886706069704E-3</v>
      </c>
      <c r="L18">
        <v>12.1298828125</v>
      </c>
      <c r="M18">
        <v>46.06005859375</v>
      </c>
      <c r="N18" t="s">
        <v>582</v>
      </c>
      <c r="O18">
        <v>2021</v>
      </c>
    </row>
    <row r="19" spans="1:15" x14ac:dyDescent="0.35">
      <c r="A19" t="s">
        <v>580</v>
      </c>
      <c r="B19" s="22">
        <v>44348</v>
      </c>
      <c r="C19">
        <v>4216.52001953125</v>
      </c>
      <c r="D19">
        <v>4302.43017578125</v>
      </c>
      <c r="E19">
        <v>4164.39990234375</v>
      </c>
      <c r="F19">
        <v>4297.5</v>
      </c>
      <c r="G19">
        <v>102544180000</v>
      </c>
      <c r="H19">
        <v>4297.5</v>
      </c>
      <c r="I19" t="s">
        <v>631</v>
      </c>
      <c r="J19" s="22">
        <v>45496</v>
      </c>
      <c r="K19">
        <v>2.221400956583475E-2</v>
      </c>
      <c r="L19">
        <v>80.97998046875</v>
      </c>
      <c r="M19">
        <v>85.91015625</v>
      </c>
      <c r="N19" t="s">
        <v>586</v>
      </c>
      <c r="O19">
        <v>2021</v>
      </c>
    </row>
    <row r="20" spans="1:15" x14ac:dyDescent="0.35">
      <c r="A20" t="s">
        <v>580</v>
      </c>
      <c r="B20" s="22">
        <v>44378</v>
      </c>
      <c r="C20">
        <v>4300.72998046875</v>
      </c>
      <c r="D20">
        <v>4429.97021484375</v>
      </c>
      <c r="E20">
        <v>4233.1298828125</v>
      </c>
      <c r="F20">
        <v>4395.259765625</v>
      </c>
      <c r="G20">
        <v>84255620000</v>
      </c>
      <c r="H20">
        <v>4395.259765625</v>
      </c>
      <c r="I20" t="s">
        <v>631</v>
      </c>
      <c r="J20" s="22">
        <v>45496</v>
      </c>
      <c r="K20">
        <v>2.2748054828388709E-2</v>
      </c>
      <c r="L20">
        <v>94.52978515625</v>
      </c>
      <c r="M20">
        <v>129.240234375</v>
      </c>
      <c r="N20" t="s">
        <v>587</v>
      </c>
      <c r="O20">
        <v>2021</v>
      </c>
    </row>
    <row r="21" spans="1:15" x14ac:dyDescent="0.35">
      <c r="A21" t="s">
        <v>580</v>
      </c>
      <c r="B21" s="22">
        <v>44409</v>
      </c>
      <c r="C21">
        <v>4406.85986328125</v>
      </c>
      <c r="D21">
        <v>4537.35986328125</v>
      </c>
      <c r="E21">
        <v>4367.72998046875</v>
      </c>
      <c r="F21">
        <v>4522.68017578125</v>
      </c>
      <c r="G21">
        <v>80500760000</v>
      </c>
      <c r="H21">
        <v>4522.68017578125</v>
      </c>
      <c r="I21" t="s">
        <v>631</v>
      </c>
      <c r="J21" s="22">
        <v>45496</v>
      </c>
      <c r="K21">
        <v>2.899041625543863E-2</v>
      </c>
      <c r="L21">
        <v>115.8203125</v>
      </c>
      <c r="M21">
        <v>130.5</v>
      </c>
      <c r="N21" t="s">
        <v>583</v>
      </c>
      <c r="O21">
        <v>2021</v>
      </c>
    </row>
    <row r="22" spans="1:15" x14ac:dyDescent="0.35">
      <c r="A22" t="s">
        <v>580</v>
      </c>
      <c r="B22" s="22">
        <v>44440</v>
      </c>
      <c r="C22">
        <v>4528.7998046875</v>
      </c>
      <c r="D22">
        <v>4545.85009765625</v>
      </c>
      <c r="E22">
        <v>4305.91015625</v>
      </c>
      <c r="F22">
        <v>4307.5400390625</v>
      </c>
      <c r="G22">
        <v>85528860000</v>
      </c>
      <c r="H22">
        <v>4307.5400390625</v>
      </c>
      <c r="I22" t="s">
        <v>631</v>
      </c>
      <c r="J22" s="22">
        <v>45496</v>
      </c>
      <c r="K22">
        <v>-4.7569168801901103E-2</v>
      </c>
      <c r="L22">
        <v>-221.259765625</v>
      </c>
      <c r="M22">
        <v>17.05029296875</v>
      </c>
      <c r="N22" t="s">
        <v>581</v>
      </c>
      <c r="O22">
        <v>2021</v>
      </c>
    </row>
    <row r="23" spans="1:15" x14ac:dyDescent="0.35">
      <c r="A23" t="s">
        <v>580</v>
      </c>
      <c r="B23" s="22">
        <v>44470</v>
      </c>
      <c r="C23">
        <v>4317.16015625</v>
      </c>
      <c r="D23">
        <v>4608.080078125</v>
      </c>
      <c r="E23">
        <v>4278.93994140625</v>
      </c>
      <c r="F23">
        <v>4605.3798828125</v>
      </c>
      <c r="G23">
        <v>80253600000</v>
      </c>
      <c r="H23">
        <v>4605.3798828125</v>
      </c>
      <c r="I23" t="s">
        <v>631</v>
      </c>
      <c r="J23" s="22">
        <v>45496</v>
      </c>
      <c r="K23">
        <v>6.9143836400606506E-2</v>
      </c>
      <c r="L23">
        <v>288.2197265625</v>
      </c>
      <c r="M23">
        <v>290.919921875</v>
      </c>
      <c r="N23" t="s">
        <v>584</v>
      </c>
      <c r="O23">
        <v>2021</v>
      </c>
    </row>
    <row r="24" spans="1:15" x14ac:dyDescent="0.35">
      <c r="A24" t="s">
        <v>580</v>
      </c>
      <c r="B24" s="22">
        <v>44501</v>
      </c>
      <c r="C24">
        <v>4610.6201171875</v>
      </c>
      <c r="D24">
        <v>4743.830078125</v>
      </c>
      <c r="E24">
        <v>4560</v>
      </c>
      <c r="F24">
        <v>4567</v>
      </c>
      <c r="G24">
        <v>88268840000</v>
      </c>
      <c r="H24">
        <v>4567</v>
      </c>
      <c r="I24" t="s">
        <v>631</v>
      </c>
      <c r="J24" s="22">
        <v>45496</v>
      </c>
      <c r="K24">
        <v>-8.3337061847461591E-3</v>
      </c>
      <c r="L24">
        <v>-43.6201171875</v>
      </c>
      <c r="M24">
        <v>133.2099609375</v>
      </c>
      <c r="N24" t="s">
        <v>585</v>
      </c>
      <c r="O24">
        <v>2021</v>
      </c>
    </row>
    <row r="25" spans="1:15" x14ac:dyDescent="0.35">
      <c r="A25" t="s">
        <v>580</v>
      </c>
      <c r="B25" s="22">
        <v>44531</v>
      </c>
      <c r="C25">
        <v>4602.81982421875</v>
      </c>
      <c r="D25">
        <v>4808.93017578125</v>
      </c>
      <c r="E25">
        <v>4495.1201171875</v>
      </c>
      <c r="F25">
        <v>4766.18017578125</v>
      </c>
      <c r="G25">
        <v>92750180000</v>
      </c>
      <c r="H25">
        <v>4766.18017578125</v>
      </c>
      <c r="I25" t="s">
        <v>631</v>
      </c>
      <c r="J25" s="22">
        <v>45496</v>
      </c>
      <c r="K25">
        <v>4.3612913462064862E-2</v>
      </c>
      <c r="L25">
        <v>163.3603515625</v>
      </c>
      <c r="M25">
        <v>206.1103515625</v>
      </c>
      <c r="N25" t="s">
        <v>581</v>
      </c>
      <c r="O25">
        <v>2021</v>
      </c>
    </row>
    <row r="26" spans="1:15" x14ac:dyDescent="0.35">
      <c r="A26" t="s">
        <v>580</v>
      </c>
      <c r="B26" s="22">
        <v>44562</v>
      </c>
      <c r="C26">
        <v>4778.14013671875</v>
      </c>
      <c r="D26">
        <v>4818.6201171875</v>
      </c>
      <c r="E26">
        <v>4222.6201171875</v>
      </c>
      <c r="F26">
        <v>4515.5498046875</v>
      </c>
      <c r="G26">
        <v>95562890000</v>
      </c>
      <c r="H26">
        <v>4515.5498046875</v>
      </c>
      <c r="I26" t="s">
        <v>631</v>
      </c>
      <c r="J26" s="22">
        <v>45496</v>
      </c>
      <c r="K26">
        <v>-5.2585165027393847E-2</v>
      </c>
      <c r="L26">
        <v>-262.59033203125</v>
      </c>
      <c r="M26">
        <v>40.47998046875</v>
      </c>
      <c r="N26" t="s">
        <v>582</v>
      </c>
      <c r="O26">
        <v>2022</v>
      </c>
    </row>
    <row r="27" spans="1:15" x14ac:dyDescent="0.35">
      <c r="A27" t="s">
        <v>580</v>
      </c>
      <c r="B27" s="22">
        <v>44593</v>
      </c>
      <c r="C27">
        <v>4519.56982421875</v>
      </c>
      <c r="D27">
        <v>4595.31005859375</v>
      </c>
      <c r="E27">
        <v>4114.64990234375</v>
      </c>
      <c r="F27">
        <v>4373.93994140625</v>
      </c>
      <c r="G27">
        <v>92667710000</v>
      </c>
      <c r="H27">
        <v>4373.93994140625</v>
      </c>
      <c r="I27" t="s">
        <v>631</v>
      </c>
      <c r="J27" s="22">
        <v>45496</v>
      </c>
      <c r="K27">
        <v>-3.1360491945908293E-2</v>
      </c>
      <c r="L27">
        <v>-145.6298828125</v>
      </c>
      <c r="M27">
        <v>75.740234375</v>
      </c>
      <c r="N27" t="s">
        <v>586</v>
      </c>
      <c r="O27">
        <v>2022</v>
      </c>
    </row>
    <row r="28" spans="1:15" x14ac:dyDescent="0.35">
      <c r="A28" t="s">
        <v>580</v>
      </c>
      <c r="B28" s="22">
        <v>44621</v>
      </c>
      <c r="C28">
        <v>4363.14013671875</v>
      </c>
      <c r="D28">
        <v>4637.2998046875</v>
      </c>
      <c r="E28">
        <v>4157.8701171875</v>
      </c>
      <c r="F28">
        <v>4530.41015625</v>
      </c>
      <c r="G28">
        <v>123546260000</v>
      </c>
      <c r="H28">
        <v>4530.41015625</v>
      </c>
      <c r="I28" t="s">
        <v>631</v>
      </c>
      <c r="J28" s="22">
        <v>45496</v>
      </c>
      <c r="K28">
        <v>3.5773288371546252E-2</v>
      </c>
      <c r="L28">
        <v>167.27001953125</v>
      </c>
      <c r="M28">
        <v>274.15966796875</v>
      </c>
      <c r="N28" t="s">
        <v>586</v>
      </c>
      <c r="O28">
        <v>2022</v>
      </c>
    </row>
    <row r="29" spans="1:15" x14ac:dyDescent="0.35">
      <c r="A29" t="s">
        <v>580</v>
      </c>
      <c r="B29" s="22">
        <v>44652</v>
      </c>
      <c r="C29">
        <v>4540.31982421875</v>
      </c>
      <c r="D29">
        <v>4593.4501953125</v>
      </c>
      <c r="E29">
        <v>4124.27978515625</v>
      </c>
      <c r="F29">
        <v>4131.93017578125</v>
      </c>
      <c r="G29">
        <v>90367840000</v>
      </c>
      <c r="H29">
        <v>4131.93017578125</v>
      </c>
      <c r="I29" t="s">
        <v>631</v>
      </c>
      <c r="J29" s="22">
        <v>45496</v>
      </c>
      <c r="K29">
        <v>-8.7956711804343057E-2</v>
      </c>
      <c r="L29">
        <v>-408.3896484375</v>
      </c>
      <c r="M29">
        <v>53.13037109375</v>
      </c>
      <c r="N29" t="s">
        <v>584</v>
      </c>
      <c r="O29">
        <v>2022</v>
      </c>
    </row>
    <row r="30" spans="1:15" x14ac:dyDescent="0.35">
      <c r="A30" t="s">
        <v>580</v>
      </c>
      <c r="B30" s="22">
        <v>44682</v>
      </c>
      <c r="C30">
        <v>4130.60986328125</v>
      </c>
      <c r="D30">
        <v>4307.66015625</v>
      </c>
      <c r="E30">
        <v>3810.320068359375</v>
      </c>
      <c r="F30">
        <v>4132.14990234375</v>
      </c>
      <c r="G30">
        <v>108860390000</v>
      </c>
      <c r="H30">
        <v>4132.14990234375</v>
      </c>
      <c r="I30" t="s">
        <v>631</v>
      </c>
      <c r="J30" s="22">
        <v>45496</v>
      </c>
      <c r="K30">
        <v>5.3177704644635782E-5</v>
      </c>
      <c r="L30">
        <v>1.5400390625</v>
      </c>
      <c r="M30">
        <v>177.05029296875</v>
      </c>
      <c r="N30" t="s">
        <v>583</v>
      </c>
      <c r="O30">
        <v>2022</v>
      </c>
    </row>
    <row r="31" spans="1:15" x14ac:dyDescent="0.35">
      <c r="A31" t="s">
        <v>580</v>
      </c>
      <c r="B31" s="22">
        <v>44713</v>
      </c>
      <c r="C31">
        <v>4149.77978515625</v>
      </c>
      <c r="D31">
        <v>4177.509765625</v>
      </c>
      <c r="E31">
        <v>3636.8701171875</v>
      </c>
      <c r="F31">
        <v>3785.3798828125</v>
      </c>
      <c r="G31">
        <v>106116710000</v>
      </c>
      <c r="H31">
        <v>3785.3798828125</v>
      </c>
      <c r="I31" t="s">
        <v>631</v>
      </c>
      <c r="J31" s="22">
        <v>45496</v>
      </c>
      <c r="K31">
        <v>-8.3919999933826817E-2</v>
      </c>
      <c r="L31">
        <v>-364.39990234375</v>
      </c>
      <c r="M31">
        <v>27.72998046875</v>
      </c>
      <c r="N31" t="s">
        <v>581</v>
      </c>
      <c r="O31">
        <v>2022</v>
      </c>
    </row>
    <row r="32" spans="1:15" x14ac:dyDescent="0.35">
      <c r="A32" t="s">
        <v>580</v>
      </c>
      <c r="B32" s="22">
        <v>44743</v>
      </c>
      <c r="C32">
        <v>3781</v>
      </c>
      <c r="D32">
        <v>4140.14990234375</v>
      </c>
      <c r="E32">
        <v>3721.56005859375</v>
      </c>
      <c r="F32">
        <v>4130.2900390625</v>
      </c>
      <c r="G32">
        <v>81688320000</v>
      </c>
      <c r="H32">
        <v>4130.2900390625</v>
      </c>
      <c r="I32" t="s">
        <v>631</v>
      </c>
      <c r="J32" s="22">
        <v>45496</v>
      </c>
      <c r="K32">
        <v>9.1116391730210022E-2</v>
      </c>
      <c r="L32">
        <v>349.2900390625</v>
      </c>
      <c r="M32">
        <v>359.14990234375</v>
      </c>
      <c r="N32" t="s">
        <v>584</v>
      </c>
      <c r="O32">
        <v>2022</v>
      </c>
    </row>
    <row r="33" spans="1:15" x14ac:dyDescent="0.35">
      <c r="A33" t="s">
        <v>580</v>
      </c>
      <c r="B33" s="22">
        <v>44774</v>
      </c>
      <c r="C33">
        <v>4112.3798828125</v>
      </c>
      <c r="D33">
        <v>4325.27978515625</v>
      </c>
      <c r="E33">
        <v>3954.530029296875</v>
      </c>
      <c r="F33">
        <v>3955</v>
      </c>
      <c r="G33">
        <v>92252350000</v>
      </c>
      <c r="H33">
        <v>3955</v>
      </c>
      <c r="I33" t="s">
        <v>631</v>
      </c>
      <c r="J33" s="22">
        <v>45496</v>
      </c>
      <c r="K33">
        <v>-4.2440128272998368E-2</v>
      </c>
      <c r="L33">
        <v>-157.3798828125</v>
      </c>
      <c r="M33">
        <v>212.89990234375</v>
      </c>
      <c r="N33" t="s">
        <v>585</v>
      </c>
      <c r="O33">
        <v>2022</v>
      </c>
    </row>
    <row r="34" spans="1:15" x14ac:dyDescent="0.35">
      <c r="A34" t="s">
        <v>580</v>
      </c>
      <c r="B34" s="22">
        <v>44805</v>
      </c>
      <c r="C34">
        <v>3936.72998046875</v>
      </c>
      <c r="D34">
        <v>4119.27978515625</v>
      </c>
      <c r="E34">
        <v>3584.1298828125</v>
      </c>
      <c r="F34">
        <v>3585.6201171875</v>
      </c>
      <c r="G34">
        <v>94241020000</v>
      </c>
      <c r="H34">
        <v>3585.6201171875</v>
      </c>
      <c r="I34" t="s">
        <v>631</v>
      </c>
      <c r="J34" s="22">
        <v>45496</v>
      </c>
      <c r="K34">
        <v>-9.3395672013274367E-2</v>
      </c>
      <c r="L34">
        <v>-351.10986328125</v>
      </c>
      <c r="M34">
        <v>182.5498046875</v>
      </c>
      <c r="N34" t="s">
        <v>587</v>
      </c>
      <c r="O34">
        <v>2022</v>
      </c>
    </row>
    <row r="35" spans="1:15" x14ac:dyDescent="0.35">
      <c r="A35" t="s">
        <v>580</v>
      </c>
      <c r="B35" s="22">
        <v>44835</v>
      </c>
      <c r="C35">
        <v>3609.780029296875</v>
      </c>
      <c r="D35">
        <v>3905.419921875</v>
      </c>
      <c r="E35">
        <v>3491.580078125</v>
      </c>
      <c r="F35">
        <v>3871.97998046875</v>
      </c>
      <c r="G35">
        <v>95823760000</v>
      </c>
      <c r="H35">
        <v>3871.97998046875</v>
      </c>
      <c r="I35" t="s">
        <v>631</v>
      </c>
      <c r="J35" s="22">
        <v>45496</v>
      </c>
      <c r="K35">
        <v>7.9863413837008901E-2</v>
      </c>
      <c r="L35">
        <v>262.199951171875</v>
      </c>
      <c r="M35">
        <v>295.639892578125</v>
      </c>
      <c r="N35" t="s">
        <v>582</v>
      </c>
      <c r="O35">
        <v>2022</v>
      </c>
    </row>
    <row r="36" spans="1:15" x14ac:dyDescent="0.35">
      <c r="A36" t="s">
        <v>580</v>
      </c>
      <c r="B36" s="22">
        <v>44866</v>
      </c>
      <c r="C36">
        <v>3901.7900390625</v>
      </c>
      <c r="D36">
        <v>4080.110107421875</v>
      </c>
      <c r="E36">
        <v>3698.14990234375</v>
      </c>
      <c r="F36">
        <v>4080.110107421875</v>
      </c>
      <c r="G36">
        <v>92671910000</v>
      </c>
      <c r="H36">
        <v>4080.110107421875</v>
      </c>
      <c r="I36" t="s">
        <v>631</v>
      </c>
      <c r="J36" s="22">
        <v>45496</v>
      </c>
      <c r="K36">
        <v>5.3752893352493107E-2</v>
      </c>
      <c r="L36">
        <v>178.320068359375</v>
      </c>
      <c r="M36">
        <v>178.320068359375</v>
      </c>
      <c r="N36" t="s">
        <v>586</v>
      </c>
      <c r="O36">
        <v>2022</v>
      </c>
    </row>
    <row r="37" spans="1:15" x14ac:dyDescent="0.35">
      <c r="A37" t="s">
        <v>580</v>
      </c>
      <c r="B37" s="22">
        <v>44896</v>
      </c>
      <c r="C37">
        <v>4087.139892578125</v>
      </c>
      <c r="D37">
        <v>4100.9599609375</v>
      </c>
      <c r="E37">
        <v>3764.489990234375</v>
      </c>
      <c r="F37">
        <v>3839.5</v>
      </c>
      <c r="G37">
        <v>85249330000</v>
      </c>
      <c r="H37">
        <v>3839.5</v>
      </c>
      <c r="I37" t="s">
        <v>631</v>
      </c>
      <c r="J37" s="22">
        <v>45496</v>
      </c>
      <c r="K37">
        <v>-5.8971474074730468E-2</v>
      </c>
      <c r="L37">
        <v>-247.639892578125</v>
      </c>
      <c r="M37">
        <v>13.820068359375</v>
      </c>
      <c r="N37" t="s">
        <v>587</v>
      </c>
      <c r="O37">
        <v>2022</v>
      </c>
    </row>
    <row r="38" spans="1:15" x14ac:dyDescent="0.35">
      <c r="A38" t="s">
        <v>580</v>
      </c>
      <c r="B38" s="22">
        <v>44927</v>
      </c>
      <c r="C38">
        <v>3853.2900390625</v>
      </c>
      <c r="D38">
        <v>4094.2099609375</v>
      </c>
      <c r="E38">
        <v>3794.330078125</v>
      </c>
      <c r="F38">
        <v>4076.60009765625</v>
      </c>
      <c r="G38">
        <v>80763810000</v>
      </c>
      <c r="H38">
        <v>4076.60009765625</v>
      </c>
      <c r="I38" t="s">
        <v>631</v>
      </c>
      <c r="J38" s="22">
        <v>45496</v>
      </c>
      <c r="K38">
        <v>6.1752857834679098E-2</v>
      </c>
      <c r="L38">
        <v>223.31005859375</v>
      </c>
      <c r="M38">
        <v>240.919921875</v>
      </c>
      <c r="N38" t="s">
        <v>583</v>
      </c>
      <c r="O38">
        <v>2023</v>
      </c>
    </row>
    <row r="39" spans="1:15" x14ac:dyDescent="0.35">
      <c r="A39" t="s">
        <v>580</v>
      </c>
      <c r="B39" s="22">
        <v>44958</v>
      </c>
      <c r="C39">
        <v>4070.070068359375</v>
      </c>
      <c r="D39">
        <v>4195.43994140625</v>
      </c>
      <c r="E39">
        <v>3943.080078125</v>
      </c>
      <c r="F39">
        <v>3970.14990234375</v>
      </c>
      <c r="G39">
        <v>80392280000</v>
      </c>
      <c r="H39">
        <v>3970.14990234375</v>
      </c>
      <c r="I39" t="s">
        <v>631</v>
      </c>
      <c r="J39" s="22">
        <v>45496</v>
      </c>
      <c r="K39">
        <v>-2.6112493931818581E-2</v>
      </c>
      <c r="L39">
        <v>-99.920166015625</v>
      </c>
      <c r="M39">
        <v>125.369873046875</v>
      </c>
      <c r="N39" t="s">
        <v>581</v>
      </c>
      <c r="O39">
        <v>2023</v>
      </c>
    </row>
    <row r="40" spans="1:15" x14ac:dyDescent="0.35">
      <c r="A40" t="s">
        <v>580</v>
      </c>
      <c r="B40" s="22">
        <v>44986</v>
      </c>
      <c r="C40">
        <v>3963.340087890625</v>
      </c>
      <c r="D40">
        <v>4110.75</v>
      </c>
      <c r="E40">
        <v>3808.860107421875</v>
      </c>
      <c r="F40">
        <v>4109.31005859375</v>
      </c>
      <c r="G40">
        <v>113094800000</v>
      </c>
      <c r="H40">
        <v>4109.31005859375</v>
      </c>
      <c r="I40" t="s">
        <v>631</v>
      </c>
      <c r="J40" s="22">
        <v>45496</v>
      </c>
      <c r="K40">
        <v>3.5051612577108981E-2</v>
      </c>
      <c r="L40">
        <v>145.969970703125</v>
      </c>
      <c r="M40">
        <v>147.409912109375</v>
      </c>
      <c r="N40" t="s">
        <v>581</v>
      </c>
      <c r="O40">
        <v>2023</v>
      </c>
    </row>
    <row r="41" spans="1:15" x14ac:dyDescent="0.35">
      <c r="A41" t="s">
        <v>580</v>
      </c>
      <c r="B41" s="22">
        <v>45017</v>
      </c>
      <c r="C41">
        <v>4102.2001953125</v>
      </c>
      <c r="D41">
        <v>4170.06005859375</v>
      </c>
      <c r="E41">
        <v>4049.35009765625</v>
      </c>
      <c r="F41">
        <v>4169.47998046875</v>
      </c>
      <c r="G41">
        <v>70861260000</v>
      </c>
      <c r="H41">
        <v>4169.47998046875</v>
      </c>
      <c r="I41" t="s">
        <v>631</v>
      </c>
      <c r="J41" s="22">
        <v>45496</v>
      </c>
      <c r="K41">
        <v>1.4642341662481019E-2</v>
      </c>
      <c r="L41">
        <v>67.27978515625</v>
      </c>
      <c r="M41">
        <v>67.85986328125</v>
      </c>
      <c r="N41" t="s">
        <v>582</v>
      </c>
      <c r="O41">
        <v>2023</v>
      </c>
    </row>
    <row r="42" spans="1:15" x14ac:dyDescent="0.35">
      <c r="A42" t="s">
        <v>580</v>
      </c>
      <c r="B42" s="22">
        <v>45047</v>
      </c>
      <c r="C42">
        <v>4166.7900390625</v>
      </c>
      <c r="D42">
        <v>4231.10009765625</v>
      </c>
      <c r="E42">
        <v>4048.280029296875</v>
      </c>
      <c r="F42">
        <v>4179.830078125</v>
      </c>
      <c r="G42">
        <v>88929200000</v>
      </c>
      <c r="H42">
        <v>4179.830078125</v>
      </c>
      <c r="I42" t="s">
        <v>631</v>
      </c>
      <c r="J42" s="22">
        <v>45496</v>
      </c>
      <c r="K42">
        <v>2.482347368192972E-3</v>
      </c>
      <c r="L42">
        <v>13.0400390625</v>
      </c>
      <c r="M42">
        <v>64.31005859375</v>
      </c>
      <c r="N42" t="s">
        <v>585</v>
      </c>
      <c r="O42">
        <v>2023</v>
      </c>
    </row>
    <row r="43" spans="1:15" x14ac:dyDescent="0.35">
      <c r="A43" t="s">
        <v>580</v>
      </c>
      <c r="B43" s="22">
        <v>45078</v>
      </c>
      <c r="C43">
        <v>4183.02978515625</v>
      </c>
      <c r="D43">
        <v>4458.47998046875</v>
      </c>
      <c r="E43">
        <v>4171.64013671875</v>
      </c>
      <c r="F43">
        <v>4450.3798828125</v>
      </c>
      <c r="G43">
        <v>87983140000</v>
      </c>
      <c r="H43">
        <v>4450.3798828125</v>
      </c>
      <c r="I43" t="s">
        <v>631</v>
      </c>
      <c r="J43" s="22">
        <v>45496</v>
      </c>
      <c r="K43">
        <v>6.4727464904234644E-2</v>
      </c>
      <c r="L43">
        <v>267.35009765625</v>
      </c>
      <c r="M43">
        <v>275.4501953125</v>
      </c>
      <c r="N43" t="s">
        <v>587</v>
      </c>
      <c r="O43">
        <v>2023</v>
      </c>
    </row>
    <row r="44" spans="1:15" x14ac:dyDescent="0.35">
      <c r="A44" t="s">
        <v>580</v>
      </c>
      <c r="B44" s="22">
        <v>45108</v>
      </c>
      <c r="C44">
        <v>4450.47998046875</v>
      </c>
      <c r="D44">
        <v>4607.06982421875</v>
      </c>
      <c r="E44">
        <v>4385.0498046875</v>
      </c>
      <c r="F44">
        <v>4588.9599609375</v>
      </c>
      <c r="G44">
        <v>75063200000</v>
      </c>
      <c r="H44">
        <v>4588.9599609375</v>
      </c>
      <c r="I44" t="s">
        <v>631</v>
      </c>
      <c r="J44" s="22">
        <v>45496</v>
      </c>
      <c r="K44">
        <v>3.1138932355010859E-2</v>
      </c>
      <c r="L44">
        <v>138.47998046875</v>
      </c>
      <c r="M44">
        <v>156.58984375</v>
      </c>
      <c r="N44" t="s">
        <v>582</v>
      </c>
      <c r="O44">
        <v>2023</v>
      </c>
    </row>
    <row r="45" spans="1:15" x14ac:dyDescent="0.35">
      <c r="A45" t="s">
        <v>580</v>
      </c>
      <c r="B45" s="22">
        <v>45139</v>
      </c>
      <c r="C45">
        <v>4578.830078125</v>
      </c>
      <c r="D45">
        <v>4584.6201171875</v>
      </c>
      <c r="E45">
        <v>4335.31005859375</v>
      </c>
      <c r="F45">
        <v>4507.66015625</v>
      </c>
      <c r="G45">
        <v>86840820000</v>
      </c>
      <c r="H45">
        <v>4507.66015625</v>
      </c>
      <c r="I45" t="s">
        <v>631</v>
      </c>
      <c r="J45" s="22">
        <v>45496</v>
      </c>
      <c r="K45">
        <v>-1.7716390070854019E-2</v>
      </c>
      <c r="L45">
        <v>-71.169921875</v>
      </c>
      <c r="M45">
        <v>5.7900390625</v>
      </c>
      <c r="N45" t="s">
        <v>586</v>
      </c>
      <c r="O45">
        <v>2023</v>
      </c>
    </row>
    <row r="46" spans="1:15" x14ac:dyDescent="0.35">
      <c r="A46" t="s">
        <v>580</v>
      </c>
      <c r="B46" s="22">
        <v>45170</v>
      </c>
      <c r="C46">
        <v>4530.60009765625</v>
      </c>
      <c r="D46">
        <v>4541.25</v>
      </c>
      <c r="E46">
        <v>4238.6298828125</v>
      </c>
      <c r="F46">
        <v>4288.0498046875</v>
      </c>
      <c r="G46">
        <v>73482980000</v>
      </c>
      <c r="H46">
        <v>4288.0498046875</v>
      </c>
      <c r="I46" t="s">
        <v>631</v>
      </c>
      <c r="J46" s="22">
        <v>45496</v>
      </c>
      <c r="K46">
        <v>-4.8719367465624892E-2</v>
      </c>
      <c r="L46">
        <v>-242.55029296875</v>
      </c>
      <c r="M46">
        <v>10.64990234375</v>
      </c>
      <c r="N46" t="s">
        <v>584</v>
      </c>
      <c r="O46">
        <v>2023</v>
      </c>
    </row>
    <row r="47" spans="1:15" x14ac:dyDescent="0.35">
      <c r="A47" t="s">
        <v>580</v>
      </c>
      <c r="B47" s="22">
        <v>45200</v>
      </c>
      <c r="C47">
        <v>4284.52001953125</v>
      </c>
      <c r="D47">
        <v>4393.56982421875</v>
      </c>
      <c r="E47">
        <v>4103.77978515625</v>
      </c>
      <c r="F47">
        <v>4193.7998046875</v>
      </c>
      <c r="G47">
        <v>83519460000</v>
      </c>
      <c r="H47">
        <v>4193.7998046875</v>
      </c>
      <c r="I47" t="s">
        <v>631</v>
      </c>
      <c r="J47" s="22">
        <v>45496</v>
      </c>
      <c r="K47">
        <v>-2.197968873798295E-2</v>
      </c>
      <c r="L47">
        <v>-90.72021484375</v>
      </c>
      <c r="M47">
        <v>109.0498046875</v>
      </c>
      <c r="N47" t="s">
        <v>583</v>
      </c>
      <c r="O47">
        <v>2023</v>
      </c>
    </row>
    <row r="48" spans="1:15" x14ac:dyDescent="0.35">
      <c r="A48" t="s">
        <v>580</v>
      </c>
      <c r="B48" s="22">
        <v>45231</v>
      </c>
      <c r="C48">
        <v>4201.27001953125</v>
      </c>
      <c r="D48">
        <v>4587.64013671875</v>
      </c>
      <c r="E48">
        <v>4197.740234375</v>
      </c>
      <c r="F48">
        <v>4567.7998046875</v>
      </c>
      <c r="G48">
        <v>80970570000</v>
      </c>
      <c r="H48">
        <v>4567.7998046875</v>
      </c>
      <c r="I48" t="s">
        <v>631</v>
      </c>
      <c r="J48" s="22">
        <v>45496</v>
      </c>
      <c r="K48">
        <v>8.9179268781970134E-2</v>
      </c>
      <c r="L48">
        <v>366.52978515625</v>
      </c>
      <c r="M48">
        <v>386.3701171875</v>
      </c>
      <c r="N48" t="s">
        <v>581</v>
      </c>
      <c r="O48">
        <v>2023</v>
      </c>
    </row>
    <row r="49" spans="1:15" x14ac:dyDescent="0.35">
      <c r="A49" t="s">
        <v>580</v>
      </c>
      <c r="B49" s="22">
        <v>45261</v>
      </c>
      <c r="C49">
        <v>4559.43017578125</v>
      </c>
      <c r="D49">
        <v>4793.2998046875</v>
      </c>
      <c r="E49">
        <v>4546.5</v>
      </c>
      <c r="F49">
        <v>4769.830078125</v>
      </c>
      <c r="G49">
        <v>81530670000</v>
      </c>
      <c r="H49">
        <v>4769.830078125</v>
      </c>
      <c r="I49" t="s">
        <v>631</v>
      </c>
      <c r="J49" s="22">
        <v>45496</v>
      </c>
      <c r="K49">
        <v>4.4229231156360127E-2</v>
      </c>
      <c r="L49">
        <v>210.39990234375</v>
      </c>
      <c r="M49">
        <v>233.86962890625</v>
      </c>
      <c r="N49" t="s">
        <v>584</v>
      </c>
      <c r="O49">
        <v>2023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DCDD-593D-4189-9504-FBE5B91B5152}">
  <sheetPr>
    <tabColor theme="1"/>
  </sheetPr>
  <dimension ref="A1:C7"/>
  <sheetViews>
    <sheetView showGridLines="0" workbookViewId="0">
      <selection activeCell="B6" sqref="B6"/>
    </sheetView>
  </sheetViews>
  <sheetFormatPr defaultRowHeight="14.5" x14ac:dyDescent="0.35"/>
  <cols>
    <col min="1" max="1" width="29.7265625" bestFit="1" customWidth="1"/>
    <col min="2" max="2" width="44.7265625" customWidth="1"/>
    <col min="3" max="3" width="34.453125" bestFit="1" customWidth="1"/>
  </cols>
  <sheetData>
    <row r="1" spans="1:3" x14ac:dyDescent="0.35">
      <c r="A1" s="36" t="s">
        <v>125</v>
      </c>
      <c r="B1" s="36" t="s">
        <v>126</v>
      </c>
    </row>
    <row r="2" spans="1:3" x14ac:dyDescent="0.35">
      <c r="A2" s="37" t="s">
        <v>121</v>
      </c>
      <c r="B2" s="38" t="s">
        <v>123</v>
      </c>
      <c r="C2" s="46" t="s">
        <v>470</v>
      </c>
    </row>
    <row r="3" spans="1:3" x14ac:dyDescent="0.35">
      <c r="A3" s="37" t="s">
        <v>119</v>
      </c>
      <c r="B3" s="38" t="s">
        <v>122</v>
      </c>
      <c r="C3" s="46" t="s">
        <v>470</v>
      </c>
    </row>
    <row r="4" spans="1:3" x14ac:dyDescent="0.35">
      <c r="A4" s="37" t="s">
        <v>120</v>
      </c>
      <c r="B4" s="38" t="s">
        <v>124</v>
      </c>
      <c r="C4" s="46" t="s">
        <v>470</v>
      </c>
    </row>
    <row r="5" spans="1:3" x14ac:dyDescent="0.35">
      <c r="A5" s="37" t="s">
        <v>127</v>
      </c>
      <c r="B5" s="38" t="s">
        <v>128</v>
      </c>
      <c r="C5" s="46" t="s">
        <v>470</v>
      </c>
    </row>
    <row r="6" spans="1:3" x14ac:dyDescent="0.35">
      <c r="A6" s="37" t="s">
        <v>129</v>
      </c>
      <c r="B6" s="38" t="s">
        <v>130</v>
      </c>
      <c r="C6" s="46" t="s">
        <v>470</v>
      </c>
    </row>
    <row r="7" spans="1:3" x14ac:dyDescent="0.35">
      <c r="A7" s="37" t="s">
        <v>132</v>
      </c>
      <c r="B7" s="38" t="s">
        <v>131</v>
      </c>
      <c r="C7" s="46" t="s">
        <v>470</v>
      </c>
    </row>
  </sheetData>
  <autoFilter ref="A1:B1" xr:uid="{B834DCDD-593D-4189-9504-FBE5B91B5152}">
    <sortState xmlns:xlrd2="http://schemas.microsoft.com/office/spreadsheetml/2017/richdata2" ref="A2:B4">
      <sortCondition ref="A1"/>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7D56-3334-496E-BE3A-A0801A9D85AB}">
  <sheetPr>
    <tabColor theme="1"/>
  </sheetPr>
  <dimension ref="A1"/>
  <sheetViews>
    <sheetView showGridLines="0" workbookViewId="0">
      <selection activeCell="B39" sqref="B39"/>
    </sheetView>
  </sheetViews>
  <sheetFormatPr defaultRowHeight="14.5" x14ac:dyDescent="0.3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F496-26B0-4FB3-9AD8-FBD3F23D785D}">
  <sheetPr>
    <tabColor theme="1"/>
  </sheetPr>
  <dimension ref="A1:A2"/>
  <sheetViews>
    <sheetView workbookViewId="0">
      <selection activeCell="A2" sqref="A2"/>
    </sheetView>
  </sheetViews>
  <sheetFormatPr defaultRowHeight="14.5" x14ac:dyDescent="0.35"/>
  <sheetData>
    <row r="1" spans="1:1" x14ac:dyDescent="0.35">
      <c r="A1" t="s">
        <v>65</v>
      </c>
    </row>
    <row r="2" spans="1:1" x14ac:dyDescent="0.35">
      <c r="A2" s="19" t="s">
        <v>66</v>
      </c>
    </row>
  </sheetData>
  <hyperlinks>
    <hyperlink ref="A2" r:id="rId1" xr:uid="{1A83A14C-A7EB-47B2-9BF5-2F1DC5967D5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EBB0-F07C-4513-BA51-566370FBD4DA}">
  <sheetPr>
    <tabColor rgb="FF0C78C2"/>
  </sheetPr>
  <dimension ref="A1:O208"/>
  <sheetViews>
    <sheetView showGridLines="0" tabSelected="1" zoomScaleNormal="100" workbookViewId="0">
      <pane xSplit="1" ySplit="2" topLeftCell="B165" activePane="bottomRight" state="frozen"/>
      <selection pane="topRight" activeCell="B1" sqref="B1"/>
      <selection pane="bottomLeft" activeCell="A3" sqref="A3"/>
      <selection pane="bottomRight" activeCell="D205" sqref="D205"/>
    </sheetView>
  </sheetViews>
  <sheetFormatPr defaultRowHeight="14.5" outlineLevelRow="2" x14ac:dyDescent="0.35"/>
  <cols>
    <col min="1" max="1" width="22.453125" customWidth="1"/>
    <col min="3" max="3" width="15.26953125" customWidth="1"/>
    <col min="4" max="4" width="21.81640625" bestFit="1" customWidth="1"/>
    <col min="5" max="5" width="17.26953125" style="10" bestFit="1" customWidth="1"/>
    <col min="6" max="6" width="17.81640625" style="10" bestFit="1" customWidth="1"/>
    <col min="7" max="7" width="17.36328125" style="10" bestFit="1" customWidth="1"/>
    <col min="8" max="8" width="18.54296875" style="10" customWidth="1"/>
    <col min="9" max="9" width="21.54296875" style="10" bestFit="1" customWidth="1"/>
    <col min="10" max="10" width="18.54296875" style="10" customWidth="1"/>
    <col min="11" max="11" width="17" style="10" bestFit="1" customWidth="1"/>
    <col min="12" max="12" width="17.54296875" bestFit="1" customWidth="1"/>
    <col min="13" max="13" width="17.453125" bestFit="1" customWidth="1"/>
    <col min="14" max="14" width="21.36328125" bestFit="1" customWidth="1"/>
    <col min="15" max="15" width="18.453125" bestFit="1" customWidth="1"/>
  </cols>
  <sheetData>
    <row r="1" spans="1:15" ht="21" customHeight="1" x14ac:dyDescent="0.35">
      <c r="A1" s="50" t="s">
        <v>475</v>
      </c>
      <c r="B1" s="152" t="s">
        <v>654</v>
      </c>
      <c r="C1" s="153"/>
      <c r="D1" s="154"/>
      <c r="E1" s="149"/>
      <c r="F1" s="149"/>
      <c r="G1" s="149"/>
      <c r="H1" s="149"/>
      <c r="I1" s="150" t="s">
        <v>2</v>
      </c>
      <c r="J1" s="150"/>
      <c r="K1" s="150"/>
      <c r="L1" s="150"/>
      <c r="M1" s="150"/>
      <c r="N1" s="49" t="s">
        <v>471</v>
      </c>
    </row>
    <row r="2" spans="1:15" ht="21" x14ac:dyDescent="0.5">
      <c r="A2" s="151" t="s">
        <v>0</v>
      </c>
      <c r="B2" s="151"/>
      <c r="C2" s="151"/>
      <c r="D2" s="151"/>
      <c r="E2" s="28">
        <f>_xlfn.MINIFS(TickerYears!$E:$E,TickerYears!$A:$A,$B$1)+E4</f>
        <v>2020</v>
      </c>
      <c r="F2" s="28">
        <f t="shared" ref="F2:M2" si="0">E2+1</f>
        <v>2021</v>
      </c>
      <c r="G2" s="28">
        <f t="shared" si="0"/>
        <v>2022</v>
      </c>
      <c r="H2" s="28">
        <f t="shared" si="0"/>
        <v>2023</v>
      </c>
      <c r="I2" s="29">
        <f t="shared" si="0"/>
        <v>2024</v>
      </c>
      <c r="J2" s="29">
        <f t="shared" si="0"/>
        <v>2025</v>
      </c>
      <c r="K2" s="29">
        <f t="shared" si="0"/>
        <v>2026</v>
      </c>
      <c r="L2" s="29">
        <f t="shared" si="0"/>
        <v>2027</v>
      </c>
      <c r="M2" s="29">
        <f t="shared" si="0"/>
        <v>2028</v>
      </c>
    </row>
    <row r="3" spans="1:15" ht="15" thickBot="1" x14ac:dyDescent="0.4">
      <c r="A3" s="1" t="s">
        <v>3</v>
      </c>
      <c r="B3" s="1"/>
      <c r="C3" s="1"/>
      <c r="D3" s="1"/>
      <c r="E3" s="9" t="b">
        <f>E2=_xlfn.MINIFS(TickerYears!$E:$E,TickerYears!$A:$A,$B$1)</f>
        <v>1</v>
      </c>
      <c r="F3" s="9" t="b">
        <f>F2=_xlfn.MAXIFS(TickerYears!$E:$E,TickerYears!$A:$A,$B$1)</f>
        <v>0</v>
      </c>
      <c r="G3" s="9" t="b">
        <f>G2=_xlfn.MAXIFS(TickerYears!$E:$E,TickerYears!$A:$A,$B$1)</f>
        <v>0</v>
      </c>
      <c r="H3" s="9" t="b">
        <f>H2=_xlfn.MAXIFS(TickerYears!$E:$E,TickerYears!$A:$A,$B$1)</f>
        <v>1</v>
      </c>
      <c r="I3" s="9"/>
      <c r="J3" s="9"/>
      <c r="K3" s="9"/>
      <c r="L3" s="9"/>
      <c r="M3" s="9"/>
    </row>
    <row r="4" spans="1:15" ht="15" thickTop="1" x14ac:dyDescent="0.35">
      <c r="E4" s="124">
        <v>0</v>
      </c>
    </row>
    <row r="5" spans="1:15" x14ac:dyDescent="0.35">
      <c r="A5" s="2" t="s">
        <v>4</v>
      </c>
      <c r="B5" s="2"/>
      <c r="C5" s="2"/>
      <c r="D5" s="2"/>
      <c r="E5" s="11"/>
      <c r="F5" s="11"/>
      <c r="G5" s="11"/>
      <c r="H5" s="11"/>
      <c r="I5" s="11"/>
      <c r="J5" s="11"/>
      <c r="K5" s="11"/>
      <c r="L5" s="11"/>
      <c r="M5" s="11"/>
    </row>
    <row r="6" spans="1:15" outlineLevel="1" x14ac:dyDescent="0.35">
      <c r="A6" s="3" t="s">
        <v>5</v>
      </c>
      <c r="I6" s="78">
        <f>PERCENTILE(E7:H7,0.2)</f>
        <v>6.2032553760668616E-2</v>
      </c>
    </row>
    <row r="7" spans="1:15" outlineLevel="1" x14ac:dyDescent="0.35">
      <c r="A7" s="131" t="s">
        <v>11</v>
      </c>
      <c r="D7" s="86">
        <f t="shared" ref="D7:D13" si="1">STDEV(E7:H7)</f>
        <v>5.6241235691159096E-2</v>
      </c>
      <c r="E7" s="68" t="str">
        <f>IFERROR((E31-D31)/D31,"")</f>
        <v/>
      </c>
      <c r="F7" s="68">
        <f>IFERROR((F31-E31)/E31,"")</f>
        <v>0.16008885742313472</v>
      </c>
      <c r="G7" s="68">
        <f>IFERROR((G31-F31)/F31,"")</f>
        <v>7.0351622350225948E-2</v>
      </c>
      <c r="H7" s="68">
        <f>IFERROR((H31-G31)/G31,"")</f>
        <v>5.6486508034297063E-2</v>
      </c>
      <c r="I7" s="81">
        <f>AVERAGE($F$7:$H$7)</f>
        <v>9.5642329269219242E-2</v>
      </c>
      <c r="J7" s="81">
        <f>PERCENTILE($I$6:$I$7,0.8)</f>
        <v>8.8920374167509114E-2</v>
      </c>
      <c r="K7" s="81">
        <f>PERCENTILE($I$6:$I$7,0.6)</f>
        <v>8.2198419065799E-2</v>
      </c>
      <c r="L7" s="81">
        <f>PERCENTILE($I$6:$I$7,0.4)</f>
        <v>7.5476463964088858E-2</v>
      </c>
      <c r="M7" s="81">
        <f>PERCENTILE(E7:H7,0.2)</f>
        <v>6.2032553760668616E-2</v>
      </c>
      <c r="N7" s="86">
        <f>STDEV(I7:M7)</f>
        <v>1.2929938802670495E-2</v>
      </c>
      <c r="O7" t="b">
        <f>N7&lt;D7</f>
        <v>1</v>
      </c>
    </row>
    <row r="8" spans="1:15" outlineLevel="1" x14ac:dyDescent="0.35">
      <c r="A8" s="131" t="s">
        <v>12</v>
      </c>
      <c r="D8" s="86">
        <f t="shared" si="1"/>
        <v>1.8573170032098501E-2</v>
      </c>
      <c r="E8" s="68">
        <f>IFERROR(E32/E31,"")</f>
        <v>0.38934820890194183</v>
      </c>
      <c r="F8" s="68">
        <f>IFERROR(F32/F31,"")</f>
        <v>0.35900389829522311</v>
      </c>
      <c r="G8" s="68">
        <f>IFERROR(G32/G31,"")</f>
        <v>0.37967640542819386</v>
      </c>
      <c r="H8" s="68">
        <f>IFERROR(H32/H31,"")</f>
        <v>0.40319602280847988</v>
      </c>
      <c r="I8" s="81">
        <f>AVERAGE($E$8:$H$8)</f>
        <v>0.38280613385845969</v>
      </c>
      <c r="J8" s="81">
        <f>AVERAGE($E$8:$H$8)</f>
        <v>0.38280613385845969</v>
      </c>
      <c r="K8" s="81">
        <f>AVERAGE($E$8:$H$8)</f>
        <v>0.38280613385845969</v>
      </c>
      <c r="L8" s="81">
        <f>AVERAGE($E$8:$H$8)</f>
        <v>0.38280613385845969</v>
      </c>
      <c r="M8" s="81">
        <f>AVERAGE($E$8:$H$8)</f>
        <v>0.38280613385845969</v>
      </c>
      <c r="N8" s="86">
        <f t="shared" ref="N8:N19" si="2">STDEV(I8:M8)</f>
        <v>0</v>
      </c>
      <c r="O8" t="b">
        <f t="shared" ref="O8:O19" si="3">N8&lt;D8</f>
        <v>1</v>
      </c>
    </row>
    <row r="9" spans="1:15" outlineLevel="1" x14ac:dyDescent="0.35">
      <c r="A9" s="131" t="s">
        <v>522</v>
      </c>
      <c r="D9" s="86">
        <f t="shared" si="1"/>
        <v>1.671974478506251E-2</v>
      </c>
      <c r="E9" s="68">
        <f>E37/E31</f>
        <v>0.48275650006149823</v>
      </c>
      <c r="F9" s="68">
        <f>F37/F31</f>
        <v>0.50121862130938755</v>
      </c>
      <c r="G9" s="68">
        <f>G37/G31</f>
        <v>0.48468156351697095</v>
      </c>
      <c r="H9" s="68">
        <f>H37/H31</f>
        <v>0.51859563428223832</v>
      </c>
      <c r="I9" s="81">
        <f>AVERAGE($E$9:$H$9)</f>
        <v>0.49681307979252376</v>
      </c>
      <c r="J9" s="81">
        <f>AVERAGE($E$9:$H$9)</f>
        <v>0.49681307979252376</v>
      </c>
      <c r="K9" s="81">
        <f>AVERAGE($E$9:$H$9)</f>
        <v>0.49681307979252376</v>
      </c>
      <c r="L9" s="81">
        <f>AVERAGE($E$9:$H$9)</f>
        <v>0.49681307979252376</v>
      </c>
      <c r="M9" s="81">
        <f>AVERAGE($E$9:$H$9)</f>
        <v>0.49681307979252376</v>
      </c>
      <c r="N9" s="86">
        <f t="shared" si="2"/>
        <v>0</v>
      </c>
    </row>
    <row r="10" spans="1:15" outlineLevel="1" x14ac:dyDescent="0.35">
      <c r="A10" s="134" t="s">
        <v>15</v>
      </c>
      <c r="D10" s="86">
        <f t="shared" si="1"/>
        <v>3.4926160228243859E-2</v>
      </c>
      <c r="E10" s="68">
        <f>IFERROR(E38/E60,"")</f>
        <v>0.15767221989249361</v>
      </c>
      <c r="F10" s="68">
        <f t="shared" ref="F10:H10" si="4">IFERROR(F38/F60,"")</f>
        <v>0.17071301060590149</v>
      </c>
      <c r="G10" s="68">
        <f t="shared" si="4"/>
        <v>0.22257763561242169</v>
      </c>
      <c r="H10" s="68">
        <f t="shared" si="4"/>
        <v>0.22531863784089304</v>
      </c>
      <c r="I10" s="81">
        <f>AVERAGE($E$10:$H$10)</f>
        <v>0.19407037598792745</v>
      </c>
      <c r="J10" s="81">
        <f>AVERAGE($E$10:$H$10)</f>
        <v>0.19407037598792745</v>
      </c>
      <c r="K10" s="81">
        <f>AVERAGE($E$10:$H$10)</f>
        <v>0.19407037598792745</v>
      </c>
      <c r="L10" s="81">
        <f>AVERAGE($E$10:$H$10)</f>
        <v>0.19407037598792745</v>
      </c>
      <c r="M10" s="81">
        <f>AVERAGE($E$10:$H$10)</f>
        <v>0.19407037598792745</v>
      </c>
      <c r="N10" s="86">
        <f t="shared" si="2"/>
        <v>0</v>
      </c>
      <c r="O10" t="b">
        <f t="shared" si="3"/>
        <v>1</v>
      </c>
    </row>
    <row r="11" spans="1:15" outlineLevel="1" x14ac:dyDescent="0.35">
      <c r="A11" s="131" t="s">
        <v>517</v>
      </c>
      <c r="D11" s="86">
        <f t="shared" si="1"/>
        <v>1.4503124651056144E-2</v>
      </c>
      <c r="E11" s="68">
        <f>E38/E31</f>
        <v>6.2036700935672866E-2</v>
      </c>
      <c r="F11" s="68">
        <f>F38/F31</f>
        <v>6.3059288997498103E-2</v>
      </c>
      <c r="G11" s="68">
        <f>G38/G31</f>
        <v>8.2710617931787592E-2</v>
      </c>
      <c r="H11" s="68">
        <f>H38/H31</f>
        <v>9.1161885552838079E-2</v>
      </c>
      <c r="I11" s="81">
        <f>AVERAGE($E$11:$H$11)</f>
        <v>7.4742123354449158E-2</v>
      </c>
      <c r="J11" s="81">
        <f>AVERAGE($E$11:$H$11)</f>
        <v>7.4742123354449158E-2</v>
      </c>
      <c r="K11" s="81">
        <f>AVERAGE($E$11:$H$11)</f>
        <v>7.4742123354449158E-2</v>
      </c>
      <c r="L11" s="81">
        <f>AVERAGE($E$11:$H$11)</f>
        <v>7.4742123354449158E-2</v>
      </c>
      <c r="M11" s="81">
        <f>AVERAGE($E$11:$H$11)</f>
        <v>7.4742123354449158E-2</v>
      </c>
      <c r="N11" s="86">
        <f t="shared" si="2"/>
        <v>0</v>
      </c>
    </row>
    <row r="12" spans="1:15" outlineLevel="1" x14ac:dyDescent="0.35">
      <c r="A12" s="134" t="s">
        <v>16</v>
      </c>
      <c r="D12" s="86">
        <f t="shared" si="1"/>
        <v>1.4502817220798755E-2</v>
      </c>
      <c r="E12" s="68">
        <f>IFERROR(E39/E163,"")</f>
        <v>0</v>
      </c>
      <c r="F12" s="68">
        <f t="shared" ref="F12:H12" si="5">IFERROR(F39/F163,"")</f>
        <v>1.812476329600173E-3</v>
      </c>
      <c r="G12" s="68">
        <f t="shared" si="5"/>
        <v>1.5605471259534405E-2</v>
      </c>
      <c r="H12" s="68">
        <f t="shared" si="5"/>
        <v>3.124368729378493E-2</v>
      </c>
      <c r="I12" s="81">
        <f>AVERAGE($E$12:$H$12)</f>
        <v>1.2165408720729878E-2</v>
      </c>
      <c r="J12" s="81">
        <f>AVERAGE($E$12:$H$12)</f>
        <v>1.2165408720729878E-2</v>
      </c>
      <c r="K12" s="81">
        <f>AVERAGE($E$12:$H$12)</f>
        <v>1.2165408720729878E-2</v>
      </c>
      <c r="L12" s="81">
        <f>AVERAGE($E$12:$H$12)</f>
        <v>1.2165408720729878E-2</v>
      </c>
      <c r="M12" s="81">
        <f>AVERAGE($E$12:$H$12)</f>
        <v>1.2165408720729878E-2</v>
      </c>
      <c r="N12" s="86">
        <f t="shared" si="2"/>
        <v>0</v>
      </c>
      <c r="O12" t="b">
        <f t="shared" si="3"/>
        <v>1</v>
      </c>
    </row>
    <row r="13" spans="1:15" outlineLevel="1" x14ac:dyDescent="0.35">
      <c r="A13" s="134" t="s">
        <v>17</v>
      </c>
      <c r="D13" s="86">
        <f t="shared" si="1"/>
        <v>4.3484671628824252E-2</v>
      </c>
      <c r="E13" s="68">
        <f>AVERAGEIFS(IncomeStatement[TaxRateForCalcs],IncomeStatement[Ticker],$B$1,IncomeStatement[Year],E2,IncomeStatement[periodType],"&lt;&gt;TTM")</f>
        <v>0.19800000000000001</v>
      </c>
      <c r="F13" s="68">
        <f>AVERAGEIFS(IncomeStatement[TaxRateForCalcs],IncomeStatement[Ticker],$B$1,IncomeStatement[Year],F2,IncomeStatement[periodType],"&lt;&gt;TTM")</f>
        <v>0.123</v>
      </c>
      <c r="G13" s="68">
        <f>AVERAGEIFS(IncomeStatement[TaxRateForCalcs],IncomeStatement[Ticker],$B$1,IncomeStatement[Year],G2,IncomeStatement[periodType],"&lt;&gt;TTM")</f>
        <v>0.16400000000000001</v>
      </c>
      <c r="H13" s="68">
        <f>AVERAGEIFS(IncomeStatement[TaxRateForCalcs],IncomeStatement[Ticker],$B$1,IncomeStatement[Year],H2,IncomeStatement[periodType],"&lt;&gt;TTM")</f>
        <v>0.1</v>
      </c>
      <c r="I13" s="81">
        <f>AVERAGE($E$13:$H$13)</f>
        <v>0.14624999999999999</v>
      </c>
      <c r="J13" s="81">
        <f>AVERAGE($E$13:$H$13)</f>
        <v>0.14624999999999999</v>
      </c>
      <c r="K13" s="81">
        <f>AVERAGE($E$13:$H$13)</f>
        <v>0.14624999999999999</v>
      </c>
      <c r="L13" s="81">
        <f>AVERAGE($E$13:$H$13)</f>
        <v>0.14624999999999999</v>
      </c>
      <c r="M13" s="81">
        <f>AVERAGE($E$13:$H$13)</f>
        <v>0.14624999999999999</v>
      </c>
      <c r="N13" s="86">
        <f t="shared" si="2"/>
        <v>0</v>
      </c>
      <c r="O13" t="b">
        <f t="shared" si="3"/>
        <v>1</v>
      </c>
    </row>
    <row r="14" spans="1:15" outlineLevel="1" x14ac:dyDescent="0.35">
      <c r="A14" s="3" t="s">
        <v>6</v>
      </c>
      <c r="D14" s="86"/>
      <c r="E14" s="65"/>
      <c r="F14" s="65"/>
      <c r="G14" s="65"/>
      <c r="H14" s="65"/>
      <c r="I14" s="66"/>
      <c r="J14" s="66"/>
      <c r="K14" s="66"/>
      <c r="L14" s="67"/>
      <c r="M14" s="67"/>
    </row>
    <row r="15" spans="1:15" outlineLevel="1" x14ac:dyDescent="0.35">
      <c r="A15" t="s">
        <v>563</v>
      </c>
      <c r="D15" s="86">
        <f>STDEV(E15:H15)</f>
        <v>0.24918817165256649</v>
      </c>
      <c r="E15" s="62">
        <f>E53/E31</f>
        <v>0.64284235757163044</v>
      </c>
      <c r="F15" s="62">
        <f>F53/F31</f>
        <v>0.40601358908218743</v>
      </c>
      <c r="G15" s="62">
        <f>G53/G31</f>
        <v>0.13910411125043184</v>
      </c>
      <c r="H15" s="62">
        <f>H53/H31</f>
        <v>0.11489994706072695</v>
      </c>
      <c r="I15" s="132">
        <f>AVERAGE($E$15:$H$15)</f>
        <v>0.3257150012412442</v>
      </c>
      <c r="J15" s="132">
        <f>AVERAGE($E$15:$H$15)</f>
        <v>0.3257150012412442</v>
      </c>
      <c r="K15" s="132">
        <f>AVERAGE($E$15:$H$15)</f>
        <v>0.3257150012412442</v>
      </c>
      <c r="L15" s="132">
        <f>AVERAGE($E$15:$H$15)</f>
        <v>0.3257150012412442</v>
      </c>
      <c r="M15" s="132">
        <f>AVERAGE($E$15:$H$15)</f>
        <v>0.3257150012412442</v>
      </c>
      <c r="N15" s="86"/>
    </row>
    <row r="16" spans="1:15" outlineLevel="1" x14ac:dyDescent="0.35">
      <c r="A16" s="134" t="s">
        <v>18</v>
      </c>
      <c r="D16" s="86"/>
      <c r="E16" s="136">
        <f t="shared" ref="E16:H17" si="6">E54/E31*365</f>
        <v>24.004988855323198</v>
      </c>
      <c r="F16" s="136">
        <f t="shared" si="6"/>
        <v>22.514503856273798</v>
      </c>
      <c r="G16" s="136">
        <f t="shared" si="6"/>
        <v>29.65101965872055</v>
      </c>
      <c r="H16" s="136">
        <f t="shared" si="6"/>
        <v>38.035935818849353</v>
      </c>
      <c r="I16" s="83">
        <f>AVERAGE($E$16:$H$16)</f>
        <v>28.551612047291723</v>
      </c>
      <c r="J16" s="83">
        <f>AVERAGE($E$16:$H$16)</f>
        <v>28.551612047291723</v>
      </c>
      <c r="K16" s="83">
        <f>AVERAGE($E$16:$H$16)</f>
        <v>28.551612047291723</v>
      </c>
      <c r="L16" s="83">
        <f>AVERAGE($E$16:$H$16)</f>
        <v>28.551612047291723</v>
      </c>
      <c r="M16" s="83">
        <f>AVERAGE($E$16:$H$16)</f>
        <v>28.551612047291723</v>
      </c>
      <c r="N16" s="86">
        <f t="shared" si="2"/>
        <v>0</v>
      </c>
      <c r="O16" t="b">
        <f t="shared" si="3"/>
        <v>0</v>
      </c>
    </row>
    <row r="17" spans="1:15" outlineLevel="1" x14ac:dyDescent="0.35">
      <c r="A17" s="134" t="s">
        <v>19</v>
      </c>
      <c r="D17" s="86"/>
      <c r="E17" s="136">
        <f t="shared" si="6"/>
        <v>0</v>
      </c>
      <c r="F17" s="136">
        <f t="shared" si="6"/>
        <v>0</v>
      </c>
      <c r="G17" s="136">
        <f t="shared" si="6"/>
        <v>0</v>
      </c>
      <c r="H17" s="136">
        <f t="shared" si="6"/>
        <v>0</v>
      </c>
      <c r="I17" s="83">
        <f>AVERAGE($E$17:$H$17)</f>
        <v>0</v>
      </c>
      <c r="J17" s="83">
        <f>AVERAGE($E$17:$H$17)</f>
        <v>0</v>
      </c>
      <c r="K17" s="83">
        <f>AVERAGE($E$17:$H$17)</f>
        <v>0</v>
      </c>
      <c r="L17" s="83">
        <f>AVERAGE($E$17:$H$17)</f>
        <v>0</v>
      </c>
      <c r="M17" s="83">
        <f>AVERAGE($E$17:$H$17)</f>
        <v>0</v>
      </c>
      <c r="N17" s="86">
        <f t="shared" si="2"/>
        <v>0</v>
      </c>
      <c r="O17" t="b">
        <f t="shared" si="3"/>
        <v>0</v>
      </c>
    </row>
    <row r="18" spans="1:15" outlineLevel="1" x14ac:dyDescent="0.35">
      <c r="A18" s="131" t="s">
        <v>562</v>
      </c>
      <c r="D18" s="86">
        <f t="shared" ref="D18:D25" si="7">STDEV(E18:H18)</f>
        <v>4.1614217526675192E-2</v>
      </c>
      <c r="E18" s="68">
        <f>E58/E31</f>
        <v>2.4974275746003367E-2</v>
      </c>
      <c r="F18" s="68">
        <f>F58/F31</f>
        <v>3.4251986320410127E-2</v>
      </c>
      <c r="G18" s="68">
        <f>G58/G31</f>
        <v>4.0187189095292973E-2</v>
      </c>
      <c r="H18" s="68">
        <f>H58/H31</f>
        <v>0.11541904921980317</v>
      </c>
      <c r="I18" s="81">
        <f>AVERAGE($E$18:$H$18)</f>
        <v>5.370812509537741E-2</v>
      </c>
      <c r="J18" s="81">
        <f>AVERAGE($E$18:$H$18)</f>
        <v>5.370812509537741E-2</v>
      </c>
      <c r="K18" s="81">
        <f>AVERAGE($E$18:$H$18)</f>
        <v>5.370812509537741E-2</v>
      </c>
      <c r="L18" s="81">
        <f>AVERAGE($E$18:$H$18)</f>
        <v>5.370812509537741E-2</v>
      </c>
      <c r="M18" s="81">
        <f>AVERAGE($E$18:$H$18)</f>
        <v>5.370812509537741E-2</v>
      </c>
      <c r="N18" s="86">
        <f t="shared" si="2"/>
        <v>0</v>
      </c>
    </row>
    <row r="19" spans="1:15" outlineLevel="1" x14ac:dyDescent="0.35">
      <c r="A19" s="134" t="s">
        <v>20</v>
      </c>
      <c r="D19" s="86"/>
      <c r="E19" s="136">
        <f>E71/E32*365</f>
        <v>64.601595697549442</v>
      </c>
      <c r="F19" s="136">
        <f>F71/F32*365</f>
        <v>79.641430675756951</v>
      </c>
      <c r="G19" s="136">
        <f>G71/G32*365</f>
        <v>81.548013719114493</v>
      </c>
      <c r="H19" s="136">
        <f>H71/H32*365</f>
        <v>90.744363780733352</v>
      </c>
      <c r="I19" s="83">
        <f>AVERAGE($E$19:$H$19)</f>
        <v>79.133850968288556</v>
      </c>
      <c r="J19" s="83">
        <f>AVERAGE($E$19:$H$19)</f>
        <v>79.133850968288556</v>
      </c>
      <c r="K19" s="83">
        <f>AVERAGE($E$19:$H$19)</f>
        <v>79.133850968288556</v>
      </c>
      <c r="L19" s="83">
        <f>AVERAGE($E$19:$H$19)</f>
        <v>79.133850968288556</v>
      </c>
      <c r="M19" s="83">
        <f>AVERAGE($E$19:$H$19)</f>
        <v>79.133850968288556</v>
      </c>
      <c r="N19" s="86">
        <f t="shared" si="2"/>
        <v>0</v>
      </c>
      <c r="O19" t="b">
        <f t="shared" si="3"/>
        <v>0</v>
      </c>
    </row>
    <row r="20" spans="1:15" outlineLevel="1" x14ac:dyDescent="0.35">
      <c r="A20" s="131" t="s">
        <v>624</v>
      </c>
      <c r="D20" s="86">
        <f t="shared" si="7"/>
        <v>1.3807182801524097E-2</v>
      </c>
      <c r="E20" s="68">
        <f>E154/E31</f>
        <v>4.2898755936077851E-2</v>
      </c>
      <c r="F20" s="68">
        <f>F154/F31</f>
        <v>4.783848257403852E-2</v>
      </c>
      <c r="G20" s="68">
        <f>G154/G31</f>
        <v>7.2620333258438363E-2</v>
      </c>
      <c r="H20" s="68">
        <f>H154/H31</f>
        <v>6.3734082486933838E-2</v>
      </c>
      <c r="I20" s="81">
        <f>AVERAGE($E$20:$H$20)</f>
        <v>5.6772913563872138E-2</v>
      </c>
      <c r="J20" s="81">
        <f>AVERAGE($E$20:$H$20)</f>
        <v>5.6772913563872138E-2</v>
      </c>
      <c r="K20" s="81">
        <f>AVERAGE($E$20:$H$20)</f>
        <v>5.6772913563872138E-2</v>
      </c>
      <c r="L20" s="81">
        <f>AVERAGE($E$20:$H$20)</f>
        <v>5.6772913563872138E-2</v>
      </c>
      <c r="M20" s="81">
        <f>AVERAGE($E$20:$H$20)</f>
        <v>5.6772913563872138E-2</v>
      </c>
      <c r="N20" s="86">
        <f>STDEV(I20:M20)</f>
        <v>0</v>
      </c>
      <c r="O20" t="b">
        <f>N20&lt;D20</f>
        <v>1</v>
      </c>
    </row>
    <row r="21" spans="1:15" outlineLevel="1" x14ac:dyDescent="0.35">
      <c r="A21" s="131" t="s">
        <v>560</v>
      </c>
      <c r="D21" s="86">
        <f t="shared" si="7"/>
        <v>2.9340567615642736E-2</v>
      </c>
      <c r="E21" s="68">
        <f>E73/E31</f>
        <v>0</v>
      </c>
      <c r="F21" s="68">
        <f>F73/F31</f>
        <v>0</v>
      </c>
      <c r="G21" s="68">
        <f>G73/G31</f>
        <v>6.0399166008315755E-2</v>
      </c>
      <c r="H21" s="68">
        <f>H73/H31</f>
        <v>3.4301904784772699E-2</v>
      </c>
      <c r="I21" s="81">
        <f>AVERAGE($E$21:$H$21)</f>
        <v>2.3675267698272114E-2</v>
      </c>
      <c r="J21" s="81">
        <f>AVERAGE($E$21:$H$21)</f>
        <v>2.3675267698272114E-2</v>
      </c>
      <c r="K21" s="81">
        <f>AVERAGE($E$21:$H$21)</f>
        <v>2.3675267698272114E-2</v>
      </c>
      <c r="L21" s="81">
        <f>AVERAGE($E$21:$H$21)</f>
        <v>2.3675267698272114E-2</v>
      </c>
      <c r="M21" s="81">
        <f>AVERAGE($E$21:$H$21)</f>
        <v>2.3675267698272114E-2</v>
      </c>
      <c r="N21" s="86"/>
    </row>
    <row r="22" spans="1:15" outlineLevel="1" x14ac:dyDescent="0.35">
      <c r="A22" s="134" t="s">
        <v>559</v>
      </c>
      <c r="D22" s="86">
        <f t="shared" si="7"/>
        <v>2.2692731599224237E-2</v>
      </c>
      <c r="E22" s="68">
        <f>E72/E32</f>
        <v>7.4144845573306931E-2</v>
      </c>
      <c r="F22" s="68">
        <f>F72/F32</f>
        <v>0.12429634911888324</v>
      </c>
      <c r="G22" s="68">
        <f>G72/G32</f>
        <v>7.8531749314362437E-2</v>
      </c>
      <c r="H22" s="68">
        <f>H72/H32</f>
        <v>9.0715480815585739E-2</v>
      </c>
      <c r="I22" s="81">
        <f>AVERAGE($E$22:$H$22)</f>
        <v>9.1922106205534579E-2</v>
      </c>
      <c r="J22" s="81">
        <f>AVERAGE($E$22:$H$22)</f>
        <v>9.1922106205534579E-2</v>
      </c>
      <c r="K22" s="81">
        <f>AVERAGE($E$22:$H$22)</f>
        <v>9.1922106205534579E-2</v>
      </c>
      <c r="L22" s="81">
        <f>AVERAGE($E$22:$H$22)</f>
        <v>9.1922106205534579E-2</v>
      </c>
      <c r="M22" s="81">
        <f>AVERAGE($E$22:$H$22)</f>
        <v>9.1922106205534579E-2</v>
      </c>
      <c r="N22" s="86"/>
    </row>
    <row r="23" spans="1:15" outlineLevel="1" x14ac:dyDescent="0.35">
      <c r="A23" s="131" t="s">
        <v>561</v>
      </c>
      <c r="D23" s="86">
        <f t="shared" si="7"/>
        <v>5.7879422025765544E-3</v>
      </c>
      <c r="E23" s="68">
        <f>E$76/E$31</f>
        <v>1.5598047656617958E-2</v>
      </c>
      <c r="F23" s="68">
        <f>F$76/F$31</f>
        <v>1.8334270734340553E-2</v>
      </c>
      <c r="G23" s="68">
        <f>G$76/G$31</f>
        <v>1.3825369099303477E-2</v>
      </c>
      <c r="H23" s="68">
        <f>H$76/H$31</f>
        <v>2.6884689573478681E-2</v>
      </c>
      <c r="I23" s="81">
        <f>AVERAGE($E$23:$H$23)</f>
        <v>1.8660594265935169E-2</v>
      </c>
      <c r="J23" s="81">
        <f>AVERAGE($E$23:$H$23)</f>
        <v>1.8660594265935169E-2</v>
      </c>
      <c r="K23" s="81">
        <f>AVERAGE($E$23:$H$23)</f>
        <v>1.8660594265935169E-2</v>
      </c>
      <c r="L23" s="81">
        <f>AVERAGE($E$23:$H$23)</f>
        <v>1.8660594265935169E-2</v>
      </c>
      <c r="M23" s="81">
        <f>AVERAGE($E$23:$H$23)</f>
        <v>1.8660594265935169E-2</v>
      </c>
      <c r="N23" s="86"/>
    </row>
    <row r="24" spans="1:15" outlineLevel="1" x14ac:dyDescent="0.35">
      <c r="A24" s="131" t="s">
        <v>566</v>
      </c>
      <c r="D24" s="86">
        <f t="shared" si="7"/>
        <v>3.2337948712048447E-3</v>
      </c>
      <c r="E24" s="68">
        <f>E130/E31</f>
        <v>3.6600438587280966E-2</v>
      </c>
      <c r="F24" s="68">
        <f>F130/F31</f>
        <v>3.9630728651500163E-2</v>
      </c>
      <c r="G24" s="68">
        <f>G130/G31</f>
        <v>4.1782935061232672E-2</v>
      </c>
      <c r="H24" s="68">
        <f>H130/H31</f>
        <v>4.4211725077093533E-2</v>
      </c>
      <c r="I24" s="81">
        <f>AVERAGE(E24:H24)</f>
        <v>4.0556456844276834E-2</v>
      </c>
      <c r="J24" s="81">
        <f>AVERAGE(F24:I24)</f>
        <v>4.1545461408525802E-2</v>
      </c>
      <c r="K24" s="81">
        <f>AVERAGE(G24:J24)</f>
        <v>4.2024144597782212E-2</v>
      </c>
      <c r="L24" s="81">
        <f>AVERAGE(H24:K24)</f>
        <v>4.2084446981919599E-2</v>
      </c>
      <c r="M24" s="81">
        <f>AVERAGE(I24:L24)</f>
        <v>4.1552627458126115E-2</v>
      </c>
      <c r="N24" s="86"/>
    </row>
    <row r="25" spans="1:15" outlineLevel="1" x14ac:dyDescent="0.35">
      <c r="A25" s="131" t="s">
        <v>618</v>
      </c>
      <c r="D25" s="86">
        <f t="shared" si="7"/>
        <v>0</v>
      </c>
      <c r="E25" s="68">
        <f>E85/E31</f>
        <v>0</v>
      </c>
      <c r="F25" s="68">
        <f>F85/F31</f>
        <v>0</v>
      </c>
      <c r="G25" s="68">
        <f>G85/G31</f>
        <v>0</v>
      </c>
      <c r="H25" s="68">
        <f>H85/H31</f>
        <v>0</v>
      </c>
      <c r="I25" s="81">
        <f>AVERAGE($E$25:$H$25)</f>
        <v>0</v>
      </c>
      <c r="J25" s="81">
        <f>AVERAGE($E$25:$H$25)</f>
        <v>0</v>
      </c>
      <c r="K25" s="81">
        <f>AVERAGE($E$25:$H$25)</f>
        <v>0</v>
      </c>
      <c r="L25" s="81">
        <f>AVERAGE($E$25:$H$25)</f>
        <v>0</v>
      </c>
      <c r="M25" s="81">
        <f>AVERAGE($E$25:$H$25)</f>
        <v>0</v>
      </c>
      <c r="N25" s="86"/>
    </row>
    <row r="26" spans="1:15" outlineLevel="1" x14ac:dyDescent="0.35">
      <c r="A26" t="s">
        <v>22</v>
      </c>
      <c r="E26" s="63">
        <f t="shared" ref="E26:H27" si="8">E131</f>
        <v>0</v>
      </c>
      <c r="F26" s="63">
        <f t="shared" si="8"/>
        <v>0</v>
      </c>
      <c r="G26" s="63">
        <f t="shared" si="8"/>
        <v>50000000</v>
      </c>
      <c r="H26" s="63">
        <f t="shared" si="8"/>
        <v>-20000000</v>
      </c>
      <c r="I26" s="64">
        <f>E26</f>
        <v>0</v>
      </c>
      <c r="J26" s="64">
        <f>F26</f>
        <v>0</v>
      </c>
      <c r="K26" s="64">
        <f>G26</f>
        <v>50000000</v>
      </c>
      <c r="L26" s="64">
        <f>H26</f>
        <v>-20000000</v>
      </c>
      <c r="M26" s="64">
        <f>I26</f>
        <v>0</v>
      </c>
    </row>
    <row r="27" spans="1:15" outlineLevel="1" x14ac:dyDescent="0.35">
      <c r="A27" t="s">
        <v>23</v>
      </c>
      <c r="E27" s="63">
        <f t="shared" si="8"/>
        <v>23153000</v>
      </c>
      <c r="F27" s="63">
        <f t="shared" si="8"/>
        <v>-26493000</v>
      </c>
      <c r="G27" s="63">
        <f t="shared" si="8"/>
        <v>-73488000</v>
      </c>
      <c r="H27" s="63">
        <f t="shared" si="8"/>
        <v>-28205000</v>
      </c>
      <c r="I27" s="135">
        <f>AVERAGE(E27:H27)</f>
        <v>-26258250</v>
      </c>
      <c r="J27" s="135">
        <f>AVERAGE(E27:I27)</f>
        <v>-26258250</v>
      </c>
      <c r="K27" s="135">
        <f>AVERAGE(F27:J27)</f>
        <v>-36140500</v>
      </c>
      <c r="L27" s="135">
        <f>AVERAGE(G27:K27)</f>
        <v>-38070000</v>
      </c>
      <c r="M27" s="135">
        <f>AVERAGE(H27:L27)</f>
        <v>-30986400</v>
      </c>
    </row>
    <row r="28" spans="1:15" outlineLevel="1" x14ac:dyDescent="0.35">
      <c r="E28" s="84"/>
    </row>
    <row r="30" spans="1:15" x14ac:dyDescent="0.35">
      <c r="A30" s="2" t="s">
        <v>5</v>
      </c>
      <c r="B30" s="2"/>
      <c r="C30" s="2"/>
      <c r="D30" s="2"/>
      <c r="E30" s="11"/>
      <c r="F30" s="11"/>
      <c r="G30" s="11"/>
      <c r="H30" s="11"/>
      <c r="I30" s="11"/>
      <c r="J30" s="11"/>
      <c r="K30" s="11"/>
      <c r="L30" s="11"/>
      <c r="M30" s="11"/>
    </row>
    <row r="31" spans="1:15" outlineLevel="1" x14ac:dyDescent="0.35">
      <c r="A31" s="3" t="s">
        <v>24</v>
      </c>
      <c r="B31" s="3"/>
      <c r="C31" s="3"/>
      <c r="D31" s="3"/>
      <c r="E31" s="12">
        <f>SUMIFS(IncomeStatement[TotalRevenue],IncomeStatement[Ticker],$B$1,IncomeStatement[Year],E2,IncomeStatement[periodType],"&lt;&gt;TTM")</f>
        <v>666686000</v>
      </c>
      <c r="F31" s="12">
        <f>SUMIFS(IncomeStatement[TotalRevenue],IncomeStatement[Ticker],$B$1,IncomeStatement[Year],F2,IncomeStatement[periodType],"&lt;&gt;TTM")</f>
        <v>773415000</v>
      </c>
      <c r="G31" s="12">
        <f>SUMIFS(IncomeStatement[TotalRevenue],IncomeStatement[Ticker],$B$1,IncomeStatement[Year],G2,IncomeStatement[periodType],"&lt;&gt;TTM")</f>
        <v>827826000</v>
      </c>
      <c r="H31" s="12">
        <f>SUMIFS(IncomeStatement[TotalRevenue],IncomeStatement[Ticker],$B$1,IncomeStatement[Year],H2,IncomeStatement[periodType],"&lt;&gt;TTM")</f>
        <v>874587000</v>
      </c>
      <c r="I31" s="93">
        <f>H31*(1+I7)</f>
        <v>958234537.82857859</v>
      </c>
      <c r="J31" s="93">
        <f>I31*(1+J7)</f>
        <v>1043441111.472526</v>
      </c>
      <c r="K31" s="93">
        <f>J31*(1+K7)</f>
        <v>1129210321.2238276</v>
      </c>
      <c r="L31" s="93">
        <f>K31*(1+L7)</f>
        <v>1214439123.3415549</v>
      </c>
      <c r="M31" s="93">
        <f>L31*(1+M7)</f>
        <v>1289773883.549299</v>
      </c>
    </row>
    <row r="32" spans="1:15" outlineLevel="1" x14ac:dyDescent="0.35">
      <c r="A32" t="s">
        <v>25</v>
      </c>
      <c r="E32" s="59">
        <f>SUMIFS(IncomeStatement[CostOfRevenue],IncomeStatement[Ticker],$B$1,IncomeStatement[Year],E2,IncomeStatement[periodType],"&lt;&gt;TTM")</f>
        <v>259573000</v>
      </c>
      <c r="F32" s="59">
        <f>SUMIFS(IncomeStatement[CostOfRevenue],IncomeStatement[Ticker],$B$1,IncomeStatement[Year],F2,IncomeStatement[periodType],"&lt;&gt;TTM")</f>
        <v>277659000</v>
      </c>
      <c r="G32" s="59">
        <f>SUMIFS(IncomeStatement[CostOfRevenue],IncomeStatement[Ticker],$B$1,IncomeStatement[Year],G2,IncomeStatement[periodType],"&lt;&gt;TTM")</f>
        <v>314306000</v>
      </c>
      <c r="H32" s="59">
        <f>SUMIFS(IncomeStatement[CostOfRevenue],IncomeStatement[Ticker],$B$1,IncomeStatement[Year],H2,IncomeStatement[periodType],"&lt;&gt;TTM")</f>
        <v>352630000</v>
      </c>
      <c r="I32" s="94">
        <f>I31*I8</f>
        <v>366818058.75580609</v>
      </c>
      <c r="J32" s="94">
        <f>J31*J8</f>
        <v>399435657.79177171</v>
      </c>
      <c r="K32" s="94">
        <f>K31*K8</f>
        <v>432268637.38076282</v>
      </c>
      <c r="L32" s="94">
        <f>L31*L8</f>
        <v>464894745.61283767</v>
      </c>
      <c r="M32" s="94">
        <f>M31*M8</f>
        <v>493733353.91311836</v>
      </c>
    </row>
    <row r="33" spans="1:14" ht="15" outlineLevel="1" thickBot="1" x14ac:dyDescent="0.4">
      <c r="A33" s="6" t="s">
        <v>26</v>
      </c>
      <c r="B33" s="6"/>
      <c r="C33" s="6"/>
      <c r="D33" s="6"/>
      <c r="E33" s="15">
        <f t="shared" ref="E33:M33" si="9">E31-E32</f>
        <v>407113000</v>
      </c>
      <c r="F33" s="15">
        <f t="shared" si="9"/>
        <v>495756000</v>
      </c>
      <c r="G33" s="15">
        <f t="shared" si="9"/>
        <v>513520000</v>
      </c>
      <c r="H33" s="15">
        <f t="shared" si="9"/>
        <v>521957000</v>
      </c>
      <c r="I33" s="95">
        <f t="shared" si="9"/>
        <v>591416479.0727725</v>
      </c>
      <c r="J33" s="95">
        <f t="shared" si="9"/>
        <v>644005453.68075418</v>
      </c>
      <c r="K33" s="95">
        <f t="shared" si="9"/>
        <v>696941683.84306479</v>
      </c>
      <c r="L33" s="95">
        <f t="shared" si="9"/>
        <v>749544377.72871721</v>
      </c>
      <c r="M33" s="95">
        <f t="shared" si="9"/>
        <v>796040529.63618064</v>
      </c>
    </row>
    <row r="34" spans="1:14" ht="15" outlineLevel="1" thickTop="1" x14ac:dyDescent="0.35">
      <c r="A34" s="3" t="s">
        <v>483</v>
      </c>
      <c r="B34" s="3"/>
      <c r="C34" s="3"/>
      <c r="D34" s="3"/>
      <c r="E34" s="12">
        <f>SUMIFS(IncomeStatement[GrossProfit],IncomeStatement[Ticker],$B$1,IncomeStatement[Year],E2,IncomeStatement[periodType],"&lt;&gt;TTM")</f>
        <v>407113000</v>
      </c>
      <c r="F34" s="12">
        <f>SUMIFS(IncomeStatement[GrossProfit],IncomeStatement[Ticker],$B$1,IncomeStatement[Year],F2,IncomeStatement[periodType],"&lt;&gt;TTM")</f>
        <v>495756000</v>
      </c>
      <c r="G34" s="12">
        <f>SUMIFS(IncomeStatement[GrossProfit],IncomeStatement[Ticker],$B$1,IncomeStatement[Year],G2,IncomeStatement[periodType],"&lt;&gt;TTM")</f>
        <v>513520000</v>
      </c>
      <c r="H34" s="12">
        <f>SUMIFS(IncomeStatement[GrossProfit],IncomeStatement[Ticker],$B$1,IncomeStatement[Year],H2,IncomeStatement[periodType],"&lt;&gt;TTM")</f>
        <v>521957000</v>
      </c>
      <c r="I34" s="93"/>
      <c r="J34" s="93"/>
      <c r="K34" s="93"/>
      <c r="L34" s="93"/>
      <c r="M34" s="93"/>
    </row>
    <row r="35" spans="1:14" outlineLevel="1" x14ac:dyDescent="0.35">
      <c r="A35" s="3"/>
      <c r="B35" s="3"/>
      <c r="C35" s="3"/>
      <c r="D35" s="99"/>
      <c r="E35" s="92"/>
      <c r="F35" s="92"/>
      <c r="G35" s="92"/>
      <c r="H35" s="92"/>
      <c r="I35"/>
      <c r="J35" s="93"/>
      <c r="K35" s="93"/>
      <c r="L35" s="93"/>
      <c r="M35" s="93"/>
      <c r="N35" s="86">
        <f>STDEV(E36:M36)</f>
        <v>1.7478987729114232E-2</v>
      </c>
    </row>
    <row r="36" spans="1:14" outlineLevel="1" x14ac:dyDescent="0.35">
      <c r="A36" s="3" t="s">
        <v>27</v>
      </c>
      <c r="B36" s="3"/>
      <c r="C36" s="3"/>
      <c r="D36" s="99">
        <f>STDEV(E36:H36)</f>
        <v>2.8543067437798896E-2</v>
      </c>
      <c r="E36" s="92">
        <f>E40/E31</f>
        <v>0.87210470896344006</v>
      </c>
      <c r="F36" s="92">
        <f>F40/F31</f>
        <v>0.86022251960461071</v>
      </c>
      <c r="G36" s="92">
        <f t="shared" ref="G36:M36" si="10">G40/G31</f>
        <v>0.86435796894516481</v>
      </c>
      <c r="H36" s="92">
        <f t="shared" si="10"/>
        <v>0.9217916570907182</v>
      </c>
      <c r="I36" s="92">
        <f t="shared" si="10"/>
        <v>0.87961921365098339</v>
      </c>
      <c r="J36" s="92">
        <f t="shared" si="10"/>
        <v>0.8796192136509835</v>
      </c>
      <c r="K36" s="92">
        <f t="shared" si="10"/>
        <v>0.8796192136509835</v>
      </c>
      <c r="L36" s="92">
        <f t="shared" si="10"/>
        <v>0.87961921365098339</v>
      </c>
      <c r="M36" s="92">
        <f t="shared" si="10"/>
        <v>0.87961921365098339</v>
      </c>
      <c r="N36" s="86">
        <f>STDEV(I36:M36)</f>
        <v>7.8504622934188758E-17</v>
      </c>
    </row>
    <row r="37" spans="1:14" outlineLevel="1" x14ac:dyDescent="0.35">
      <c r="A37" t="s">
        <v>519</v>
      </c>
      <c r="B37" s="3"/>
      <c r="C37" s="3"/>
      <c r="D37" s="3"/>
      <c r="E37" s="82">
        <f>SUMIFS(IncomeStatement[OperatingExpense],IncomeStatement[Ticker],$B$1,IncomeStatement[Year],E$2,IncomeStatement[periodType],"&lt;&gt;TTM")</f>
        <v>321847000</v>
      </c>
      <c r="F37" s="82">
        <f>SUMIFS(IncomeStatement[OperatingExpense],IncomeStatement[Ticker],$B$1,IncomeStatement[Year],F$2,IncomeStatement[periodType],"&lt;&gt;TTM")</f>
        <v>387650000</v>
      </c>
      <c r="G37" s="82">
        <f>SUMIFS(IncomeStatement[OperatingExpense],IncomeStatement[Ticker],$B$1,IncomeStatement[Year],G$2,IncomeStatement[periodType],"&lt;&gt;TTM")</f>
        <v>401232000</v>
      </c>
      <c r="H37" s="82">
        <f>SUMIFS(IncomeStatement[OperatingExpense],IncomeStatement[Ticker],$B$1,IncomeStatement[Year],H$2,IncomeStatement[periodType],"&lt;&gt;TTM")</f>
        <v>453557000</v>
      </c>
      <c r="I37" s="85">
        <f>I31*I9</f>
        <v>476063451.90218174</v>
      </c>
      <c r="J37" s="85">
        <f>J31*J9</f>
        <v>518395192.17279971</v>
      </c>
      <c r="K37" s="85">
        <f>K31*K9</f>
        <v>561006457.42071486</v>
      </c>
      <c r="L37" s="85">
        <f>L31*L9</f>
        <v>603349241.08785045</v>
      </c>
      <c r="M37" s="85">
        <f>M31*M9</f>
        <v>640776535.3220911</v>
      </c>
    </row>
    <row r="38" spans="1:14" outlineLevel="1" x14ac:dyDescent="0.35">
      <c r="A38" t="s">
        <v>30</v>
      </c>
      <c r="B38" s="3"/>
      <c r="C38" s="3"/>
      <c r="D38" s="3"/>
      <c r="E38" s="82">
        <f>SUMIFS(IncomeStatement[ReconciledDepreciation],IncomeStatement[Ticker],$B$1,IncomeStatement[Year],E$2,IncomeStatement[periodType],"&lt;&gt;TTM")</f>
        <v>41359000</v>
      </c>
      <c r="F38" s="82">
        <f>SUMIFS(IncomeStatement[ReconciledDepreciation],IncomeStatement[Ticker],$B$1,IncomeStatement[Year],F$2,IncomeStatement[periodType],"&lt;&gt;TTM")</f>
        <v>48771000</v>
      </c>
      <c r="G38" s="82">
        <f>SUMIFS(IncomeStatement[ReconciledDepreciation],IncomeStatement[Ticker],$B$1,IncomeStatement[Year],G$2,IncomeStatement[periodType],"&lt;&gt;TTM")</f>
        <v>68470000</v>
      </c>
      <c r="H38" s="82">
        <f>SUMIFS(IncomeStatement[ReconciledDepreciation],IncomeStatement[Ticker],$B$1,IncomeStatement[Year],H$2,IncomeStatement[periodType],"&lt;&gt;TTM")</f>
        <v>79729000</v>
      </c>
      <c r="I38" s="85">
        <f>I31*I11</f>
        <v>71620484.028877199</v>
      </c>
      <c r="J38" s="85">
        <f>J31*J11</f>
        <v>77989004.266783074</v>
      </c>
      <c r="K38" s="85">
        <f>K31*K11</f>
        <v>84399577.122028485</v>
      </c>
      <c r="L38" s="85">
        <f>L31*L11</f>
        <v>90769758.763263598</v>
      </c>
      <c r="M38" s="85">
        <f>M31*M11</f>
        <v>96400438.70358865</v>
      </c>
      <c r="N38" t="s">
        <v>518</v>
      </c>
    </row>
    <row r="39" spans="1:14" outlineLevel="1" x14ac:dyDescent="0.35">
      <c r="A39" t="s">
        <v>31</v>
      </c>
      <c r="E39" s="10">
        <f>SUMIFS(IncomeStatement[InterestExpense],IncomeStatement[Ticker],$B$1,IncomeStatement[Year],E2,IncomeStatement[periodType],"&lt;&gt;TTM")</f>
        <v>0</v>
      </c>
      <c r="F39" s="10">
        <f>SUMIFS(IncomeStatement[InterestExpense],IncomeStatement[Ticker],$B$1,IncomeStatement[Year],F2,IncomeStatement[periodType],"&lt;&gt;TTM")</f>
        <v>67000</v>
      </c>
      <c r="G39" s="10">
        <f>SUMIFS(IncomeStatement[InterestExpense],IncomeStatement[Ticker],$B$1,IncomeStatement[Year],G2,IncomeStatement[periodType],"&lt;&gt;TTM")</f>
        <v>1336000</v>
      </c>
      <c r="H39" s="10">
        <f>SUMIFS(IncomeStatement[InterestExpense],IncomeStatement[Ticker],$B$1,IncomeStatement[Year],H2,IncomeStatement[periodType],"&lt;&gt;TTM")</f>
        <v>1856000</v>
      </c>
      <c r="I39" s="85">
        <f>I164</f>
        <v>871286.57257867383</v>
      </c>
      <c r="J39" s="85">
        <f>J164</f>
        <v>871286.57257867383</v>
      </c>
      <c r="K39" s="85">
        <f>K164</f>
        <v>1479557.0086151678</v>
      </c>
      <c r="L39" s="85">
        <f>L164</f>
        <v>1236248.8342005701</v>
      </c>
      <c r="M39" s="85">
        <f>M164</f>
        <v>1236248.8342005701</v>
      </c>
      <c r="N39" t="s">
        <v>133</v>
      </c>
    </row>
    <row r="40" spans="1:14" outlineLevel="1" x14ac:dyDescent="0.35">
      <c r="A40" s="100" t="s">
        <v>501</v>
      </c>
      <c r="B40" s="100"/>
      <c r="C40" s="100"/>
      <c r="D40" s="100"/>
      <c r="E40" s="101">
        <f>SUMIFS(IncomeStatement[TotalExpenses],IncomeStatement[Ticker],$B$1,IncomeStatement[Year],E2,IncomeStatement[periodType],"&lt;&gt;TTM")</f>
        <v>581420000</v>
      </c>
      <c r="F40" s="101">
        <f>SUMIFS(IncomeStatement[TotalExpenses],IncomeStatement[Ticker],$B$1,IncomeStatement[Year],F2,IncomeStatement[periodType],"&lt;&gt;TTM")</f>
        <v>665309000</v>
      </c>
      <c r="G40" s="101">
        <f>SUMIFS(IncomeStatement[TotalExpenses],IncomeStatement[Ticker],$B$1,IncomeStatement[Year],G2,IncomeStatement[periodType],"&lt;&gt;TTM")</f>
        <v>715538000</v>
      </c>
      <c r="H40" s="101">
        <f>SUMIFS(IncomeStatement[TotalExpenses],IncomeStatement[Ticker],$B$1,IncomeStatement[Year],H2,IncomeStatement[periodType],"&lt;&gt;TTM")</f>
        <v>806187000</v>
      </c>
      <c r="I40" s="101">
        <f>SUM(I37)+I32</f>
        <v>842881510.65798783</v>
      </c>
      <c r="J40" s="101">
        <f>SUM(J37)+J32</f>
        <v>917830849.96457148</v>
      </c>
      <c r="K40" s="101">
        <f>SUM(K37)+K32</f>
        <v>993275094.80147767</v>
      </c>
      <c r="L40" s="101">
        <f>SUM(L37)+L32</f>
        <v>1068243986.7006881</v>
      </c>
      <c r="M40" s="101">
        <f>SUM(M37)+M32</f>
        <v>1134509889.2352095</v>
      </c>
    </row>
    <row r="41" spans="1:14" outlineLevel="1" x14ac:dyDescent="0.35">
      <c r="A41" s="3" t="s">
        <v>484</v>
      </c>
      <c r="B41" s="3"/>
      <c r="C41" s="3"/>
      <c r="D41" s="3"/>
      <c r="E41" s="12">
        <f>SUMIFS(IncomeStatement[PretaxIncome],IncomeStatement[Ticker],$B$1,IncomeStatement[Year],E2,IncomeStatement[periodType],"&lt;&gt;TTM")</f>
        <v>89523000</v>
      </c>
      <c r="F41" s="12">
        <f>SUMIFS(IncomeStatement[PretaxIncome],IncomeStatement[Ticker],$B$1,IncomeStatement[Year],F2,IncomeStatement[periodType],"&lt;&gt;TTM")</f>
        <v>104736000</v>
      </c>
      <c r="G41" s="12">
        <f>SUMIFS(IncomeStatement[PretaxIncome],IncomeStatement[Ticker],$B$1,IncomeStatement[Year],G2,IncomeStatement[periodType],"&lt;&gt;TTM")</f>
        <v>91037000</v>
      </c>
      <c r="H41" s="12">
        <f>SUMIFS(IncomeStatement[PretaxIncome],IncomeStatement[Ticker],$B$1,IncomeStatement[Year],H2,IncomeStatement[periodType],"&lt;&gt;TTM")</f>
        <v>122468000</v>
      </c>
      <c r="I41" s="93">
        <f>I33-I37-I39</f>
        <v>114481740.59801209</v>
      </c>
      <c r="J41" s="93">
        <f>J33-J37-J39</f>
        <v>124738974.93537581</v>
      </c>
      <c r="K41" s="93">
        <f>K33-K37-K39</f>
        <v>134455669.41373476</v>
      </c>
      <c r="L41" s="93">
        <f>L33-L37-L39</f>
        <v>144958887.8066662</v>
      </c>
      <c r="M41" s="93">
        <f>M33-M37-M39</f>
        <v>154027745.47988898</v>
      </c>
    </row>
    <row r="42" spans="1:14" ht="15" outlineLevel="1" thickBot="1" x14ac:dyDescent="0.4">
      <c r="A42" s="52" t="s">
        <v>476</v>
      </c>
      <c r="B42" s="52"/>
      <c r="C42" s="52"/>
      <c r="D42" s="52"/>
      <c r="E42" s="53">
        <f>SUMIFS(IncomeStatement[EBITDA],IncomeStatement[Ticker],$B$1,IncomeStatement[Year],E2,IncomeStatement[periodType],"&lt;&gt;TTM")</f>
        <v>126625000</v>
      </c>
      <c r="F42" s="53">
        <f>SUMIFS(IncomeStatement[EBITDA],IncomeStatement[Ticker],$B$1,IncomeStatement[Year],F2,IncomeStatement[periodType],"&lt;&gt;TTM")</f>
        <v>153574000</v>
      </c>
      <c r="G42" s="53">
        <f>SUMIFS(IncomeStatement[EBITDA],IncomeStatement[Ticker],$B$1,IncomeStatement[Year],G2,IncomeStatement[periodType],"&lt;&gt;TTM")</f>
        <v>160843000</v>
      </c>
      <c r="H42" s="53">
        <f>SUMIFS(IncomeStatement[EBITDA],IncomeStatement[Ticker],$B$1,IncomeStatement[Year],H2,IncomeStatement[periodType],"&lt;&gt;TTM")</f>
        <v>204053000</v>
      </c>
      <c r="I42" s="96">
        <f>I41+I39+I38</f>
        <v>186973511.19946796</v>
      </c>
      <c r="J42" s="96">
        <f>J41+J39+J38</f>
        <v>203599265.77473754</v>
      </c>
      <c r="K42" s="96">
        <f>K41+K39+K38</f>
        <v>220334803.5443784</v>
      </c>
      <c r="L42" s="96">
        <f>L41+L39+L38</f>
        <v>236964895.40413034</v>
      </c>
      <c r="M42" s="96">
        <f>M41+M39+M38</f>
        <v>251664433.0176782</v>
      </c>
    </row>
    <row r="43" spans="1:14" ht="15" outlineLevel="1" thickTop="1" x14ac:dyDescent="0.35">
      <c r="A43" s="3"/>
      <c r="B43" s="3"/>
      <c r="C43" s="3"/>
      <c r="D43" s="3"/>
      <c r="E43" s="90"/>
      <c r="F43" s="90"/>
      <c r="G43" s="90"/>
      <c r="H43" s="90"/>
      <c r="I43" s="97"/>
      <c r="J43" s="97"/>
      <c r="K43" s="97"/>
      <c r="L43" s="97"/>
      <c r="M43" s="97"/>
    </row>
    <row r="44" spans="1:14" outlineLevel="1" x14ac:dyDescent="0.35">
      <c r="A44" s="7" t="s">
        <v>521</v>
      </c>
      <c r="E44" s="91">
        <f t="shared" ref="E44:M44" si="11">E45/E41</f>
        <v>0.19835126168694078</v>
      </c>
      <c r="F44" s="91">
        <f t="shared" si="11"/>
        <v>0.12271807210510235</v>
      </c>
      <c r="G44" s="91">
        <f t="shared" si="11"/>
        <v>0.16404319122993949</v>
      </c>
      <c r="H44" s="91">
        <f t="shared" si="11"/>
        <v>9.9609693960871409E-2</v>
      </c>
      <c r="I44" s="98">
        <f t="shared" si="11"/>
        <v>0.14624999999999999</v>
      </c>
      <c r="J44" s="98">
        <f t="shared" si="11"/>
        <v>0.14624999999999999</v>
      </c>
      <c r="K44" s="98">
        <f t="shared" si="11"/>
        <v>0.14624999999999999</v>
      </c>
      <c r="L44" s="98">
        <f t="shared" si="11"/>
        <v>0.14624999999999999</v>
      </c>
      <c r="M44" s="98">
        <f t="shared" si="11"/>
        <v>0.14624999999999999</v>
      </c>
    </row>
    <row r="45" spans="1:14" outlineLevel="1" x14ac:dyDescent="0.35">
      <c r="A45" t="s">
        <v>520</v>
      </c>
      <c r="E45" s="10">
        <f>SUMIFS(IncomeStatement[TaxProvision],IncomeStatement[Ticker],$B$1,IncomeStatement[Year],E$2,IncomeStatement[periodType],"&lt;&gt;TTM")</f>
        <v>17757000</v>
      </c>
      <c r="F45" s="10">
        <f>SUMIFS(IncomeStatement[TaxProvision],IncomeStatement[Ticker],$B$1,IncomeStatement[Year],F$2,IncomeStatement[periodType],"&lt;&gt;TTM")</f>
        <v>12853000</v>
      </c>
      <c r="G45" s="10">
        <f>SUMIFS(IncomeStatement[TaxProvision],IncomeStatement[Ticker],$B$1,IncomeStatement[Year],G$2,IncomeStatement[periodType],"&lt;&gt;TTM")</f>
        <v>14934000</v>
      </c>
      <c r="H45" s="10">
        <f>SUMIFS(IncomeStatement[TaxProvision],IncomeStatement[Ticker],$B$1,IncomeStatement[Year],H$2,IncomeStatement[periodType],"&lt;&gt;TTM")</f>
        <v>12199000</v>
      </c>
      <c r="I45" s="85">
        <f>I41*I13</f>
        <v>16742954.562459268</v>
      </c>
      <c r="J45" s="85">
        <f>J41*J13</f>
        <v>18243075.084298711</v>
      </c>
      <c r="K45" s="85">
        <f>K41*K13</f>
        <v>19664141.651758708</v>
      </c>
      <c r="L45" s="85">
        <f>L41*L13</f>
        <v>21200237.341724928</v>
      </c>
      <c r="M45" s="85">
        <f>M41*M13</f>
        <v>22526557.776433762</v>
      </c>
    </row>
    <row r="46" spans="1:14" ht="15" outlineLevel="1" thickBot="1" x14ac:dyDescent="0.4">
      <c r="A46" s="52" t="s">
        <v>477</v>
      </c>
      <c r="B46" s="52"/>
      <c r="C46" s="52"/>
      <c r="D46" s="52"/>
      <c r="E46" s="53">
        <f>SUMIFS(IncomeStatement[NetIncome],IncomeStatement[Ticker],$B$1,IncomeStatement[Year],E$2,IncomeStatement[periodType],"&lt;&gt;TTM")</f>
        <v>71766000</v>
      </c>
      <c r="F46" s="53">
        <f>SUMIFS(IncomeStatement[NetIncome],IncomeStatement[Ticker],$B$1,IncomeStatement[Year],F$2,IncomeStatement[periodType],"&lt;&gt;TTM")</f>
        <v>91883000</v>
      </c>
      <c r="G46" s="53">
        <f>SUMIFS(IncomeStatement[NetIncome],IncomeStatement[Ticker],$B$1,IncomeStatement[Year],G$2,IncomeStatement[periodType],"&lt;&gt;TTM")</f>
        <v>76103000</v>
      </c>
      <c r="H46" s="53">
        <f>SUMIFS(IncomeStatement[NetIncome],IncomeStatement[Ticker],$B$1,IncomeStatement[Year],H$2,IncomeStatement[periodType],"&lt;&gt;TTM")</f>
        <v>110269000</v>
      </c>
      <c r="I46" s="96">
        <f>I41-I45</f>
        <v>97738786.03555283</v>
      </c>
      <c r="J46" s="96">
        <f>J41-J45</f>
        <v>106495899.85107709</v>
      </c>
      <c r="K46" s="96">
        <f>K41-K45</f>
        <v>114791527.76197606</v>
      </c>
      <c r="L46" s="96">
        <f>L41-L45</f>
        <v>123758650.46494126</v>
      </c>
      <c r="M46" s="96">
        <f>M41-M45</f>
        <v>131501187.70345521</v>
      </c>
      <c r="N46" s="86">
        <f>STDEV(E47:M47)</f>
        <v>1.0315462351453669E-2</v>
      </c>
    </row>
    <row r="47" spans="1:14" ht="15" outlineLevel="1" thickTop="1" x14ac:dyDescent="0.35">
      <c r="A47" s="7" t="s">
        <v>523</v>
      </c>
      <c r="D47" s="99">
        <f>STDEV(E47:H47)</f>
        <v>1.4867499584448879E-2</v>
      </c>
      <c r="E47" s="78">
        <f>E46/E31</f>
        <v>0.10764587826953019</v>
      </c>
      <c r="F47" s="78">
        <f t="shared" ref="F47:M47" si="12">F46/F31</f>
        <v>0.11880167827104465</v>
      </c>
      <c r="G47" s="78">
        <f t="shared" si="12"/>
        <v>9.193115461461708E-2</v>
      </c>
      <c r="H47" s="78">
        <f t="shared" si="12"/>
        <v>0.12608122462373669</v>
      </c>
      <c r="I47" s="70">
        <f t="shared" si="12"/>
        <v>0.10199881362764823</v>
      </c>
      <c r="J47" s="70">
        <f t="shared" si="12"/>
        <v>0.10206220425874139</v>
      </c>
      <c r="K47" s="70">
        <f t="shared" si="12"/>
        <v>0.10165646346339278</v>
      </c>
      <c r="L47" s="70">
        <f t="shared" si="12"/>
        <v>0.10190601413137673</v>
      </c>
      <c r="M47" s="70">
        <f t="shared" si="12"/>
        <v>0.1019567765952743</v>
      </c>
      <c r="N47" s="86">
        <f>STDEV(I47:M47)</f>
        <v>1.5600915800174746E-4</v>
      </c>
    </row>
    <row r="48" spans="1:14" outlineLevel="1" x14ac:dyDescent="0.35">
      <c r="A48" s="7" t="s">
        <v>524</v>
      </c>
      <c r="E48" s="78" t="str">
        <f>IFERROR((E46-D46)/D46,"")</f>
        <v/>
      </c>
      <c r="F48" s="78">
        <f t="shared" ref="F48:M48" si="13">IFERROR((F46-E46)/E46,"")</f>
        <v>0.28031379762004294</v>
      </c>
      <c r="G48" s="78">
        <f t="shared" si="13"/>
        <v>-0.17174014779665445</v>
      </c>
      <c r="H48" s="78">
        <f t="shared" si="13"/>
        <v>0.44894419405279684</v>
      </c>
      <c r="I48" s="78">
        <f t="shared" si="13"/>
        <v>-0.1136331513339848</v>
      </c>
      <c r="J48" s="78">
        <f t="shared" si="13"/>
        <v>8.9597120761647622E-2</v>
      </c>
      <c r="K48" s="78">
        <f t="shared" si="13"/>
        <v>7.7896218751139709E-2</v>
      </c>
      <c r="L48" s="78">
        <f t="shared" si="13"/>
        <v>7.8116589941714318E-2</v>
      </c>
      <c r="M48" s="78">
        <f t="shared" si="13"/>
        <v>6.2561584256344782E-2</v>
      </c>
    </row>
    <row r="49" spans="1:14" x14ac:dyDescent="0.35">
      <c r="A49" s="7"/>
      <c r="E49" s="78"/>
      <c r="F49" s="78"/>
      <c r="G49" s="78"/>
      <c r="H49" s="78"/>
      <c r="I49" s="78"/>
      <c r="J49" s="78"/>
      <c r="K49" s="78"/>
      <c r="L49" s="78"/>
      <c r="M49" s="78"/>
    </row>
    <row r="50" spans="1:14" x14ac:dyDescent="0.35">
      <c r="A50" s="2" t="s">
        <v>6</v>
      </c>
      <c r="B50" s="2"/>
      <c r="C50" s="2"/>
      <c r="D50" s="2"/>
      <c r="E50" s="11"/>
      <c r="F50" s="11"/>
      <c r="G50" s="11"/>
      <c r="H50" s="11"/>
      <c r="I50" s="11"/>
      <c r="J50" s="11"/>
      <c r="K50" s="11"/>
      <c r="L50" s="11"/>
      <c r="M50" s="11"/>
    </row>
    <row r="51" spans="1:14" outlineLevel="1" x14ac:dyDescent="0.35">
      <c r="A51" s="3" t="s">
        <v>36</v>
      </c>
      <c r="E51" s="79">
        <f>E53/E42</f>
        <v>3.3845923000987166</v>
      </c>
      <c r="F51" s="79">
        <f>F53/F42</f>
        <v>2.0447276231653797</v>
      </c>
      <c r="G51" s="79">
        <f>G53/G42</f>
        <v>0.71594038907506075</v>
      </c>
      <c r="H51" s="79">
        <f>H53/H42</f>
        <v>0.49247009355412563</v>
      </c>
      <c r="L51" s="10"/>
      <c r="M51" s="10"/>
    </row>
    <row r="52" spans="1:14" outlineLevel="1" x14ac:dyDescent="0.35">
      <c r="A52" s="3" t="s">
        <v>525</v>
      </c>
      <c r="E52" s="10">
        <f>SUMIFS(BalanceSheet[CurrentAssets],BalanceSheet[Ticker],$B$1,BalanceSheet[Year],E$2,BalanceSheet[periodType],"&lt;&gt;TTM")</f>
        <v>489070000</v>
      </c>
      <c r="F52" s="10">
        <f>SUMIFS(BalanceSheet[CurrentAssets],BalanceSheet[Ticker],$B$1,BalanceSheet[Year],F$2,BalanceSheet[periodType],"&lt;&gt;TTM")</f>
        <v>388215000</v>
      </c>
      <c r="G52" s="10">
        <f>SUMIFS(BalanceSheet[CurrentAssets],BalanceSheet[Ticker],$B$1,BalanceSheet[Year],G$2,BalanceSheet[periodType],"&lt;&gt;TTM")</f>
        <v>215671000</v>
      </c>
      <c r="H52" s="10">
        <f>SUMIFS(BalanceSheet[CurrentAssets],BalanceSheet[Ticker],$B$1,BalanceSheet[Year],H$2,BalanceSheet[periodType],"&lt;&gt;TTM")</f>
        <v>292573000</v>
      </c>
      <c r="L52" s="10"/>
      <c r="M52" s="10"/>
    </row>
    <row r="53" spans="1:14" outlineLevel="1" x14ac:dyDescent="0.35">
      <c r="A53" t="s">
        <v>37</v>
      </c>
      <c r="E53" s="10">
        <f>SUMIFS(BalanceSheet[CashAndCashEquivalents],BalanceSheet[Ticker],$B$1,BalanceSheet[Year],E2,BalanceSheet[periodType],"&lt;&gt;TTM")</f>
        <v>428574000</v>
      </c>
      <c r="F53" s="10">
        <f>SUMIFS(BalanceSheet[CashAndCashEquivalents],BalanceSheet[Ticker],$B$1,BalanceSheet[Year],F2,BalanceSheet[periodType],"&lt;&gt;TTM")</f>
        <v>314017000</v>
      </c>
      <c r="G53" s="10">
        <f>SUMIFS(BalanceSheet[CashAndCashEquivalents],BalanceSheet[Ticker],$B$1,BalanceSheet[Year],G2,BalanceSheet[periodType],"&lt;&gt;TTM")</f>
        <v>115154000</v>
      </c>
      <c r="H53" s="10">
        <f>SUMIFS(BalanceSheet[CashAndCashEquivalents],BalanceSheet[Ticker],$B$1,BalanceSheet[Year],H2,BalanceSheet[periodType],"&lt;&gt;TTM")</f>
        <v>100490000</v>
      </c>
      <c r="I53" s="85">
        <f>I138</f>
        <v>161584254.96891707</v>
      </c>
      <c r="J53" s="85">
        <f>J138</f>
        <v>196956859.28901631</v>
      </c>
      <c r="K53" s="85">
        <f>K138</f>
        <v>265467477.99666962</v>
      </c>
      <c r="L53" s="85">
        <f>L138</f>
        <v>371825825.21643841</v>
      </c>
      <c r="M53" s="85">
        <f>M138</f>
        <v>470979059.7947557</v>
      </c>
      <c r="N53" t="s">
        <v>135</v>
      </c>
    </row>
    <row r="54" spans="1:14" outlineLevel="1" x14ac:dyDescent="0.35">
      <c r="A54" t="s">
        <v>38</v>
      </c>
      <c r="E54" s="10">
        <f>SUMIFS(BalanceSheet[AccountsReceivable],BalanceSheet[Ticker],$B$1,BalanceSheet[Year],E2,BalanceSheet[periodType],"&lt;&gt;TTM")</f>
        <v>43846000</v>
      </c>
      <c r="F54" s="10">
        <f>SUMIFS(BalanceSheet[AccountsReceivable],BalanceSheet[Ticker],$B$1,BalanceSheet[Year],F2,BalanceSheet[periodType],"&lt;&gt;TTM")</f>
        <v>47707000</v>
      </c>
      <c r="G54" s="10">
        <f>SUMIFS(BalanceSheet[AccountsReceivable],BalanceSheet[Ticker],$B$1,BalanceSheet[Year],G2,BalanceSheet[periodType],"&lt;&gt;TTM")</f>
        <v>67249000</v>
      </c>
      <c r="H54" s="10">
        <f>SUMIFS(BalanceSheet[AccountsReceivable],BalanceSheet[Ticker],$B$1,BalanceSheet[Year],H2,BalanceSheet[periodType],"&lt;&gt;TTM")</f>
        <v>91139000</v>
      </c>
      <c r="I54" s="85">
        <f t="shared" ref="I54:M55" si="14">I145</f>
        <v>74956550.066842347</v>
      </c>
      <c r="J54" s="85">
        <f t="shared" si="14"/>
        <v>81621714.545091614</v>
      </c>
      <c r="K54" s="85">
        <f t="shared" si="14"/>
        <v>88330890.442138061</v>
      </c>
      <c r="L54" s="85">
        <f t="shared" si="14"/>
        <v>94997793.711509973</v>
      </c>
      <c r="M54" s="85">
        <f t="shared" si="14"/>
        <v>100890749.45706411</v>
      </c>
      <c r="N54" s="55" t="s">
        <v>133</v>
      </c>
    </row>
    <row r="55" spans="1:14" outlineLevel="1" x14ac:dyDescent="0.35">
      <c r="A55" t="s">
        <v>39</v>
      </c>
      <c r="E55" s="10">
        <f>SUMIFS(BalanceSheet[Inventory],BalanceSheet[Ticker],$B$1,BalanceSheet[Year],E2,BalanceSheet[periodType],"&lt;&gt;TTM")</f>
        <v>0</v>
      </c>
      <c r="F55" s="10">
        <f>SUMIFS(BalanceSheet[Inventory],BalanceSheet[Ticker],$B$1,BalanceSheet[Year],F2,BalanceSheet[periodType],"&lt;&gt;TTM")</f>
        <v>0</v>
      </c>
      <c r="G55" s="10">
        <f>SUMIFS(BalanceSheet[Inventory],BalanceSheet[Ticker],$B$1,BalanceSheet[Year],G2,BalanceSheet[periodType],"&lt;&gt;TTM")</f>
        <v>0</v>
      </c>
      <c r="H55" s="10">
        <f>SUMIFS(BalanceSheet[Inventory],BalanceSheet[Ticker],$B$1,BalanceSheet[Year],H2,BalanceSheet[periodType],"&lt;&gt;TTM")</f>
        <v>0</v>
      </c>
      <c r="I55" s="85">
        <f t="shared" si="14"/>
        <v>0</v>
      </c>
      <c r="J55" s="85">
        <f t="shared" si="14"/>
        <v>0</v>
      </c>
      <c r="K55" s="85">
        <f t="shared" si="14"/>
        <v>0</v>
      </c>
      <c r="L55" s="85">
        <f t="shared" si="14"/>
        <v>0</v>
      </c>
      <c r="M55" s="85">
        <f t="shared" si="14"/>
        <v>0</v>
      </c>
      <c r="N55" s="55" t="s">
        <v>133</v>
      </c>
    </row>
    <row r="56" spans="1:14" outlineLevel="1" x14ac:dyDescent="0.35">
      <c r="A56" t="s">
        <v>529</v>
      </c>
      <c r="E56" s="10">
        <f>SUMIFS(BalanceSheet[OtherReceivables],BalanceSheet[Ticker],$B$1,BalanceSheet[Year],E$2,BalanceSheet[periodType],"&lt;&gt;TTM")</f>
        <v>0</v>
      </c>
      <c r="F56" s="10">
        <f>SUMIFS(BalanceSheet[OtherReceivables],BalanceSheet[Ticker],$B$1,BalanceSheet[Year],F$2,BalanceSheet[periodType],"&lt;&gt;TTM")</f>
        <v>0</v>
      </c>
      <c r="G56" s="10">
        <f>SUMIFS(BalanceSheet[OtherReceivables],BalanceSheet[Ticker],$B$1,BalanceSheet[Year],G$2,BalanceSheet[periodType],"&lt;&gt;TTM")</f>
        <v>0</v>
      </c>
      <c r="H56" s="10">
        <f>SUMIFS(BalanceSheet[OtherReceivables],BalanceSheet[Ticker],$B$1,BalanceSheet[Year],H$2,BalanceSheet[periodType],"&lt;&gt;TTM")</f>
        <v>0</v>
      </c>
      <c r="I56" s="65">
        <f>AVERAGE($E56:$H56)</f>
        <v>0</v>
      </c>
      <c r="J56" s="65">
        <f t="shared" ref="J56:M58" si="15">AVERAGE($E56:$H56)</f>
        <v>0</v>
      </c>
      <c r="K56" s="65">
        <f t="shared" si="15"/>
        <v>0</v>
      </c>
      <c r="L56" s="65">
        <f t="shared" si="15"/>
        <v>0</v>
      </c>
      <c r="M56" s="65">
        <f t="shared" si="15"/>
        <v>0</v>
      </c>
    </row>
    <row r="57" spans="1:14" outlineLevel="1" x14ac:dyDescent="0.35">
      <c r="A57" t="s">
        <v>493</v>
      </c>
      <c r="E57" s="10">
        <f>SUMIFS(BalanceSheet[OtherShortTermInvestments],BalanceSheet[Ticker],$B$1,BalanceSheet[Year],E$2,BalanceSheet[periodType],"&lt;&gt;TTM")</f>
        <v>0</v>
      </c>
      <c r="F57" s="10">
        <f>SUMIFS(BalanceSheet[OtherShortTermInvestments],BalanceSheet[Ticker],$B$1,BalanceSheet[Year],F$2,BalanceSheet[periodType],"&lt;&gt;TTM")</f>
        <v>0</v>
      </c>
      <c r="G57" s="10">
        <f>SUMIFS(BalanceSheet[OtherShortTermInvestments],BalanceSheet[Ticker],$B$1,BalanceSheet[Year],G$2,BalanceSheet[periodType],"&lt;&gt;TTM")</f>
        <v>0</v>
      </c>
      <c r="H57" s="10">
        <f>SUMIFS(BalanceSheet[OtherShortTermInvestments],BalanceSheet[Ticker],$B$1,BalanceSheet[Year],H$2,BalanceSheet[periodType],"&lt;&gt;TTM")</f>
        <v>0</v>
      </c>
      <c r="I57" s="65">
        <f>AVERAGE($E57:$H57)</f>
        <v>0</v>
      </c>
      <c r="J57" s="65">
        <f t="shared" si="15"/>
        <v>0</v>
      </c>
      <c r="K57" s="65">
        <f t="shared" si="15"/>
        <v>0</v>
      </c>
      <c r="L57" s="65">
        <f t="shared" si="15"/>
        <v>0</v>
      </c>
      <c r="M57" s="65">
        <f t="shared" si="15"/>
        <v>0</v>
      </c>
    </row>
    <row r="58" spans="1:14" outlineLevel="1" x14ac:dyDescent="0.35">
      <c r="A58" t="s">
        <v>491</v>
      </c>
      <c r="E58" s="48">
        <f>SUMIFS(BalanceSheet[OtherCurrentAssets],BalanceSheet[Ticker],$B$1,BalanceSheet[Year],E$2,BalanceSheet[periodType],"&lt;&gt;TTM")</f>
        <v>16650000</v>
      </c>
      <c r="F58" s="48">
        <f>SUMIFS(BalanceSheet[OtherCurrentAssets],BalanceSheet[Ticker],$B$1,BalanceSheet[Year],F$2,BalanceSheet[periodType],"&lt;&gt;TTM")</f>
        <v>26491000</v>
      </c>
      <c r="G58" s="48">
        <f>SUMIFS(BalanceSheet[OtherCurrentAssets],BalanceSheet[Ticker],$B$1,BalanceSheet[Year],G$2,BalanceSheet[periodType],"&lt;&gt;TTM")</f>
        <v>33268000</v>
      </c>
      <c r="H58" s="48">
        <f>SUMIFS(BalanceSheet[OtherCurrentAssets],BalanceSheet[Ticker],$B$1,BalanceSheet[Year],H$2,BalanceSheet[periodType],"&lt;&gt;TTM")</f>
        <v>100944000</v>
      </c>
      <c r="I58" s="48">
        <f>AVERAGE($E58:$H58)</f>
        <v>44338250</v>
      </c>
      <c r="J58" s="48">
        <f t="shared" si="15"/>
        <v>44338250</v>
      </c>
      <c r="K58" s="48">
        <f t="shared" si="15"/>
        <v>44338250</v>
      </c>
      <c r="L58" s="48">
        <f t="shared" si="15"/>
        <v>44338250</v>
      </c>
      <c r="M58" s="48">
        <f t="shared" si="15"/>
        <v>44338250</v>
      </c>
    </row>
    <row r="59" spans="1:14" outlineLevel="1" x14ac:dyDescent="0.35">
      <c r="A59" s="102" t="s">
        <v>507</v>
      </c>
      <c r="B59" s="102"/>
      <c r="C59" s="102"/>
      <c r="D59" s="102"/>
      <c r="E59" s="103">
        <f t="shared" ref="E59:M59" si="16">SUM(E53:E58)</f>
        <v>489070000</v>
      </c>
      <c r="F59" s="103">
        <f t="shared" si="16"/>
        <v>388215000</v>
      </c>
      <c r="G59" s="103">
        <f t="shared" si="16"/>
        <v>215671000</v>
      </c>
      <c r="H59" s="103">
        <f t="shared" si="16"/>
        <v>292573000</v>
      </c>
      <c r="I59" s="103">
        <f t="shared" si="16"/>
        <v>280879055.03575945</v>
      </c>
      <c r="J59" s="103">
        <f t="shared" si="16"/>
        <v>322916823.83410794</v>
      </c>
      <c r="K59" s="103">
        <f t="shared" si="16"/>
        <v>398136618.43880767</v>
      </c>
      <c r="L59" s="103">
        <f t="shared" si="16"/>
        <v>511161868.92794836</v>
      </c>
      <c r="M59" s="103">
        <f t="shared" si="16"/>
        <v>616208059.25181985</v>
      </c>
    </row>
    <row r="60" spans="1:14" outlineLevel="1" x14ac:dyDescent="0.35">
      <c r="A60" t="s">
        <v>40</v>
      </c>
      <c r="E60" s="10">
        <f>SUMIFS(BalanceSheet[GrossPPE],BalanceSheet[Ticker],$B$1,BalanceSheet[Year],E2,BalanceSheet[periodType],"&lt;&gt;TTM")</f>
        <v>262310000</v>
      </c>
      <c r="F60" s="10">
        <f>SUMIFS(BalanceSheet[GrossPPE],BalanceSheet[Ticker],$B$1,BalanceSheet[Year],F2,BalanceSheet[periodType],"&lt;&gt;TTM")</f>
        <v>285690000</v>
      </c>
      <c r="G60" s="10">
        <f>SUMIFS(BalanceSheet[GrossPPE],BalanceSheet[Ticker],$B$1,BalanceSheet[Year],G2,BalanceSheet[periodType],"&lt;&gt;TTM")</f>
        <v>307623000</v>
      </c>
      <c r="H60" s="10">
        <f>SUMIFS(BalanceSheet[GrossPPE],BalanceSheet[Ticker],$B$1,BalanceSheet[Year],H2,BalanceSheet[periodType],"&lt;&gt;TTM")</f>
        <v>353850000</v>
      </c>
      <c r="I60" s="85">
        <f>I156</f>
        <v>336631282.56118166</v>
      </c>
      <c r="J60" s="85">
        <f>J156</f>
        <v>317881470.325019</v>
      </c>
      <c r="K60" s="85">
        <f>K156</f>
        <v>297590453.16526318</v>
      </c>
      <c r="L60" s="85">
        <f>L156</f>
        <v>275767941.78005433</v>
      </c>
      <c r="M60" s="85">
        <f>M156</f>
        <v>252591724.28414971</v>
      </c>
      <c r="N60" s="55" t="s">
        <v>133</v>
      </c>
    </row>
    <row r="61" spans="1:14" outlineLevel="1" x14ac:dyDescent="0.35">
      <c r="A61" t="s">
        <v>528</v>
      </c>
      <c r="E61" s="10">
        <f>SUMIFS(BalanceSheet[AccumulatedDepreciation],BalanceSheet[Ticker],$B$1,BalanceSheet[Year],E$2,BalanceSheet[periodType],"&lt;&gt;TTM")</f>
        <v>-171852000</v>
      </c>
      <c r="F61" s="10">
        <f>SUMIFS(BalanceSheet[AccumulatedDepreciation],BalanceSheet[Ticker],$B$1,BalanceSheet[Year],F$2,BalanceSheet[periodType],"&lt;&gt;TTM")</f>
        <v>-203046000</v>
      </c>
      <c r="G61" s="10">
        <f>SUMIFS(BalanceSheet[AccumulatedDepreciation],BalanceSheet[Ticker],$B$1,BalanceSheet[Year],G$2,BalanceSheet[periodType],"&lt;&gt;TTM")</f>
        <v>-235482000</v>
      </c>
      <c r="H61" s="10">
        <f>SUMIFS(BalanceSheet[AccumulatedDepreciation],BalanceSheet[Ticker],$B$1,BalanceSheet[Year],H$2,BalanceSheet[periodType],"&lt;&gt;TTM")</f>
        <v>-274155000</v>
      </c>
      <c r="I61" s="10">
        <f>AVERAGE($E$61:$H$61)</f>
        <v>-221133750</v>
      </c>
      <c r="J61" s="10">
        <f>AVERAGE($E$61:$H$61)</f>
        <v>-221133750</v>
      </c>
      <c r="K61" s="10">
        <f>AVERAGE($E$61:$H$61)</f>
        <v>-221133750</v>
      </c>
      <c r="L61" s="10">
        <f>AVERAGE($E$61:$H$61)</f>
        <v>-221133750</v>
      </c>
      <c r="M61" s="10">
        <f>AVERAGE($E$61:$H$61)</f>
        <v>-221133750</v>
      </c>
    </row>
    <row r="62" spans="1:14" outlineLevel="1" x14ac:dyDescent="0.35">
      <c r="A62" t="s">
        <v>238</v>
      </c>
      <c r="E62" s="10">
        <f>SUMIFS(BalanceSheet[GoodwillAndOtherIntangibleAssets],BalanceSheet[Ticker],$B$1,BalanceSheet[Year],E$2,BalanceSheet[periodType],"&lt;&gt;TTM")</f>
        <v>115178000</v>
      </c>
      <c r="F62" s="10">
        <f>SUMIFS(BalanceSheet[GoodwillAndOtherIntangibleAssets],BalanceSheet[Ticker],$B$1,BalanceSheet[Year],F$2,BalanceSheet[periodType],"&lt;&gt;TTM")</f>
        <v>343638000</v>
      </c>
      <c r="G62" s="10">
        <f>SUMIFS(BalanceSheet[GoodwillAndOtherIntangibleAssets],BalanceSheet[Ticker],$B$1,BalanceSheet[Year],G$2,BalanceSheet[periodType],"&lt;&gt;TTM")</f>
        <v>555007000</v>
      </c>
      <c r="H62" s="10">
        <f>SUMIFS(BalanceSheet[GoodwillAndOtherIntangibleAssets],BalanceSheet[Ticker],$B$1,BalanceSheet[Year],H$2,BalanceSheet[periodType],"&lt;&gt;TTM")</f>
        <v>567721000</v>
      </c>
      <c r="I62" s="10">
        <f>AVERAGE($E$62:$H$62)</f>
        <v>395386000</v>
      </c>
      <c r="J62" s="10">
        <f>AVERAGE($E$62:$H$62)</f>
        <v>395386000</v>
      </c>
      <c r="K62" s="10">
        <f>AVERAGE($E$62:$H$62)</f>
        <v>395386000</v>
      </c>
      <c r="L62" s="10">
        <f>AVERAGE($E$62:$H$62)</f>
        <v>395386000</v>
      </c>
      <c r="M62" s="10">
        <f>AVERAGE($E$62:$H$62)</f>
        <v>395386000</v>
      </c>
    </row>
    <row r="63" spans="1:14" outlineLevel="1" x14ac:dyDescent="0.35">
      <c r="A63" t="s">
        <v>546</v>
      </c>
      <c r="E63" s="10">
        <f>SUMIFS(BalanceSheet[InvestmentsAndAdvances],BalanceSheet[Ticker],$B$1,BalanceSheet[Year],E$2,BalanceSheet[periodType],"&lt;&gt;TTM")</f>
        <v>0</v>
      </c>
      <c r="F63" s="10">
        <f>SUMIFS(BalanceSheet[InvestmentsAndAdvances],BalanceSheet[Ticker],$B$1,BalanceSheet[Year],F$2,BalanceSheet[periodType],"&lt;&gt;TTM")</f>
        <v>0</v>
      </c>
      <c r="G63" s="10">
        <f>SUMIFS(BalanceSheet[InvestmentsAndAdvances],BalanceSheet[Ticker],$B$1,BalanceSheet[Year],G$2,BalanceSheet[periodType],"&lt;&gt;TTM")</f>
        <v>0</v>
      </c>
      <c r="H63" s="10">
        <f>SUMIFS(BalanceSheet[InvestmentsAndAdvances],BalanceSheet[Ticker],$B$1,BalanceSheet[Year],H$2,BalanceSheet[periodType],"&lt;&gt;TTM")</f>
        <v>0</v>
      </c>
      <c r="I63" s="10">
        <f>AVERAGE($E$63:$H$63)</f>
        <v>0</v>
      </c>
      <c r="J63" s="10">
        <f>AVERAGE($E$63:$H$63)</f>
        <v>0</v>
      </c>
      <c r="K63" s="10">
        <f>AVERAGE($E$63:$H$63)</f>
        <v>0</v>
      </c>
      <c r="L63" s="10">
        <f>AVERAGE($E$63:$H$63)</f>
        <v>0</v>
      </c>
      <c r="M63" s="10">
        <f>AVERAGE($E$63:$H$63)</f>
        <v>0</v>
      </c>
    </row>
    <row r="64" spans="1:14" outlineLevel="1" x14ac:dyDescent="0.35">
      <c r="A64" t="s">
        <v>545</v>
      </c>
      <c r="E64" s="10">
        <f>SUMIFS(BalanceSheet[NonCurrentDeferredAssets],BalanceSheet[Ticker],$B$1,BalanceSheet[Year],E$2,BalanceSheet[periodType],"&lt;&gt;TTM")</f>
        <v>13566000</v>
      </c>
      <c r="F64" s="10">
        <f>SUMIFS(BalanceSheet[NonCurrentDeferredAssets],BalanceSheet[Ticker],$B$1,BalanceSheet[Year],F$2,BalanceSheet[periodType],"&lt;&gt;TTM")</f>
        <v>10512000</v>
      </c>
      <c r="G64" s="10">
        <f>SUMIFS(BalanceSheet[NonCurrentDeferredAssets],BalanceSheet[Ticker],$B$1,BalanceSheet[Year],G$2,BalanceSheet[periodType],"&lt;&gt;TTM")</f>
        <v>16533000</v>
      </c>
      <c r="H64" s="10">
        <f>SUMIFS(BalanceSheet[NonCurrentDeferredAssets],BalanceSheet[Ticker],$B$1,BalanceSheet[Year],H$2,BalanceSheet[periodType],"&lt;&gt;TTM")</f>
        <v>24874000</v>
      </c>
      <c r="I64" s="10">
        <f>AVERAGE($E$64:$H$64)</f>
        <v>16371250</v>
      </c>
      <c r="J64" s="10">
        <f>AVERAGE($E$64:$H$64)</f>
        <v>16371250</v>
      </c>
      <c r="K64" s="10">
        <f>AVERAGE($E$64:$H$64)</f>
        <v>16371250</v>
      </c>
      <c r="L64" s="10">
        <f>AVERAGE($E$64:$H$64)</f>
        <v>16371250</v>
      </c>
      <c r="M64" s="10">
        <f>AVERAGE($E$64:$H$64)</f>
        <v>16371250</v>
      </c>
    </row>
    <row r="65" spans="1:14" outlineLevel="1" x14ac:dyDescent="0.35">
      <c r="A65" t="s">
        <v>527</v>
      </c>
      <c r="E65" s="48">
        <f>SUMIFS(BalanceSheet[OtherNonCurrentAssets],BalanceSheet[Ticker],$B$1,BalanceSheet[Year],E$2,BalanceSheet[periodType],"&lt;&gt;TTM")</f>
        <v>21372000</v>
      </c>
      <c r="F65" s="48">
        <f>SUMIFS(BalanceSheet[OtherNonCurrentAssets],BalanceSheet[Ticker],$B$1,BalanceSheet[Year],F$2,BalanceSheet[periodType],"&lt;&gt;TTM")</f>
        <v>26701000</v>
      </c>
      <c r="G65" s="48">
        <f>SUMIFS(BalanceSheet[OtherNonCurrentAssets],BalanceSheet[Ticker],$B$1,BalanceSheet[Year],G$2,BalanceSheet[periodType],"&lt;&gt;TTM")</f>
        <v>21832000</v>
      </c>
      <c r="H65" s="48">
        <f>SUMIFS(BalanceSheet[OtherNonCurrentAssets],BalanceSheet[Ticker],$B$1,BalanceSheet[Year],H$2,BalanceSheet[periodType],"&lt;&gt;TTM")</f>
        <v>71152000</v>
      </c>
      <c r="I65" s="48">
        <f>AVERAGE($E$65:$H$65)</f>
        <v>35264250</v>
      </c>
      <c r="J65" s="48">
        <f>AVERAGE($E$65:$H$65)</f>
        <v>35264250</v>
      </c>
      <c r="K65" s="48">
        <f>AVERAGE($E$65:$H$65)</f>
        <v>35264250</v>
      </c>
      <c r="L65" s="48">
        <f>AVERAGE($E$65:$H$65)</f>
        <v>35264250</v>
      </c>
      <c r="M65" s="48">
        <f>AVERAGE($E$65:$H$65)</f>
        <v>35264250</v>
      </c>
    </row>
    <row r="66" spans="1:14" ht="15" outlineLevel="1" thickBot="1" x14ac:dyDescent="0.4">
      <c r="A66" s="6" t="s">
        <v>41</v>
      </c>
      <c r="B66" s="6"/>
      <c r="C66" s="6"/>
      <c r="D66" s="6"/>
      <c r="E66" s="15">
        <f t="shared" ref="E66:M66" si="17">E59+SUM(E60:E65)</f>
        <v>729644000</v>
      </c>
      <c r="F66" s="15">
        <f t="shared" si="17"/>
        <v>851710000</v>
      </c>
      <c r="G66" s="15">
        <f t="shared" si="17"/>
        <v>881184000</v>
      </c>
      <c r="H66" s="15">
        <f t="shared" si="17"/>
        <v>1036015000</v>
      </c>
      <c r="I66" s="15">
        <f t="shared" si="17"/>
        <v>843398087.59694111</v>
      </c>
      <c r="J66" s="15">
        <f t="shared" si="17"/>
        <v>866686044.159127</v>
      </c>
      <c r="K66" s="15">
        <f t="shared" si="17"/>
        <v>921614821.6040709</v>
      </c>
      <c r="L66" s="15">
        <f t="shared" si="17"/>
        <v>1012817560.7080027</v>
      </c>
      <c r="M66" s="15">
        <f t="shared" si="17"/>
        <v>1094687533.5359695</v>
      </c>
    </row>
    <row r="67" spans="1:14" ht="15" outlineLevel="1" thickTop="1" x14ac:dyDescent="0.35">
      <c r="A67" s="3" t="s">
        <v>478</v>
      </c>
      <c r="B67" s="3"/>
      <c r="C67" s="3"/>
      <c r="D67" s="3"/>
      <c r="E67" s="54">
        <f>SUMIFS(BalanceSheet[TotalAssets],BalanceSheet[Ticker],$B$1,BalanceSheet[Year],E2,BalanceSheet[periodType],"&lt;&gt;TTM")</f>
        <v>729644000</v>
      </c>
      <c r="F67" s="54">
        <f>SUMIFS(BalanceSheet[TotalAssets],BalanceSheet[Ticker],$B$1,BalanceSheet[Year],F2,BalanceSheet[periodType],"&lt;&gt;TTM")</f>
        <v>851710000</v>
      </c>
      <c r="G67" s="54">
        <f>SUMIFS(BalanceSheet[TotalAssets],BalanceSheet[Ticker],$B$1,BalanceSheet[Year],G2,BalanceSheet[periodType],"&lt;&gt;TTM")</f>
        <v>881184000</v>
      </c>
      <c r="H67" s="54">
        <f>SUMIFS(BalanceSheet[TotalAssets],BalanceSheet[Ticker],$B$1,BalanceSheet[Year],H2,BalanceSheet[periodType],"&lt;&gt;TTM")</f>
        <v>1036015000</v>
      </c>
      <c r="I67" s="54"/>
      <c r="J67" s="54"/>
      <c r="K67" s="54"/>
      <c r="L67" s="54"/>
      <c r="M67" s="54"/>
    </row>
    <row r="68" spans="1:14" outlineLevel="1" x14ac:dyDescent="0.35">
      <c r="E68" s="59"/>
      <c r="F68" s="59"/>
      <c r="G68" s="59"/>
      <c r="H68" s="59"/>
      <c r="I68" s="59"/>
      <c r="J68" s="59"/>
      <c r="K68" s="59"/>
      <c r="L68" s="59"/>
      <c r="M68" s="59"/>
    </row>
    <row r="69" spans="1:14" outlineLevel="1" x14ac:dyDescent="0.35">
      <c r="A69" s="3" t="s">
        <v>42</v>
      </c>
      <c r="E69" s="65"/>
      <c r="F69" s="65"/>
      <c r="G69" s="65"/>
      <c r="H69" s="65"/>
      <c r="L69" s="10"/>
      <c r="M69" s="10"/>
    </row>
    <row r="70" spans="1:14" outlineLevel="1" x14ac:dyDescent="0.35">
      <c r="A70" s="3" t="s">
        <v>526</v>
      </c>
      <c r="E70" s="10">
        <f>SUMIFS(BalanceSheet[CurrentLiabilities],BalanceSheet[Ticker],$B$1,BalanceSheet[Year],E$2,BalanceSheet[periodType],"&lt;&gt;TTM")</f>
        <v>256929000</v>
      </c>
      <c r="F70" s="10">
        <f>SUMIFS(BalanceSheet[CurrentLiabilities],BalanceSheet[Ticker],$B$1,BalanceSheet[Year],F$2,BalanceSheet[periodType],"&lt;&gt;TTM")</f>
        <v>333784000</v>
      </c>
      <c r="G70" s="10">
        <f>SUMIFS(BalanceSheet[CurrentLiabilities],BalanceSheet[Ticker],$B$1,BalanceSheet[Year],G$2,BalanceSheet[periodType],"&lt;&gt;TTM")</f>
        <v>383734000</v>
      </c>
      <c r="H70" s="10">
        <f>SUMIFS(BalanceSheet[CurrentLiabilities],BalanceSheet[Ticker],$B$1,BalanceSheet[Year],H$2,BalanceSheet[periodType],"&lt;&gt;TTM")</f>
        <v>452386000</v>
      </c>
      <c r="L70" s="10"/>
      <c r="M70" s="10"/>
    </row>
    <row r="71" spans="1:14" outlineLevel="1" x14ac:dyDescent="0.35">
      <c r="A71" s="55" t="s">
        <v>43</v>
      </c>
      <c r="E71" s="10">
        <f>SUMIFS(BalanceSheet[Payables],BalanceSheet[Ticker],$B$1,BalanceSheet[Year],E2,BalanceSheet[periodType],"&lt;&gt;TTM")</f>
        <v>45942000</v>
      </c>
      <c r="F71" s="10">
        <f>SUMIFS(BalanceSheet[Payables],BalanceSheet[Ticker],$B$1,BalanceSheet[Year],F2,BalanceSheet[periodType],"&lt;&gt;TTM")</f>
        <v>60584000</v>
      </c>
      <c r="G71" s="10">
        <f>SUMIFS(BalanceSheet[Payables],BalanceSheet[Ticker],$B$1,BalanceSheet[Year],G2,BalanceSheet[periodType],"&lt;&gt;TTM")</f>
        <v>70222000</v>
      </c>
      <c r="H71" s="10">
        <f>SUMIFS(BalanceSheet[Payables],BalanceSheet[Ticker],$B$1,BalanceSheet[Year],H2,BalanceSheet[periodType],"&lt;&gt;TTM")</f>
        <v>87669000</v>
      </c>
      <c r="I71" s="10">
        <f>I147</f>
        <v>79528015.326188698</v>
      </c>
      <c r="J71" s="10">
        <f>J147</f>
        <v>86599676.2057928</v>
      </c>
      <c r="K71" s="10">
        <f>K147</f>
        <v>93718032.681519046</v>
      </c>
      <c r="L71" s="10">
        <f>L147</f>
        <v>100791538.397991</v>
      </c>
      <c r="M71" s="10">
        <f>M147</f>
        <v>107043894.92228487</v>
      </c>
      <c r="N71" t="s">
        <v>133</v>
      </c>
    </row>
    <row r="72" spans="1:14" outlineLevel="1" x14ac:dyDescent="0.35">
      <c r="A72" s="55" t="s">
        <v>490</v>
      </c>
      <c r="E72" s="10">
        <f>SUMIFS(BalanceSheet[CurrentAccruedExpenses],BalanceSheet[Ticker],$B$1,BalanceSheet[Year],E$2,BalanceSheet[periodType],"&lt;&gt;TTM")</f>
        <v>19246000</v>
      </c>
      <c r="F72" s="10">
        <f>SUMIFS(BalanceSheet[CurrentAccruedExpenses],BalanceSheet[Ticker],$B$1,BalanceSheet[Year],F$2,BalanceSheet[periodType],"&lt;&gt;TTM")</f>
        <v>34512000</v>
      </c>
      <c r="G72" s="10">
        <f>SUMIFS(BalanceSheet[CurrentAccruedExpenses],BalanceSheet[Ticker],$B$1,BalanceSheet[Year],G$2,BalanceSheet[periodType],"&lt;&gt;TTM")</f>
        <v>24683000</v>
      </c>
      <c r="H72" s="10">
        <f>SUMIFS(BalanceSheet[CurrentAccruedExpenses],BalanceSheet[Ticker],$B$1,BalanceSheet[Year],H$2,BalanceSheet[periodType],"&lt;&gt;TTM")</f>
        <v>31989000</v>
      </c>
      <c r="I72" s="10">
        <f>I32*I22</f>
        <v>33718688.555059232</v>
      </c>
      <c r="J72" s="10">
        <f>J32*J22</f>
        <v>36716966.957812808</v>
      </c>
      <c r="K72" s="10">
        <f>K32*K22</f>
        <v>39735043.594636194</v>
      </c>
      <c r="L72" s="10">
        <f>L32*L22</f>
        <v>42734104.180618249</v>
      </c>
      <c r="M72" s="10">
        <f>M32*M22</f>
        <v>45385009.795616455</v>
      </c>
    </row>
    <row r="73" spans="1:14" outlineLevel="1" x14ac:dyDescent="0.35">
      <c r="A73" s="55" t="s">
        <v>530</v>
      </c>
      <c r="E73" s="10">
        <f>SUMIFS(BalanceSheet[CurrentDebtAndCapitalLeaseObligation],BalanceSheet[Ticker],$B$1,BalanceSheet[Year],E$2,BalanceSheet[periodType],"&lt;&gt;TTM")</f>
        <v>0</v>
      </c>
      <c r="F73" s="10">
        <f>SUMIFS(BalanceSheet[CurrentDebtAndCapitalLeaseObligation],BalanceSheet[Ticker],$B$1,BalanceSheet[Year],F$2,BalanceSheet[periodType],"&lt;&gt;TTM")</f>
        <v>0</v>
      </c>
      <c r="G73" s="10">
        <f>SUMIFS(BalanceSheet[CurrentDebtAndCapitalLeaseObligation],BalanceSheet[Ticker],$B$1,BalanceSheet[Year],G$2,BalanceSheet[periodType],"&lt;&gt;TTM")</f>
        <v>50000000</v>
      </c>
      <c r="H73" s="10">
        <f>SUMIFS(BalanceSheet[CurrentDebtAndCapitalLeaseObligation],BalanceSheet[Ticker],$B$1,BalanceSheet[Year],H$2,BalanceSheet[periodType],"&lt;&gt;TTM")</f>
        <v>30000000</v>
      </c>
      <c r="I73" s="48">
        <f>I31*I21</f>
        <v>22686459.200821653</v>
      </c>
      <c r="J73" s="48">
        <f>J31*J21</f>
        <v>24703747.641494647</v>
      </c>
      <c r="K73" s="48">
        <f>K31*K21</f>
        <v>26734356.642625961</v>
      </c>
      <c r="L73" s="48">
        <f>L31*L21</f>
        <v>28752171.348366216</v>
      </c>
      <c r="M73" s="48">
        <f>M31*M21</f>
        <v>30535741.963269696</v>
      </c>
    </row>
    <row r="74" spans="1:14" outlineLevel="1" x14ac:dyDescent="0.35">
      <c r="A74" s="55" t="s">
        <v>531</v>
      </c>
      <c r="E74" s="10">
        <f>SUMIFS(BalanceSheet[CurrentDeferredLiabilities],BalanceSheet[Ticker],$B$1,BalanceSheet[Year],E$2,BalanceSheet[periodType],"&lt;&gt;TTM")</f>
        <v>149843000</v>
      </c>
      <c r="F74" s="10">
        <f>SUMIFS(BalanceSheet[CurrentDeferredLiabilities],BalanceSheet[Ticker],$B$1,BalanceSheet[Year],F$2,BalanceSheet[periodType],"&lt;&gt;TTM")</f>
        <v>180979000</v>
      </c>
      <c r="G74" s="10">
        <f>SUMIFS(BalanceSheet[CurrentDeferredLiabilities],BalanceSheet[Ticker],$B$1,BalanceSheet[Year],G$2,BalanceSheet[periodType],"&lt;&gt;TTM")</f>
        <v>187070000</v>
      </c>
      <c r="H74" s="10">
        <f>SUMIFS(BalanceSheet[CurrentDeferredLiabilities],BalanceSheet[Ticker],$B$1,BalanceSheet[Year],H$2,BalanceSheet[periodType],"&lt;&gt;TTM")</f>
        <v>203463000</v>
      </c>
      <c r="I74" s="10">
        <f t="shared" ref="I74:M75" si="18">AVERAGE($E74:$H74)</f>
        <v>180338750</v>
      </c>
      <c r="J74" s="10">
        <f t="shared" si="18"/>
        <v>180338750</v>
      </c>
      <c r="K74" s="10">
        <f t="shared" si="18"/>
        <v>180338750</v>
      </c>
      <c r="L74" s="10">
        <f t="shared" si="18"/>
        <v>180338750</v>
      </c>
      <c r="M74" s="10">
        <f t="shared" si="18"/>
        <v>180338750</v>
      </c>
    </row>
    <row r="75" spans="1:14" outlineLevel="1" x14ac:dyDescent="0.35">
      <c r="A75" s="55" t="s">
        <v>541</v>
      </c>
      <c r="E75" s="10">
        <f>SUMIFS(BalanceSheet[PensionandOtherPostRetirementBenefitPlansCurrent],BalanceSheet[Ticker],$B$1,BalanceSheet[Year],E$2,BalanceSheet[periodType],"&lt;&gt;TTM")</f>
        <v>31499000</v>
      </c>
      <c r="F75" s="10">
        <f>SUMIFS(BalanceSheet[PensionandOtherPostRetirementBenefitPlansCurrent],BalanceSheet[Ticker],$B$1,BalanceSheet[Year],F$2,BalanceSheet[periodType],"&lt;&gt;TTM")</f>
        <v>43529000</v>
      </c>
      <c r="G75" s="10">
        <f>SUMIFS(BalanceSheet[PensionandOtherPostRetirementBenefitPlansCurrent],BalanceSheet[Ticker],$B$1,BalanceSheet[Year],G$2,BalanceSheet[periodType],"&lt;&gt;TTM")</f>
        <v>40314000</v>
      </c>
      <c r="H75" s="10">
        <f>SUMIFS(BalanceSheet[PensionandOtherPostRetirementBenefitPlansCurrent],BalanceSheet[Ticker],$B$1,BalanceSheet[Year],H$2,BalanceSheet[periodType],"&lt;&gt;TTM")</f>
        <v>75752000</v>
      </c>
      <c r="I75" s="10">
        <f t="shared" si="18"/>
        <v>47773500</v>
      </c>
      <c r="J75" s="10">
        <f t="shared" si="18"/>
        <v>47773500</v>
      </c>
      <c r="K75" s="10">
        <f t="shared" si="18"/>
        <v>47773500</v>
      </c>
      <c r="L75" s="10">
        <f t="shared" si="18"/>
        <v>47773500</v>
      </c>
      <c r="M75" s="10">
        <f t="shared" si="18"/>
        <v>47773500</v>
      </c>
    </row>
    <row r="76" spans="1:14" outlineLevel="1" x14ac:dyDescent="0.35">
      <c r="A76" s="55" t="s">
        <v>492</v>
      </c>
      <c r="E76" s="48">
        <f>SUMIFS(BalanceSheet[OtherCurrentLiabilities],BalanceSheet[Ticker],$B$1,BalanceSheet[Year],E$2,BalanceSheet[periodType],"&lt;&gt;TTM")</f>
        <v>10399000</v>
      </c>
      <c r="F76" s="48">
        <f>SUMIFS(BalanceSheet[OtherCurrentLiabilities],BalanceSheet[Ticker],$B$1,BalanceSheet[Year],F$2,BalanceSheet[periodType],"&lt;&gt;TTM")</f>
        <v>14180000</v>
      </c>
      <c r="G76" s="48">
        <f>SUMIFS(BalanceSheet[OtherCurrentLiabilities],BalanceSheet[Ticker],$B$1,BalanceSheet[Year],G$2,BalanceSheet[periodType],"&lt;&gt;TTM")</f>
        <v>11445000</v>
      </c>
      <c r="H76" s="48">
        <f>SUMIFS(BalanceSheet[OtherCurrentLiabilities],BalanceSheet[Ticker],$B$1,BalanceSheet[Year],H$2,BalanceSheet[periodType],"&lt;&gt;TTM")</f>
        <v>23513000</v>
      </c>
      <c r="I76" s="48">
        <f>I31*I23</f>
        <v>17881225.92202501</v>
      </c>
      <c r="J76" s="48">
        <f>J31*J23</f>
        <v>19471231.221585236</v>
      </c>
      <c r="K76" s="48">
        <f>K31*K23</f>
        <v>21071735.645264167</v>
      </c>
      <c r="L76" s="48">
        <f>L31*L23</f>
        <v>22662155.741354752</v>
      </c>
      <c r="M76" s="48">
        <f>M31*M23</f>
        <v>24067947.135712985</v>
      </c>
    </row>
    <row r="77" spans="1:14" outlineLevel="1" x14ac:dyDescent="0.35">
      <c r="A77" s="102" t="s">
        <v>508</v>
      </c>
      <c r="B77" s="102"/>
      <c r="C77" s="102"/>
      <c r="D77" s="102"/>
      <c r="E77" s="103">
        <f t="shared" ref="E77:M77" si="19">SUM(E71:E76)</f>
        <v>256929000</v>
      </c>
      <c r="F77" s="103">
        <f t="shared" si="19"/>
        <v>333784000</v>
      </c>
      <c r="G77" s="103">
        <f t="shared" si="19"/>
        <v>383734000</v>
      </c>
      <c r="H77" s="103">
        <f t="shared" si="19"/>
        <v>452386000</v>
      </c>
      <c r="I77" s="103">
        <f t="shared" si="19"/>
        <v>381926639.0040946</v>
      </c>
      <c r="J77" s="103">
        <f t="shared" si="19"/>
        <v>395603872.02668548</v>
      </c>
      <c r="K77" s="103">
        <f t="shared" si="19"/>
        <v>409371418.56404531</v>
      </c>
      <c r="L77" s="103">
        <f t="shared" si="19"/>
        <v>423052219.66833025</v>
      </c>
      <c r="M77" s="103">
        <f t="shared" si="19"/>
        <v>435144843.81688398</v>
      </c>
    </row>
    <row r="78" spans="1:14" outlineLevel="1" x14ac:dyDescent="0.35">
      <c r="A78" t="s">
        <v>44</v>
      </c>
      <c r="E78" s="59">
        <f>SUMIFS(BalanceSheet[LongTermDebt],BalanceSheet[Ticker],$B$1,BalanceSheet[Year],E2,BalanceSheet[periodType],"&lt;&gt;TTM")</f>
        <v>0</v>
      </c>
      <c r="F78" s="59">
        <f>SUMIFS(BalanceSheet[LongTermDebt],BalanceSheet[Ticker],$B$1,BalanceSheet[Year],F2,BalanceSheet[periodType],"&lt;&gt;TTM")</f>
        <v>0</v>
      </c>
      <c r="G78" s="59">
        <f>SUMIFS(BalanceSheet[LongTermDebt],BalanceSheet[Ticker],$B$1,BalanceSheet[Year],G2,BalanceSheet[periodType],"&lt;&gt;TTM")</f>
        <v>0</v>
      </c>
      <c r="H78" s="59">
        <f>SUMIFS(BalanceSheet[LongTermDebt],BalanceSheet[Ticker],$B$1,BalanceSheet[Year],H2,BalanceSheet[periodType],"&lt;&gt;TTM")</f>
        <v>0</v>
      </c>
      <c r="I78" s="59">
        <f>I162</f>
        <v>71620000</v>
      </c>
      <c r="J78" s="59">
        <f>J162</f>
        <v>71620000</v>
      </c>
      <c r="K78" s="59">
        <f>K162</f>
        <v>121620000</v>
      </c>
      <c r="L78" s="59">
        <f>L162</f>
        <v>101620000</v>
      </c>
      <c r="M78" s="59">
        <f>M162</f>
        <v>101620000</v>
      </c>
      <c r="N78" t="s">
        <v>133</v>
      </c>
    </row>
    <row r="79" spans="1:14" outlineLevel="1" x14ac:dyDescent="0.35">
      <c r="A79" t="s">
        <v>532</v>
      </c>
      <c r="E79" s="48">
        <f>SUMIFS(BalanceSheet[LongTermCapitalLeaseObligation],BalanceSheet[Ticker],$B$1,BalanceSheet[Year],E$2,BalanceSheet[periodType],"&lt;&gt;TTM")</f>
        <v>41620000</v>
      </c>
      <c r="F79" s="48">
        <f>SUMIFS(BalanceSheet[LongTermCapitalLeaseObligation],BalanceSheet[Ticker],$B$1,BalanceSheet[Year],F$2,BalanceSheet[periodType],"&lt;&gt;TTM")</f>
        <v>36966000</v>
      </c>
      <c r="G79" s="48">
        <f>SUMIFS(BalanceSheet[LongTermCapitalLeaseObligation],BalanceSheet[Ticker],$B$1,BalanceSheet[Year],G$2,BalanceSheet[periodType],"&lt;&gt;TTM")</f>
        <v>35611000</v>
      </c>
      <c r="H79" s="48">
        <f>SUMIFS(BalanceSheet[LongTermCapitalLeaseObligation],BalanceSheet[Ticker],$B$1,BalanceSheet[Year],H$2,BalanceSheet[periodType],"&lt;&gt;TTM")</f>
        <v>29404000</v>
      </c>
      <c r="I79" s="10">
        <f>AVERAGE($E79:$H79)</f>
        <v>35900250</v>
      </c>
      <c r="J79" s="10">
        <f>AVERAGE($E79:$H79)</f>
        <v>35900250</v>
      </c>
      <c r="K79" s="10">
        <f>AVERAGE($E79:$H79)</f>
        <v>35900250</v>
      </c>
      <c r="L79" s="10">
        <f>AVERAGE($E79:$H79)</f>
        <v>35900250</v>
      </c>
      <c r="M79" s="10">
        <f>AVERAGE($E79:$H79)</f>
        <v>35900250</v>
      </c>
    </row>
    <row r="80" spans="1:14" outlineLevel="1" x14ac:dyDescent="0.35">
      <c r="A80" t="s">
        <v>534</v>
      </c>
      <c r="E80" s="48">
        <f>SUMIFS(BalanceSheet[LongTermProvisions],BalanceSheet[Ticker],$B$1,BalanceSheet[Year],E$2,BalanceSheet[periodType],"&lt;&gt;TTM")</f>
        <v>0</v>
      </c>
      <c r="F80" s="48">
        <f>SUMIFS(BalanceSheet[LongTermProvisions],BalanceSheet[Ticker],$B$1,BalanceSheet[Year],F$2,BalanceSheet[periodType],"&lt;&gt;TTM")</f>
        <v>0</v>
      </c>
      <c r="G80" s="48">
        <f>SUMIFS(BalanceSheet[LongTermProvisions],BalanceSheet[Ticker],$B$1,BalanceSheet[Year],G$2,BalanceSheet[periodType],"&lt;&gt;TTM")</f>
        <v>0</v>
      </c>
      <c r="H80" s="48">
        <f>SUMIFS(BalanceSheet[LongTermProvisions],BalanceSheet[Ticker],$B$1,BalanceSheet[Year],H$2,BalanceSheet[periodType],"&lt;&gt;TTM")</f>
        <v>0</v>
      </c>
      <c r="I80" s="59">
        <f t="shared" ref="I80:M82" si="20">AVERAGE($E80:$H80)</f>
        <v>0</v>
      </c>
      <c r="J80" s="59">
        <f t="shared" si="20"/>
        <v>0</v>
      </c>
      <c r="K80" s="59">
        <f t="shared" si="20"/>
        <v>0</v>
      </c>
      <c r="L80" s="59">
        <f t="shared" si="20"/>
        <v>0</v>
      </c>
      <c r="M80" s="59">
        <f t="shared" si="20"/>
        <v>0</v>
      </c>
    </row>
    <row r="81" spans="1:14" outlineLevel="1" x14ac:dyDescent="0.35">
      <c r="A81" t="s">
        <v>533</v>
      </c>
      <c r="E81" s="59">
        <f>SUMIFS(BalanceSheet[NonCurrentDeferredLiabilities],BalanceSheet[Ticker],$B$1,BalanceSheet[Year],E$2,BalanceSheet[periodType],"&lt;&gt;TTM")</f>
        <v>0</v>
      </c>
      <c r="F81" s="59">
        <f>SUMIFS(BalanceSheet[NonCurrentDeferredLiabilities],BalanceSheet[Ticker],$B$1,BalanceSheet[Year],F$2,BalanceSheet[periodType],"&lt;&gt;TTM")</f>
        <v>2781000</v>
      </c>
      <c r="G81" s="59">
        <f>SUMIFS(BalanceSheet[NonCurrentDeferredLiabilities],BalanceSheet[Ticker],$B$1,BalanceSheet[Year],G$2,BalanceSheet[periodType],"&lt;&gt;TTM")</f>
        <v>4465000</v>
      </c>
      <c r="H81" s="59">
        <f>SUMIFS(BalanceSheet[NonCurrentDeferredLiabilities],BalanceSheet[Ticker],$B$1,BalanceSheet[Year],H$2,BalanceSheet[periodType],"&lt;&gt;TTM")</f>
        <v>4182000</v>
      </c>
      <c r="I81" s="59">
        <f t="shared" si="20"/>
        <v>2857000</v>
      </c>
      <c r="J81" s="59">
        <f t="shared" si="20"/>
        <v>2857000</v>
      </c>
      <c r="K81" s="59">
        <f t="shared" si="20"/>
        <v>2857000</v>
      </c>
      <c r="L81" s="59">
        <f t="shared" si="20"/>
        <v>2857000</v>
      </c>
      <c r="M81" s="59">
        <f t="shared" si="20"/>
        <v>2857000</v>
      </c>
    </row>
    <row r="82" spans="1:14" outlineLevel="1" x14ac:dyDescent="0.35">
      <c r="A82" t="s">
        <v>542</v>
      </c>
      <c r="E82" s="48">
        <f>SUMIFS(BalanceSheet[TradeandOtherPayablesNonCurrent],BalanceSheet[Ticker],$B$1,BalanceSheet[Year],E$2,BalanceSheet[periodType],"&lt;&gt;TTM")</f>
        <v>0</v>
      </c>
      <c r="F82" s="48">
        <f>SUMIFS(BalanceSheet[TradeandOtherPayablesNonCurrent],BalanceSheet[Ticker],$B$1,BalanceSheet[Year],F$2,BalanceSheet[periodType],"&lt;&gt;TTM")</f>
        <v>0</v>
      </c>
      <c r="G82" s="48">
        <f>SUMIFS(BalanceSheet[TradeandOtherPayablesNonCurrent],BalanceSheet[Ticker],$B$1,BalanceSheet[Year],G$2,BalanceSheet[periodType],"&lt;&gt;TTM")</f>
        <v>0</v>
      </c>
      <c r="H82" s="48">
        <f>SUMIFS(BalanceSheet[TradeandOtherPayablesNonCurrent],BalanceSheet[Ticker],$B$1,BalanceSheet[Year],H$2,BalanceSheet[periodType],"&lt;&gt;TTM")</f>
        <v>0</v>
      </c>
      <c r="I82" s="59">
        <f t="shared" si="20"/>
        <v>0</v>
      </c>
      <c r="J82" s="59">
        <f t="shared" si="20"/>
        <v>0</v>
      </c>
      <c r="K82" s="59">
        <f t="shared" si="20"/>
        <v>0</v>
      </c>
      <c r="L82" s="59">
        <f t="shared" si="20"/>
        <v>0</v>
      </c>
      <c r="M82" s="59">
        <f t="shared" si="20"/>
        <v>0</v>
      </c>
    </row>
    <row r="83" spans="1:14" outlineLevel="1" x14ac:dyDescent="0.35">
      <c r="A83" t="s">
        <v>544</v>
      </c>
      <c r="E83" s="48">
        <f>SUMIFS(BalanceSheet[NonCurrentAccruedExpenses],BalanceSheet[Ticker],$B$1,BalanceSheet[Year],E$2,BalanceSheet[periodType],"&lt;&gt;TTM")</f>
        <v>0</v>
      </c>
      <c r="F83" s="48">
        <f>SUMIFS(BalanceSheet[NonCurrentAccruedExpenses],BalanceSheet[Ticker],$B$1,BalanceSheet[Year],F$2,BalanceSheet[periodType],"&lt;&gt;TTM")</f>
        <v>0</v>
      </c>
      <c r="G83" s="48">
        <f>SUMIFS(BalanceSheet[NonCurrentAccruedExpenses],BalanceSheet[Ticker],$B$1,BalanceSheet[Year],G$2,BalanceSheet[periodType],"&lt;&gt;TTM")</f>
        <v>0</v>
      </c>
      <c r="H83" s="48">
        <f>SUMIFS(BalanceSheet[NonCurrentAccruedExpenses],BalanceSheet[Ticker],$B$1,BalanceSheet[Year],H$2,BalanceSheet[periodType],"&lt;&gt;TTM")</f>
        <v>0</v>
      </c>
      <c r="I83" s="10">
        <f t="shared" ref="I83:M84" si="21">AVERAGE($E83:$H83)</f>
        <v>0</v>
      </c>
      <c r="J83" s="10">
        <f t="shared" si="21"/>
        <v>0</v>
      </c>
      <c r="K83" s="10">
        <f t="shared" si="21"/>
        <v>0</v>
      </c>
      <c r="L83" s="10">
        <f t="shared" si="21"/>
        <v>0</v>
      </c>
      <c r="M83" s="10">
        <f t="shared" si="21"/>
        <v>0</v>
      </c>
    </row>
    <row r="84" spans="1:14" outlineLevel="1" x14ac:dyDescent="0.35">
      <c r="A84" t="s">
        <v>543</v>
      </c>
      <c r="E84" s="48">
        <f>SUMIFS(BalanceSheet[DerivativeProductLiabilities],BalanceSheet[Ticker],$B$1,BalanceSheet[Year],E$2,BalanceSheet[periodType],"&lt;&gt;TTM")</f>
        <v>0</v>
      </c>
      <c r="F84" s="48">
        <f>SUMIFS(BalanceSheet[DerivativeProductLiabilities],BalanceSheet[Ticker],$B$1,BalanceSheet[Year],F$2,BalanceSheet[periodType],"&lt;&gt;TTM")</f>
        <v>0</v>
      </c>
      <c r="G84" s="48">
        <f>SUMIFS(BalanceSheet[DerivativeProductLiabilities],BalanceSheet[Ticker],$B$1,BalanceSheet[Year],G$2,BalanceSheet[periodType],"&lt;&gt;TTM")</f>
        <v>0</v>
      </c>
      <c r="H84" s="48">
        <f>SUMIFS(BalanceSheet[DerivativeProductLiabilities],BalanceSheet[Ticker],$B$1,BalanceSheet[Year],H$2,BalanceSheet[periodType],"&lt;&gt;TTM")</f>
        <v>0</v>
      </c>
      <c r="I84" s="10">
        <f t="shared" si="21"/>
        <v>0</v>
      </c>
      <c r="J84" s="10">
        <f t="shared" si="21"/>
        <v>0</v>
      </c>
      <c r="K84" s="10">
        <f t="shared" si="21"/>
        <v>0</v>
      </c>
      <c r="L84" s="10">
        <f t="shared" si="21"/>
        <v>0</v>
      </c>
      <c r="M84" s="10">
        <f t="shared" si="21"/>
        <v>0</v>
      </c>
    </row>
    <row r="85" spans="1:14" outlineLevel="1" x14ac:dyDescent="0.35">
      <c r="A85" t="s">
        <v>540</v>
      </c>
      <c r="E85" s="48">
        <f>SUMIFS(BalanceSheet[EmployeeBenefits],BalanceSheet[Ticker],$B$1,BalanceSheet[Year],E$2,BalanceSheet[periodType],"&lt;&gt;TTM")</f>
        <v>0</v>
      </c>
      <c r="F85" s="48">
        <f>SUMIFS(BalanceSheet[EmployeeBenefits],BalanceSheet[Ticker],$B$1,BalanceSheet[Year],F$2,BalanceSheet[periodType],"&lt;&gt;TTM")</f>
        <v>0</v>
      </c>
      <c r="G85" s="48">
        <f>SUMIFS(BalanceSheet[EmployeeBenefits],BalanceSheet[Ticker],$B$1,BalanceSheet[Year],G$2,BalanceSheet[periodType],"&lt;&gt;TTM")</f>
        <v>0</v>
      </c>
      <c r="H85" s="48">
        <f>SUMIFS(BalanceSheet[EmployeeBenefits],BalanceSheet[Ticker],$B$1,BalanceSheet[Year],H$2,BalanceSheet[periodType],"&lt;&gt;TTM")</f>
        <v>0</v>
      </c>
      <c r="I85" s="129">
        <f>I31*I25</f>
        <v>0</v>
      </c>
      <c r="J85" s="129">
        <f>J31*J25</f>
        <v>0</v>
      </c>
      <c r="K85" s="129">
        <f>K31*K25</f>
        <v>0</v>
      </c>
      <c r="L85" s="129">
        <f>L31*L25</f>
        <v>0</v>
      </c>
      <c r="M85" s="129">
        <f>M31*M25</f>
        <v>0</v>
      </c>
    </row>
    <row r="86" spans="1:14" outlineLevel="1" x14ac:dyDescent="0.35">
      <c r="A86" s="58" t="s">
        <v>481</v>
      </c>
      <c r="B86" s="58"/>
      <c r="C86" s="58"/>
      <c r="D86" s="58"/>
      <c r="E86" s="60">
        <f>SUMIFS(BalanceSheet[OtherNonCurrentLiabilities],BalanceSheet[Ticker],$B$1,BalanceSheet[Year],E$2,BalanceSheet[periodType],"&lt;&gt;TTM")</f>
        <v>9170000</v>
      </c>
      <c r="F86" s="60">
        <f>SUMIFS(BalanceSheet[OtherNonCurrentLiabilities],BalanceSheet[Ticker],$B$1,BalanceSheet[Year],F$2,BalanceSheet[periodType],"&lt;&gt;TTM")</f>
        <v>9697000</v>
      </c>
      <c r="G86" s="60">
        <f>SUMIFS(BalanceSheet[OtherNonCurrentLiabilities],BalanceSheet[Ticker],$B$1,BalanceSheet[Year],G$2,BalanceSheet[periodType],"&lt;&gt;TTM")</f>
        <v>9892000</v>
      </c>
      <c r="H86" s="60">
        <f>SUMIFS(BalanceSheet[OtherNonCurrentLiabilities],BalanceSheet[Ticker],$B$1,BalanceSheet[Year],H$2,BalanceSheet[periodType],"&lt;&gt;TTM")</f>
        <v>22949000</v>
      </c>
      <c r="I86" s="60">
        <f>AVERAGE($E86:$H86)</f>
        <v>12927000</v>
      </c>
      <c r="J86" s="60">
        <f>AVERAGE($E86:$H86)</f>
        <v>12927000</v>
      </c>
      <c r="K86" s="60">
        <f>AVERAGE($E86:$H86)</f>
        <v>12927000</v>
      </c>
      <c r="L86" s="60">
        <f>AVERAGE($E86:$H86)</f>
        <v>12927000</v>
      </c>
      <c r="M86" s="60">
        <f>AVERAGE($E86:$H86)</f>
        <v>12927000</v>
      </c>
    </row>
    <row r="87" spans="1:14" ht="15" outlineLevel="1" thickBot="1" x14ac:dyDescent="0.4">
      <c r="A87" s="6" t="s">
        <v>45</v>
      </c>
      <c r="B87" s="6"/>
      <c r="C87" s="6"/>
      <c r="D87" s="6"/>
      <c r="E87" s="15">
        <f t="shared" ref="E87:M87" si="22">SUM(E77:E86)</f>
        <v>307719000</v>
      </c>
      <c r="F87" s="15">
        <f t="shared" si="22"/>
        <v>383228000</v>
      </c>
      <c r="G87" s="15">
        <f t="shared" si="22"/>
        <v>433702000</v>
      </c>
      <c r="H87" s="15">
        <f t="shared" si="22"/>
        <v>508921000</v>
      </c>
      <c r="I87" s="15">
        <f t="shared" si="22"/>
        <v>505230889.0040946</v>
      </c>
      <c r="J87" s="15">
        <f t="shared" si="22"/>
        <v>518908122.02668548</v>
      </c>
      <c r="K87" s="15">
        <f t="shared" si="22"/>
        <v>582675668.56404531</v>
      </c>
      <c r="L87" s="15">
        <f t="shared" si="22"/>
        <v>576356469.66833019</v>
      </c>
      <c r="M87" s="15">
        <f t="shared" si="22"/>
        <v>588449093.81688404</v>
      </c>
    </row>
    <row r="88" spans="1:14" ht="15" outlineLevel="1" thickTop="1" x14ac:dyDescent="0.35">
      <c r="A88" s="3" t="s">
        <v>479</v>
      </c>
      <c r="B88" s="3"/>
      <c r="C88" s="3"/>
      <c r="D88" s="3"/>
      <c r="E88" s="12">
        <f>SUMIFS(BalanceSheet[TotalLiabilitiesNetMinorityInterest],BalanceSheet[Ticker],$B$1,BalanceSheet[Year],E2,BalanceSheet[periodType],"&lt;&gt;TTM")</f>
        <v>307719000</v>
      </c>
      <c r="F88" s="12">
        <f>SUMIFS(BalanceSheet[TotalLiabilitiesNetMinorityInterest],BalanceSheet[Ticker],$B$1,BalanceSheet[Year],F2,BalanceSheet[periodType],"&lt;&gt;TTM")</f>
        <v>383228000</v>
      </c>
      <c r="G88" s="12">
        <f>SUMIFS(BalanceSheet[TotalLiabilitiesNetMinorityInterest],BalanceSheet[Ticker],$B$1,BalanceSheet[Year],G2,BalanceSheet[periodType],"&lt;&gt;TTM")</f>
        <v>433702000</v>
      </c>
      <c r="H88" s="12">
        <f>SUMIFS(BalanceSheet[TotalLiabilitiesNetMinorityInterest],BalanceSheet[Ticker],$B$1,BalanceSheet[Year],H2,BalanceSheet[periodType],"&lt;&gt;TTM")</f>
        <v>508921000</v>
      </c>
      <c r="I88" s="12"/>
      <c r="J88" s="12"/>
      <c r="K88" s="12"/>
      <c r="L88" s="12"/>
      <c r="M88" s="12"/>
    </row>
    <row r="89" spans="1:14" outlineLevel="1" x14ac:dyDescent="0.35">
      <c r="A89" s="3"/>
      <c r="B89" s="3"/>
      <c r="C89" s="3"/>
      <c r="D89" s="105"/>
      <c r="E89" s="106"/>
      <c r="F89" s="106"/>
      <c r="G89" s="106"/>
      <c r="H89" s="106"/>
      <c r="I89" s="12"/>
      <c r="J89" s="12"/>
      <c r="K89" s="12"/>
      <c r="L89" s="12"/>
      <c r="M89" s="12"/>
    </row>
    <row r="90" spans="1:14" outlineLevel="1" x14ac:dyDescent="0.35">
      <c r="A90" s="3" t="s">
        <v>46</v>
      </c>
      <c r="L90" s="10"/>
      <c r="M90" s="10"/>
    </row>
    <row r="91" spans="1:14" outlineLevel="1" x14ac:dyDescent="0.35">
      <c r="A91" t="s">
        <v>48</v>
      </c>
      <c r="E91" s="10">
        <f>SUMIFS(BalanceSheet[RetainedEarnings],BalanceSheet[Ticker],$B$1,BalanceSheet[Year],E2,BalanceSheet[periodType],"&lt;&gt;TTM")</f>
        <v>168305000</v>
      </c>
      <c r="F91" s="10">
        <f>SUMIFS(BalanceSheet[RetainedEarnings],BalanceSheet[Ticker],$B$1,BalanceSheet[Year],F2,BalanceSheet[periodType],"&lt;&gt;TTM")</f>
        <v>229537000</v>
      </c>
      <c r="G91" s="10">
        <f>SUMIFS(BalanceSheet[RetainedEarnings],BalanceSheet[Ticker],$B$1,BalanceSheet[Year],G2,BalanceSheet[periodType],"&lt;&gt;TTM")</f>
        <v>271051000</v>
      </c>
      <c r="H91" s="10">
        <f>SUMIFS(BalanceSheet[RetainedEarnings],BalanceSheet[Ticker],$B$1,BalanceSheet[Year],H2,BalanceSheet[periodType],"&lt;&gt;TTM")</f>
        <v>342653000</v>
      </c>
      <c r="I91" s="17">
        <f>H91+I46+I130</f>
        <v>479254383.71569318</v>
      </c>
      <c r="J91" s="17">
        <f>I91+J46+J130</f>
        <v>629100525.99552143</v>
      </c>
      <c r="K91" s="17">
        <f>J91+K46+K130</f>
        <v>791346151.57791579</v>
      </c>
      <c r="L91" s="17">
        <f>K91+L46+L130</f>
        <v>966213800.94189358</v>
      </c>
      <c r="M91" s="17">
        <f>L91+M46+M130</f>
        <v>1151308482.3336933</v>
      </c>
    </row>
    <row r="92" spans="1:14" outlineLevel="1" x14ac:dyDescent="0.35">
      <c r="A92" s="55" t="s">
        <v>535</v>
      </c>
      <c r="E92" s="10">
        <f>SUMIFS(BalanceSheet[CommonStock],BalanceSheet[Ticker],$B$1,BalanceSheet[Year],E2,BalanceSheet[periodType],"&lt;&gt;TTM")</f>
        <v>389000</v>
      </c>
      <c r="F92" s="10">
        <f>SUMIFS(BalanceSheet[CommonStock],BalanceSheet[Ticker],$B$1,BalanceSheet[Year],F2,BalanceSheet[periodType],"&lt;&gt;TTM")</f>
        <v>392000</v>
      </c>
      <c r="G92" s="10">
        <f>SUMIFS(BalanceSheet[CommonStock],BalanceSheet[Ticker],$B$1,BalanceSheet[Year],G2,BalanceSheet[periodType],"&lt;&gt;TTM")</f>
        <v>396000</v>
      </c>
      <c r="H92" s="10">
        <f>SUMIFS(BalanceSheet[CommonStock],BalanceSheet[Ticker],$B$1,BalanceSheet[Year],H2,BalanceSheet[periodType],"&lt;&gt;TTM")</f>
        <v>399000</v>
      </c>
      <c r="I92" s="17">
        <f>AVERAGE($E$92:$H$92)</f>
        <v>394000</v>
      </c>
      <c r="J92" s="17">
        <f>AVERAGE($E$92:$H$92)</f>
        <v>394000</v>
      </c>
      <c r="K92" s="17">
        <f>AVERAGE($E$92:$H$92)</f>
        <v>394000</v>
      </c>
      <c r="L92" s="17">
        <f>AVERAGE($E$92:$H$92)</f>
        <v>394000</v>
      </c>
      <c r="M92" s="17">
        <f>AVERAGE($E$92:$H$92)</f>
        <v>394000</v>
      </c>
      <c r="N92" t="s">
        <v>564</v>
      </c>
    </row>
    <row r="93" spans="1:14" outlineLevel="1" x14ac:dyDescent="0.35">
      <c r="A93" t="s">
        <v>536</v>
      </c>
      <c r="E93" s="10">
        <f>SUMIFS(BalanceSheet[AdditionalPaidInCapital],BalanceSheet[Ticker],$B$1,BalanceSheet[Year],E2,BalanceSheet[periodType],"&lt;&gt;TTM")</f>
        <v>360939000</v>
      </c>
      <c r="F93" s="10">
        <f>SUMIFS(BalanceSheet[AdditionalPaidInCapital],BalanceSheet[Ticker],$B$1,BalanceSheet[Year],F2,BalanceSheet[periodType],"&lt;&gt;TTM")</f>
        <v>376537000</v>
      </c>
      <c r="G93" s="10">
        <f>SUMIFS(BalanceSheet[AdditionalPaidInCapital],BalanceSheet[Ticker],$B$1,BalanceSheet[Year],G2,BalanceSheet[periodType],"&lt;&gt;TTM")</f>
        <v>391482000</v>
      </c>
      <c r="H93" s="10">
        <f>SUMIFS(BalanceSheet[AdditionalPaidInCapital],BalanceSheet[Ticker],$B$1,BalanceSheet[Year],H2,BalanceSheet[periodType],"&lt;&gt;TTM")</f>
        <v>424229000</v>
      </c>
      <c r="I93" s="17">
        <f>AVERAGE($E93:$H93)</f>
        <v>388296750</v>
      </c>
      <c r="J93" s="17">
        <f>AVERAGE($E93:$H93)</f>
        <v>388296750</v>
      </c>
      <c r="K93" s="17">
        <f>AVERAGE($E93:$H93)</f>
        <v>388296750</v>
      </c>
      <c r="L93" s="17">
        <f>AVERAGE($E93:$H93)</f>
        <v>388296750</v>
      </c>
      <c r="M93" s="17">
        <f>AVERAGE($E93:$H93)</f>
        <v>388296750</v>
      </c>
    </row>
    <row r="94" spans="1:14" outlineLevel="1" x14ac:dyDescent="0.35">
      <c r="A94" t="s">
        <v>538</v>
      </c>
      <c r="E94" s="10">
        <f>SUMIFS(BalanceSheet[MinorityInterest],BalanceSheet[Ticker],$B$1,BalanceSheet[Year],E$2,BalanceSheet[periodType],"&lt;&gt;TTM")</f>
        <v>0</v>
      </c>
      <c r="F94" s="10">
        <f>SUMIFS(BalanceSheet[MinorityInterest],BalanceSheet[Ticker],$B$1,BalanceSheet[Year],F$2,BalanceSheet[periodType],"&lt;&gt;TTM")</f>
        <v>0</v>
      </c>
      <c r="G94" s="10">
        <f>SUMIFS(BalanceSheet[MinorityInterest],BalanceSheet[Ticker],$B$1,BalanceSheet[Year],G$2,BalanceSheet[periodType],"&lt;&gt;TTM")</f>
        <v>0</v>
      </c>
      <c r="H94" s="10">
        <f>SUMIFS(BalanceSheet[MinorityInterest],BalanceSheet[Ticker],$B$1,BalanceSheet[Year],H$2,BalanceSheet[periodType],"&lt;&gt;TTM")</f>
        <v>0</v>
      </c>
      <c r="I94" s="17">
        <f t="shared" ref="I94:M96" si="23">AVERAGE($E94:$H94)</f>
        <v>0</v>
      </c>
      <c r="J94" s="17">
        <f t="shared" si="23"/>
        <v>0</v>
      </c>
      <c r="K94" s="17">
        <f t="shared" si="23"/>
        <v>0</v>
      </c>
      <c r="L94" s="17">
        <f t="shared" si="23"/>
        <v>0</v>
      </c>
      <c r="M94" s="17">
        <f t="shared" si="23"/>
        <v>0</v>
      </c>
    </row>
    <row r="95" spans="1:14" outlineLevel="1" x14ac:dyDescent="0.35">
      <c r="A95" t="s">
        <v>539</v>
      </c>
      <c r="E95" s="10">
        <f>SUMIFS(BalanceSheet[GainsLossesNotAffectingRetainedEarnings],BalanceSheet[Ticker],$B$1,BalanceSheet[Year],E$2,BalanceSheet[periodType],"&lt;&gt;TTM")</f>
        <v>-7681000</v>
      </c>
      <c r="F95" s="10">
        <f>SUMIFS(BalanceSheet[GainsLossesNotAffectingRetainedEarnings],BalanceSheet[Ticker],$B$1,BalanceSheet[Year],F$2,BalanceSheet[periodType],"&lt;&gt;TTM")</f>
        <v>-10788000</v>
      </c>
      <c r="G95" s="10">
        <f>SUMIFS(BalanceSheet[GainsLossesNotAffectingRetainedEarnings],BalanceSheet[Ticker],$B$1,BalanceSheet[Year],G$2,BalanceSheet[periodType],"&lt;&gt;TTM")</f>
        <v>-15439000</v>
      </c>
      <c r="H95" s="10">
        <f>SUMIFS(BalanceSheet[GainsLossesNotAffectingRetainedEarnings],BalanceSheet[Ticker],$B$1,BalanceSheet[Year],H$2,BalanceSheet[periodType],"&lt;&gt;TTM")</f>
        <v>-11974000</v>
      </c>
      <c r="I95" s="17">
        <f t="shared" si="23"/>
        <v>-11470500</v>
      </c>
      <c r="J95" s="17">
        <f t="shared" si="23"/>
        <v>-11470500</v>
      </c>
      <c r="K95" s="17">
        <f t="shared" si="23"/>
        <v>-11470500</v>
      </c>
      <c r="L95" s="17">
        <f t="shared" si="23"/>
        <v>-11470500</v>
      </c>
      <c r="M95" s="17">
        <f t="shared" si="23"/>
        <v>-11470500</v>
      </c>
    </row>
    <row r="96" spans="1:14" outlineLevel="1" x14ac:dyDescent="0.35">
      <c r="A96" t="s">
        <v>537</v>
      </c>
      <c r="E96" s="10">
        <f>SUMIFS(BalanceSheet[TreasuryStock],BalanceSheet[Ticker],$B$1,BalanceSheet[Year],E$2,BalanceSheet[periodType],"&lt;&gt;TTM")</f>
        <v>100027000</v>
      </c>
      <c r="F96" s="10">
        <f>SUMIFS(BalanceSheet[TreasuryStock],BalanceSheet[Ticker],$B$1,BalanceSheet[Year],F$2,BalanceSheet[periodType],"&lt;&gt;TTM")</f>
        <v>127196000</v>
      </c>
      <c r="G96" s="10">
        <f>SUMIFS(BalanceSheet[TreasuryStock],BalanceSheet[Ticker],$B$1,BalanceSheet[Year],G$2,BalanceSheet[periodType],"&lt;&gt;TTM")</f>
        <v>200008000</v>
      </c>
      <c r="H96" s="10">
        <f>SUMIFS(BalanceSheet[TreasuryStock],BalanceSheet[Ticker],$B$1,BalanceSheet[Year],H$2,BalanceSheet[periodType],"&lt;&gt;TTM")</f>
        <v>228213000</v>
      </c>
      <c r="I96" s="17">
        <f t="shared" si="23"/>
        <v>163861000</v>
      </c>
      <c r="J96" s="17">
        <f t="shared" si="23"/>
        <v>163861000</v>
      </c>
      <c r="K96" s="17">
        <f t="shared" si="23"/>
        <v>163861000</v>
      </c>
      <c r="L96" s="17">
        <f t="shared" si="23"/>
        <v>163861000</v>
      </c>
      <c r="M96" s="17">
        <f t="shared" si="23"/>
        <v>163861000</v>
      </c>
    </row>
    <row r="97" spans="1:13" outlineLevel="1" x14ac:dyDescent="0.35">
      <c r="A97" s="61" t="s">
        <v>482</v>
      </c>
      <c r="B97" s="58"/>
      <c r="C97" s="58"/>
      <c r="D97" s="58"/>
      <c r="E97" s="60">
        <f>E99-E98</f>
        <v>0</v>
      </c>
      <c r="F97" s="60">
        <f>F99-F98</f>
        <v>0</v>
      </c>
      <c r="G97" s="60">
        <f>G99-G98</f>
        <v>0</v>
      </c>
      <c r="H97" s="60">
        <f>H99-H98</f>
        <v>0</v>
      </c>
      <c r="I97" s="60">
        <f>AVERAGE($E97:$H97)</f>
        <v>0</v>
      </c>
      <c r="J97" s="60">
        <f>AVERAGE($E97:$H97)</f>
        <v>0</v>
      </c>
      <c r="K97" s="60">
        <f>AVERAGE($E97:$H97)</f>
        <v>0</v>
      </c>
      <c r="L97" s="60">
        <f>AVERAGE($E97:$H97)</f>
        <v>0</v>
      </c>
      <c r="M97" s="60">
        <f>AVERAGE($E97:$H97)</f>
        <v>0</v>
      </c>
    </row>
    <row r="98" spans="1:13" ht="15" outlineLevel="1" thickBot="1" x14ac:dyDescent="0.4">
      <c r="A98" s="6" t="s">
        <v>46</v>
      </c>
      <c r="B98" s="6"/>
      <c r="C98" s="6"/>
      <c r="D98" s="6"/>
      <c r="E98" s="15">
        <f t="shared" ref="E98:M98" si="24">SUM(E91:E95)-E96</f>
        <v>421925000</v>
      </c>
      <c r="F98" s="15">
        <f t="shared" si="24"/>
        <v>468482000</v>
      </c>
      <c r="G98" s="15">
        <f t="shared" si="24"/>
        <v>447482000</v>
      </c>
      <c r="H98" s="15">
        <f t="shared" si="24"/>
        <v>527094000</v>
      </c>
      <c r="I98" s="15">
        <f t="shared" si="24"/>
        <v>692613633.71569324</v>
      </c>
      <c r="J98" s="15">
        <f t="shared" si="24"/>
        <v>842459775.99552143</v>
      </c>
      <c r="K98" s="15">
        <f t="shared" si="24"/>
        <v>1004705401.5779157</v>
      </c>
      <c r="L98" s="15">
        <f t="shared" si="24"/>
        <v>1179573050.9418936</v>
      </c>
      <c r="M98" s="15">
        <f t="shared" si="24"/>
        <v>1364667732.3336933</v>
      </c>
    </row>
    <row r="99" spans="1:13" ht="15" outlineLevel="1" thickTop="1" x14ac:dyDescent="0.35">
      <c r="A99" s="3" t="s">
        <v>480</v>
      </c>
      <c r="B99" s="3"/>
      <c r="C99" s="3"/>
      <c r="D99" s="3"/>
      <c r="E99" s="54">
        <f>SUMIFS(BalanceSheet[TotalEquityGrossMinorityInterest],BalanceSheet[Ticker],$B$1,BalanceSheet[Year],E2,BalanceSheet[periodType],"&lt;&gt;TTM")</f>
        <v>421925000</v>
      </c>
      <c r="F99" s="54">
        <f>SUMIFS(BalanceSheet[TotalEquityGrossMinorityInterest],BalanceSheet[Ticker],$B$1,BalanceSheet[Year],F2,BalanceSheet[periodType],"&lt;&gt;TTM")</f>
        <v>468482000</v>
      </c>
      <c r="G99" s="54">
        <f>SUMIFS(BalanceSheet[TotalEquityGrossMinorityInterest],BalanceSheet[Ticker],$B$1,BalanceSheet[Year],G2,BalanceSheet[periodType],"&lt;&gt;TTM")</f>
        <v>447482000</v>
      </c>
      <c r="H99" s="54">
        <f>SUMIFS(BalanceSheet[TotalEquityGrossMinorityInterest],BalanceSheet[Ticker],$B$1,BalanceSheet[Year],H2,BalanceSheet[periodType],"&lt;&gt;TTM")</f>
        <v>527094000</v>
      </c>
      <c r="I99" s="54"/>
      <c r="J99" s="54"/>
      <c r="K99" s="54"/>
      <c r="L99" s="54"/>
      <c r="M99" s="54"/>
    </row>
    <row r="100" spans="1:13" outlineLevel="1" x14ac:dyDescent="0.35">
      <c r="A100" s="3"/>
      <c r="B100" s="3"/>
      <c r="C100" s="3"/>
      <c r="D100" s="3"/>
      <c r="E100" s="54"/>
      <c r="F100" s="54"/>
      <c r="G100" s="54"/>
      <c r="H100" s="54"/>
      <c r="I100" s="54"/>
      <c r="J100" s="54"/>
      <c r="K100" s="54"/>
      <c r="L100" s="54"/>
      <c r="M100" s="54"/>
    </row>
    <row r="101" spans="1:13" ht="15" outlineLevel="1" thickBot="1" x14ac:dyDescent="0.4">
      <c r="A101" s="56" t="s">
        <v>49</v>
      </c>
      <c r="B101" s="56"/>
      <c r="C101" s="56"/>
      <c r="D101" s="56"/>
      <c r="E101" s="57">
        <f t="shared" ref="E101:M101" si="25">(E87)+(E98)</f>
        <v>729644000</v>
      </c>
      <c r="F101" s="57">
        <f t="shared" si="25"/>
        <v>851710000</v>
      </c>
      <c r="G101" s="57">
        <f t="shared" si="25"/>
        <v>881184000</v>
      </c>
      <c r="H101" s="57">
        <f t="shared" si="25"/>
        <v>1036015000</v>
      </c>
      <c r="I101" s="57">
        <f t="shared" si="25"/>
        <v>1197844522.7197878</v>
      </c>
      <c r="J101" s="57">
        <f t="shared" si="25"/>
        <v>1361367898.0222068</v>
      </c>
      <c r="K101" s="57">
        <f t="shared" si="25"/>
        <v>1587381070.1419611</v>
      </c>
      <c r="L101" s="57">
        <f t="shared" si="25"/>
        <v>1755929520.6102238</v>
      </c>
      <c r="M101" s="57">
        <f t="shared" si="25"/>
        <v>1953116826.1505773</v>
      </c>
    </row>
    <row r="102" spans="1:13" ht="15" outlineLevel="1" thickTop="1" x14ac:dyDescent="0.35">
      <c r="L102" s="10"/>
      <c r="M102" s="10"/>
    </row>
    <row r="103" spans="1:13" outlineLevel="1" x14ac:dyDescent="0.35">
      <c r="A103" s="7" t="s">
        <v>50</v>
      </c>
      <c r="B103" s="7"/>
      <c r="C103" s="7"/>
      <c r="D103" s="7"/>
      <c r="E103" s="16">
        <f t="shared" ref="E103:M103" si="26">E101-E66</f>
        <v>0</v>
      </c>
      <c r="F103" s="16">
        <f t="shared" si="26"/>
        <v>0</v>
      </c>
      <c r="G103" s="16">
        <f t="shared" si="26"/>
        <v>0</v>
      </c>
      <c r="H103" s="16">
        <f t="shared" si="26"/>
        <v>0</v>
      </c>
      <c r="I103" s="16">
        <f t="shared" si="26"/>
        <v>354446435.12284672</v>
      </c>
      <c r="J103" s="16">
        <f t="shared" si="26"/>
        <v>494681853.86307979</v>
      </c>
      <c r="K103" s="16">
        <f t="shared" si="26"/>
        <v>665766248.5378902</v>
      </c>
      <c r="L103" s="16">
        <f t="shared" si="26"/>
        <v>743111959.90222108</v>
      </c>
      <c r="M103" s="16">
        <f t="shared" si="26"/>
        <v>858429292.61460781</v>
      </c>
    </row>
    <row r="104" spans="1:13" x14ac:dyDescent="0.35">
      <c r="L104" s="10"/>
      <c r="M104" s="10"/>
    </row>
    <row r="105" spans="1:13" x14ac:dyDescent="0.35">
      <c r="A105" s="2" t="s">
        <v>7</v>
      </c>
      <c r="B105" s="2"/>
      <c r="C105" s="2"/>
      <c r="D105" s="2"/>
      <c r="E105" s="11"/>
      <c r="F105" s="11"/>
      <c r="G105" s="11"/>
      <c r="H105" s="11"/>
      <c r="I105" s="11"/>
      <c r="J105" s="11"/>
      <c r="K105" s="11"/>
      <c r="L105" s="11"/>
      <c r="M105" s="11"/>
    </row>
    <row r="106" spans="1:13" hidden="1" outlineLevel="1" x14ac:dyDescent="0.35">
      <c r="A106" s="3" t="s">
        <v>51</v>
      </c>
      <c r="B106" s="3"/>
      <c r="L106" s="10"/>
      <c r="M106" s="10"/>
    </row>
    <row r="107" spans="1:13" hidden="1" outlineLevel="1" x14ac:dyDescent="0.35">
      <c r="A107" t="s">
        <v>35</v>
      </c>
      <c r="E107" s="17">
        <f t="shared" ref="E107:M107" si="27">E46</f>
        <v>71766000</v>
      </c>
      <c r="F107" s="17">
        <f t="shared" si="27"/>
        <v>91883000</v>
      </c>
      <c r="G107" s="17">
        <f t="shared" si="27"/>
        <v>76103000</v>
      </c>
      <c r="H107" s="17">
        <f t="shared" si="27"/>
        <v>110269000</v>
      </c>
      <c r="I107" s="113">
        <f t="shared" si="27"/>
        <v>97738786.03555283</v>
      </c>
      <c r="J107" s="113">
        <f t="shared" si="27"/>
        <v>106495899.85107709</v>
      </c>
      <c r="K107" s="113">
        <f t="shared" si="27"/>
        <v>114791527.76197606</v>
      </c>
      <c r="L107" s="113">
        <f t="shared" si="27"/>
        <v>123758650.46494126</v>
      </c>
      <c r="M107" s="113">
        <f t="shared" si="27"/>
        <v>131501187.70345521</v>
      </c>
    </row>
    <row r="108" spans="1:13" hidden="1" outlineLevel="1" x14ac:dyDescent="0.35">
      <c r="A108" t="s">
        <v>512</v>
      </c>
      <c r="E108" s="48">
        <f>SUMIFS(CashFlow[OperatingGainsLosses],CashFlow[Ticker],$B$1,CashFlow[Year],E$2,CashFlow[periodType],"&lt;&gt;TTM")</f>
        <v>0</v>
      </c>
      <c r="F108" s="48">
        <f>SUMIFS(CashFlow[OperatingGainsLosses],CashFlow[Ticker],$B$1,CashFlow[Year],F$2,CashFlow[periodType],"&lt;&gt;TTM")</f>
        <v>0</v>
      </c>
      <c r="G108" s="48">
        <f>SUMIFS(CashFlow[OperatingGainsLosses],CashFlow[Ticker],$B$1,CashFlow[Year],G$2,CashFlow[periodType],"&lt;&gt;TTM")</f>
        <v>0</v>
      </c>
      <c r="H108" s="48">
        <f>SUMIFS(CashFlow[OperatingGainsLosses],CashFlow[Ticker],$B$1,CashFlow[Year],H$2,CashFlow[periodType],"&lt;&gt;TTM")</f>
        <v>0</v>
      </c>
      <c r="I108" s="63"/>
      <c r="J108" s="63"/>
      <c r="K108" s="63"/>
      <c r="L108" s="63"/>
      <c r="M108" s="63"/>
    </row>
    <row r="109" spans="1:13" hidden="1" outlineLevel="1" x14ac:dyDescent="0.35">
      <c r="A109" t="s">
        <v>548</v>
      </c>
      <c r="E109" s="48">
        <f>SUMIFS(CashFlow[DeferredIncomeTax],CashFlow[Ticker],$B$1,CashFlow[Year],E$2,CashFlow[periodType],"&lt;&gt;TTM")</f>
        <v>1019000</v>
      </c>
      <c r="F109" s="48">
        <f>SUMIFS(CashFlow[DeferredIncomeTax],CashFlow[Ticker],$B$1,CashFlow[Year],F$2,CashFlow[periodType],"&lt;&gt;TTM")</f>
        <v>-1771000</v>
      </c>
      <c r="G109" s="48">
        <f>SUMIFS(CashFlow[DeferredIncomeTax],CashFlow[Ticker],$B$1,CashFlow[Year],G$2,CashFlow[periodType],"&lt;&gt;TTM")</f>
        <v>-10587000</v>
      </c>
      <c r="H109" s="48">
        <f>SUMIFS(CashFlow[DeferredIncomeTax],CashFlow[Ticker],$B$1,CashFlow[Year],H$2,CashFlow[periodType],"&lt;&gt;TTM")</f>
        <v>-26176000</v>
      </c>
      <c r="I109" s="63"/>
      <c r="J109" s="63"/>
      <c r="K109" s="63"/>
      <c r="L109" s="63"/>
      <c r="M109" s="63"/>
    </row>
    <row r="110" spans="1:13" hidden="1" outlineLevel="1" x14ac:dyDescent="0.35">
      <c r="A110" t="s">
        <v>549</v>
      </c>
      <c r="E110" s="48">
        <f>SUMIFS(CashFlow[IncomeTaxPaidSupplementalData],CashFlow[Ticker],$B$1,CashFlow[Year],E$2,CashFlow[periodType],"&lt;&gt;TTM")</f>
        <v>8751000</v>
      </c>
      <c r="F110" s="48">
        <f>SUMIFS(CashFlow[IncomeTaxPaidSupplementalData],CashFlow[Ticker],$B$1,CashFlow[Year],F$2,CashFlow[periodType],"&lt;&gt;TTM")</f>
        <v>19092000</v>
      </c>
      <c r="G110" s="48">
        <f>SUMIFS(CashFlow[IncomeTaxPaidSupplementalData],CashFlow[Ticker],$B$1,CashFlow[Year],G$2,CashFlow[periodType],"&lt;&gt;TTM")</f>
        <v>23444000</v>
      </c>
      <c r="H110" s="48">
        <f>SUMIFS(CashFlow[IncomeTaxPaidSupplementalData],CashFlow[Ticker],$B$1,CashFlow[Year],H$2,CashFlow[periodType],"&lt;&gt;TTM")</f>
        <v>33067000</v>
      </c>
      <c r="I110" s="63"/>
      <c r="J110" s="63"/>
      <c r="K110" s="63"/>
      <c r="L110" s="63"/>
      <c r="M110" s="63"/>
    </row>
    <row r="111" spans="1:13" hidden="1" outlineLevel="1" x14ac:dyDescent="0.35">
      <c r="A111" t="s">
        <v>550</v>
      </c>
      <c r="E111" s="48">
        <f>SUMIFS(CashFlow[OtherNonCashItems],CashFlow[Ticker],$B$1,CashFlow[Year],E$2,CashFlow[periodType],"&lt;&gt;TTM")</f>
        <v>0</v>
      </c>
      <c r="F111" s="48">
        <f>SUMIFS(CashFlow[OtherNonCashItems],CashFlow[Ticker],$B$1,CashFlow[Year],F$2,CashFlow[periodType],"&lt;&gt;TTM")</f>
        <v>0</v>
      </c>
      <c r="G111" s="48">
        <f>SUMIFS(CashFlow[OtherNonCashItems],CashFlow[Ticker],$B$1,CashFlow[Year],G$2,CashFlow[periodType],"&lt;&gt;TTM")</f>
        <v>0</v>
      </c>
      <c r="H111" s="48">
        <f>SUMIFS(CashFlow[OtherNonCashItems],CashFlow[Ticker],$B$1,CashFlow[Year],H$2,CashFlow[periodType],"&lt;&gt;TTM")</f>
        <v>-50261000</v>
      </c>
      <c r="I111" s="63"/>
      <c r="J111" s="63"/>
      <c r="K111" s="63"/>
      <c r="L111" s="63"/>
      <c r="M111" s="63"/>
    </row>
    <row r="112" spans="1:13" hidden="1" outlineLevel="1" x14ac:dyDescent="0.35">
      <c r="A112" t="s">
        <v>551</v>
      </c>
      <c r="E112" s="48">
        <f>SUMIFS(CashFlow[ProvisionandWriteOffofAssets],CashFlow[Ticker],$B$1,CashFlow[Year],E$2,CashFlow[periodType],"&lt;&gt;TTM")</f>
        <v>0</v>
      </c>
      <c r="F112" s="48">
        <f>SUMIFS(CashFlow[ProvisionandWriteOffofAssets],CashFlow[Ticker],$B$1,CashFlow[Year],F$2,CashFlow[periodType],"&lt;&gt;TTM")</f>
        <v>0</v>
      </c>
      <c r="G112" s="48">
        <f>SUMIFS(CashFlow[ProvisionandWriteOffofAssets],CashFlow[Ticker],$B$1,CashFlow[Year],G$2,CashFlow[periodType],"&lt;&gt;TTM")</f>
        <v>0</v>
      </c>
      <c r="H112" s="48">
        <f>SUMIFS(CashFlow[ProvisionandWriteOffofAssets],CashFlow[Ticker],$B$1,CashFlow[Year],H$2,CashFlow[periodType],"&lt;&gt;TTM")</f>
        <v>0</v>
      </c>
      <c r="I112" s="63"/>
      <c r="J112" s="63"/>
      <c r="K112" s="63"/>
      <c r="L112" s="63"/>
      <c r="M112" s="63"/>
    </row>
    <row r="113" spans="1:14" hidden="1" outlineLevel="1" x14ac:dyDescent="0.35">
      <c r="A113" t="s">
        <v>552</v>
      </c>
      <c r="E113" s="48">
        <f>SUMIFS(CashFlow[StockBasedCompensation],CashFlow[Ticker],$B$1,CashFlow[Year],E$2,CashFlow[periodType],"&lt;&gt;TTM")</f>
        <v>28309000</v>
      </c>
      <c r="F113" s="48">
        <f>SUMIFS(CashFlow[StockBasedCompensation],CashFlow[Ticker],$B$1,CashFlow[Year],F$2,CashFlow[periodType],"&lt;&gt;TTM")</f>
        <v>36179000</v>
      </c>
      <c r="G113" s="48">
        <f>SUMIFS(CashFlow[StockBasedCompensation],CashFlow[Ticker],$B$1,CashFlow[Year],G$2,CashFlow[periodType],"&lt;&gt;TTM")</f>
        <v>35740000</v>
      </c>
      <c r="H113" s="48">
        <f>SUMIFS(CashFlow[StockBasedCompensation],CashFlow[Ticker],$B$1,CashFlow[Year],H$2,CashFlow[periodType],"&lt;&gt;TTM")</f>
        <v>48577000</v>
      </c>
      <c r="I113" s="113">
        <f>AVERAGE($E$113:$H$113)</f>
        <v>37201250</v>
      </c>
      <c r="J113" s="113">
        <f>AVERAGE($E$113:$H$113)</f>
        <v>37201250</v>
      </c>
      <c r="K113" s="113">
        <f>AVERAGE($E$113:$H$113)</f>
        <v>37201250</v>
      </c>
      <c r="L113" s="113">
        <f>AVERAGE($E$113:$H$113)</f>
        <v>37201250</v>
      </c>
      <c r="M113" s="113">
        <f>AVERAGE($E$113:$H$113)</f>
        <v>37201250</v>
      </c>
      <c r="N113" t="s">
        <v>564</v>
      </c>
    </row>
    <row r="114" spans="1:14" hidden="1" outlineLevel="1" x14ac:dyDescent="0.35">
      <c r="A114" t="s">
        <v>547</v>
      </c>
      <c r="E114" s="48">
        <f>SUMIFS(CashFlow[PensionAndEmployeeBenefitExpense],CashFlow[Ticker],$B$1,CashFlow[Year],E$2,CashFlow[periodType],"&lt;&gt;TTM")</f>
        <v>0</v>
      </c>
      <c r="F114" s="48">
        <f>SUMIFS(CashFlow[PensionAndEmployeeBenefitExpense],CashFlow[Ticker],$B$1,CashFlow[Year],F$2,CashFlow[periodType],"&lt;&gt;TTM")</f>
        <v>0</v>
      </c>
      <c r="G114" s="48">
        <f>SUMIFS(CashFlow[PensionAndEmployeeBenefitExpense],CashFlow[Ticker],$B$1,CashFlow[Year],G$2,CashFlow[periodType],"&lt;&gt;TTM")</f>
        <v>0</v>
      </c>
      <c r="H114" s="48">
        <f>SUMIFS(CashFlow[PensionAndEmployeeBenefitExpense],CashFlow[Ticker],$B$1,CashFlow[Year],H$2,CashFlow[periodType],"&lt;&gt;TTM")</f>
        <v>0</v>
      </c>
      <c r="I114" s="63"/>
      <c r="J114" s="63"/>
      <c r="K114" s="63"/>
      <c r="L114" s="63"/>
      <c r="M114" s="63"/>
    </row>
    <row r="115" spans="1:14" hidden="1" outlineLevel="1" x14ac:dyDescent="0.35">
      <c r="A115" t="s">
        <v>52</v>
      </c>
      <c r="E115" s="48">
        <f>SUMIFS(CashFlow[DepreciationAndAmortization],CashFlow[Ticker],$B$1,CashFlow[Year],E2,CashFlow[periodType],"&lt;&gt;TTM")</f>
        <v>41359000</v>
      </c>
      <c r="F115" s="48">
        <f>SUMIFS(CashFlow[DepreciationAndAmortization],CashFlow[Ticker],$B$1,CashFlow[Year],F2,CashFlow[periodType],"&lt;&gt;TTM")</f>
        <v>48771000</v>
      </c>
      <c r="G115" s="48">
        <f>SUMIFS(CashFlow[DepreciationAndAmortization],CashFlow[Ticker],$B$1,CashFlow[Year],G2,CashFlow[periodType],"&lt;&gt;TTM")</f>
        <v>68470000</v>
      </c>
      <c r="H115" s="48">
        <f>SUMIFS(CashFlow[DepreciationAndAmortization],CashFlow[Ticker],$B$1,CashFlow[Year],H2,CashFlow[periodType],"&lt;&gt;TTM")</f>
        <v>79729000</v>
      </c>
      <c r="I115" s="87">
        <f>I155</f>
        <v>71620484.028877199</v>
      </c>
      <c r="J115" s="87">
        <f>J155</f>
        <v>77989004.266783074</v>
      </c>
      <c r="K115" s="87">
        <f>K155</f>
        <v>84399577.122028485</v>
      </c>
      <c r="L115" s="87">
        <f>L155</f>
        <v>90769758.763263598</v>
      </c>
      <c r="M115" s="87">
        <f>M155</f>
        <v>96400438.70358865</v>
      </c>
      <c r="N115" t="s">
        <v>133</v>
      </c>
    </row>
    <row r="116" spans="1:14" hidden="1" outlineLevel="1" x14ac:dyDescent="0.35">
      <c r="A116" s="51" t="s">
        <v>511</v>
      </c>
      <c r="B116" s="51"/>
      <c r="C116" s="51"/>
      <c r="D116" s="51"/>
      <c r="E116" s="108">
        <f>SUMIFS(CashFlow[ChangeInWorkingCapital],CashFlow[Ticker],$B$1,CashFlow[Year],E2,CashFlow[periodType],"&lt;&gt;TTM")</f>
        <v>20039000</v>
      </c>
      <c r="F116" s="108">
        <f>SUMIFS(CashFlow[ChangeInWorkingCapital],CashFlow[Ticker],$B$1,CashFlow[Year],F2,CashFlow[periodType],"&lt;&gt;TTM")</f>
        <v>41173000</v>
      </c>
      <c r="G116" s="108">
        <f>SUMIFS(CashFlow[ChangeInWorkingCapital],CashFlow[Ticker],$B$1,CashFlow[Year],G2,CashFlow[periodType],"&lt;&gt;TTM")</f>
        <v>-33636000</v>
      </c>
      <c r="H116" s="108">
        <f>SUMIFS(CashFlow[ChangeInWorkingCapital],CashFlow[Ticker],$B$1,CashFlow[Year],H2,CashFlow[periodType],"&lt;&gt;TTM")</f>
        <v>-23480000</v>
      </c>
      <c r="I116" s="87">
        <f>I150</f>
        <v>-9771153.8144055903</v>
      </c>
      <c r="J116" s="87">
        <f>J150</f>
        <v>-3404774.8041083962</v>
      </c>
      <c r="K116" s="87">
        <f>K150</f>
        <v>-3427257.215503186</v>
      </c>
      <c r="L116" s="87">
        <f>L150</f>
        <v>-3405663.0330821127</v>
      </c>
      <c r="M116" s="87">
        <f>M150</f>
        <v>-3010306.3937379271</v>
      </c>
      <c r="N116" t="s">
        <v>133</v>
      </c>
    </row>
    <row r="117" spans="1:14" hidden="1" outlineLevel="1" x14ac:dyDescent="0.35">
      <c r="A117" s="51" t="s">
        <v>553</v>
      </c>
      <c r="B117" s="51"/>
      <c r="C117" s="51"/>
      <c r="D117" s="51"/>
      <c r="E117" s="48">
        <f>SUMIFS(CashFlow[ChangeInOtherWorkingCapital],CashFlow[Ticker],$B$1,CashFlow[Year],E$2,CashFlow[periodType],"&lt;&gt;TTM")</f>
        <v>89000</v>
      </c>
      <c r="F117" s="48">
        <f>SUMIFS(CashFlow[ChangeInOtherWorkingCapital],CashFlow[Ticker],$B$1,CashFlow[Year],F$2,CashFlow[periodType],"&lt;&gt;TTM")</f>
        <v>23108000</v>
      </c>
      <c r="G117" s="48">
        <f>SUMIFS(CashFlow[ChangeInOtherWorkingCapital],CashFlow[Ticker],$B$1,CashFlow[Year],G$2,CashFlow[periodType],"&lt;&gt;TTM")</f>
        <v>4493000</v>
      </c>
      <c r="H117" s="48">
        <f>SUMIFS(CashFlow[ChangeInOtherWorkingCapital],CashFlow[Ticker],$B$1,CashFlow[Year],H$2,CashFlow[periodType],"&lt;&gt;TTM")</f>
        <v>14697000</v>
      </c>
      <c r="I117" s="63">
        <f>AVERAGE($E$117:$H$117)</f>
        <v>10596750</v>
      </c>
      <c r="J117" s="63">
        <f>AVERAGE($E$117:$H$117)</f>
        <v>10596750</v>
      </c>
      <c r="K117" s="63">
        <f>AVERAGE($E$117:$H$117)</f>
        <v>10596750</v>
      </c>
      <c r="L117" s="63">
        <f>AVERAGE($E$117:$H$117)</f>
        <v>10596750</v>
      </c>
      <c r="M117" s="63">
        <f>AVERAGE($E$117:$H$117)</f>
        <v>10596750</v>
      </c>
    </row>
    <row r="118" spans="1:14" ht="15" hidden="1" outlineLevel="1" thickBot="1" x14ac:dyDescent="0.4">
      <c r="A118" s="109" t="s">
        <v>54</v>
      </c>
      <c r="B118" s="109"/>
      <c r="C118" s="109"/>
      <c r="D118" s="109"/>
      <c r="E118" s="110">
        <f t="shared" ref="E118:M118" si="28">SUM(E107:E115)-SUM(E116:E117)</f>
        <v>131076000</v>
      </c>
      <c r="F118" s="110">
        <f t="shared" si="28"/>
        <v>129873000</v>
      </c>
      <c r="G118" s="110">
        <f t="shared" si="28"/>
        <v>222313000</v>
      </c>
      <c r="H118" s="110">
        <f>SUM(H107:H115)-SUM(H116:H117)</f>
        <v>203988000</v>
      </c>
      <c r="I118" s="88">
        <f>SUM(I107:I115)-SUM(I116:I117)</f>
        <v>205734923.87883562</v>
      </c>
      <c r="J118" s="88">
        <f t="shared" si="28"/>
        <v>214494178.92196852</v>
      </c>
      <c r="K118" s="88">
        <f t="shared" si="28"/>
        <v>229222862.09950772</v>
      </c>
      <c r="L118" s="88">
        <f t="shared" si="28"/>
        <v>244538572.26128697</v>
      </c>
      <c r="M118" s="88">
        <f t="shared" si="28"/>
        <v>257516432.80078179</v>
      </c>
    </row>
    <row r="119" spans="1:14" ht="15" hidden="1" outlineLevel="1" thickTop="1" x14ac:dyDescent="0.35">
      <c r="A119" s="3" t="s">
        <v>485</v>
      </c>
      <c r="B119" s="3"/>
      <c r="C119" s="3"/>
      <c r="D119" s="3"/>
      <c r="E119" s="54">
        <f>SUMIFS(CashFlow[CashFlowFromContinuingOperatingActivities],CashFlow[Ticker],$B$1,CashFlow[Year],E2,CashFlow[periodType],"&lt;&gt;TTM")</f>
        <v>165072000</v>
      </c>
      <c r="F119" s="54">
        <f>SUMIFS(CashFlow[CashFlowFromContinuingOperatingActivities],CashFlow[Ticker],$B$1,CashFlow[Year],F2,CashFlow[periodType],"&lt;&gt;TTM")</f>
        <v>216372000</v>
      </c>
      <c r="G119" s="54">
        <f>SUMIFS(CashFlow[CashFlowFromContinuingOperatingActivities],CashFlow[Ticker],$B$1,CashFlow[Year],G2,CashFlow[periodType],"&lt;&gt;TTM")</f>
        <v>158451000</v>
      </c>
      <c r="H119" s="54">
        <f>SUMIFS(CashFlow[CashFlowFromContinuingOperatingActivities],CashFlow[Ticker],$B$1,CashFlow[Year],H2,CashFlow[periodType],"&lt;&gt;TTM")</f>
        <v>140552000</v>
      </c>
      <c r="I119" s="54"/>
      <c r="J119" s="54"/>
      <c r="K119" s="54"/>
      <c r="L119" s="54"/>
      <c r="M119" s="54"/>
    </row>
    <row r="120" spans="1:14" hidden="1" outlineLevel="1" x14ac:dyDescent="0.35">
      <c r="A120" s="3"/>
      <c r="B120" s="3"/>
      <c r="C120" s="3"/>
      <c r="D120" s="3"/>
      <c r="E120" s="112">
        <f>E118-E119</f>
        <v>-33996000</v>
      </c>
      <c r="F120" s="112">
        <f>F118-F119</f>
        <v>-86499000</v>
      </c>
      <c r="G120" s="112">
        <f>G118-G119</f>
        <v>63862000</v>
      </c>
      <c r="H120" s="112">
        <f>H118-H119</f>
        <v>63436000</v>
      </c>
      <c r="I120" s="54"/>
      <c r="J120" s="54"/>
      <c r="K120" s="54"/>
      <c r="L120" s="54"/>
      <c r="M120" s="54"/>
    </row>
    <row r="121" spans="1:14" hidden="1" outlineLevel="1" x14ac:dyDescent="0.35">
      <c r="A121" s="3"/>
      <c r="B121" s="3"/>
      <c r="C121" s="3"/>
      <c r="D121" s="3"/>
      <c r="E121" s="112"/>
      <c r="F121" s="112"/>
      <c r="G121" s="112"/>
      <c r="H121" s="112"/>
      <c r="I121" s="54"/>
      <c r="J121" s="54"/>
      <c r="K121" s="54"/>
      <c r="L121" s="54"/>
      <c r="M121" s="54"/>
    </row>
    <row r="122" spans="1:14" hidden="1" outlineLevel="1" x14ac:dyDescent="0.35">
      <c r="A122" s="3" t="s">
        <v>55</v>
      </c>
      <c r="L122" s="10"/>
      <c r="M122" s="10"/>
    </row>
    <row r="123" spans="1:14" hidden="1" outlineLevel="1" x14ac:dyDescent="0.35">
      <c r="A123" t="s">
        <v>514</v>
      </c>
      <c r="E123" s="59">
        <f>-SUMIFS(CashFlow[CapitalExpenditure],CashFlow[Ticker],$B$1,CashFlow[Year],E$2,CashFlow[periodType],"&lt;&gt;TTM")</f>
        <v>28600000</v>
      </c>
      <c r="F123" s="59">
        <f>-SUMIFS(CashFlow[CapitalExpenditure],CashFlow[Ticker],$B$1,CashFlow[Year],F$2,CashFlow[periodType],"&lt;&gt;TTM")</f>
        <v>36999000</v>
      </c>
      <c r="G123" s="59">
        <f>-SUMIFS(CashFlow[CapitalExpenditure],CashFlow[Ticker],$B$1,CashFlow[Year],G$2,CashFlow[periodType],"&lt;&gt;TTM")</f>
        <v>60117000</v>
      </c>
      <c r="H123" s="59">
        <f>-SUMIFS(CashFlow[CapitalExpenditure],CashFlow[Ticker],$B$1,CashFlow[Year],H$2,CashFlow[periodType],"&lt;&gt;TTM")</f>
        <v>55741000</v>
      </c>
      <c r="I123" s="73">
        <f>I154</f>
        <v>54401766.590058856</v>
      </c>
      <c r="J123" s="73">
        <f>J154</f>
        <v>59239192.030620389</v>
      </c>
      <c r="K123" s="73">
        <f>K154</f>
        <v>64108559.962272659</v>
      </c>
      <c r="L123" s="73">
        <f>L154</f>
        <v>68947247.378054753</v>
      </c>
      <c r="M123" s="73">
        <f>M154</f>
        <v>73224221.20768404</v>
      </c>
    </row>
    <row r="124" spans="1:14" hidden="1" outlineLevel="1" x14ac:dyDescent="0.35">
      <c r="A124" t="s">
        <v>516</v>
      </c>
      <c r="E124" s="59">
        <f>SUMIFS(CashFlow[SaleOfBusiness],CashFlow[Ticker],$B$1,CashFlow[Year],E$2,CashFlow[periodType],"&lt;&gt;TTM")</f>
        <v>0</v>
      </c>
      <c r="F124" s="59">
        <f>SUMIFS(CashFlow[SaleOfBusiness],CashFlow[Ticker],$B$1,CashFlow[Year],F$2,CashFlow[periodType],"&lt;&gt;TTM")</f>
        <v>0</v>
      </c>
      <c r="G124" s="59">
        <f>SUMIFS(CashFlow[SaleOfBusiness],CashFlow[Ticker],$B$1,CashFlow[Year],G$2,CashFlow[periodType],"&lt;&gt;TTM")</f>
        <v>0</v>
      </c>
      <c r="H124" s="59">
        <f>SUMIFS(CashFlow[SaleOfBusiness],CashFlow[Ticker],$B$1,CashFlow[Year],H$2,CashFlow[periodType],"&lt;&gt;TTM")</f>
        <v>0</v>
      </c>
      <c r="I124" s="73">
        <v>0</v>
      </c>
      <c r="J124" s="73">
        <v>0</v>
      </c>
      <c r="K124" s="73">
        <v>0</v>
      </c>
      <c r="L124" s="73">
        <v>0</v>
      </c>
      <c r="M124" s="73">
        <v>0</v>
      </c>
      <c r="N124" t="s">
        <v>620</v>
      </c>
    </row>
    <row r="125" spans="1:14" hidden="1" outlineLevel="1" x14ac:dyDescent="0.35">
      <c r="A125" s="58" t="s">
        <v>515</v>
      </c>
      <c r="B125" s="58"/>
      <c r="C125" s="58"/>
      <c r="D125" s="58"/>
      <c r="E125" s="60">
        <f>E127-E123</f>
        <v>6710000</v>
      </c>
      <c r="F125" s="60">
        <f>F127-F123</f>
        <v>213439000</v>
      </c>
      <c r="G125" s="60">
        <f>G127-G123</f>
        <v>215433000</v>
      </c>
      <c r="H125" s="60">
        <f>H127-H123</f>
        <v>-1425000</v>
      </c>
      <c r="I125" s="73">
        <f>AVERAGE(E125:H125)</f>
        <v>108539250</v>
      </c>
      <c r="J125" s="73">
        <f>AVERAGE(F125:I125)</f>
        <v>133996562.5</v>
      </c>
      <c r="K125" s="73">
        <f>AVERAGE(G125:J125)</f>
        <v>114135953.125</v>
      </c>
      <c r="L125" s="73">
        <f>AVERAGE(H125:K125)</f>
        <v>88811691.40625</v>
      </c>
      <c r="M125" s="73">
        <f>AVERAGE(I125:L125)</f>
        <v>111370864.2578125</v>
      </c>
      <c r="N125" t="s">
        <v>564</v>
      </c>
    </row>
    <row r="126" spans="1:14" ht="15" hidden="1" outlineLevel="1" thickBot="1" x14ac:dyDescent="0.4">
      <c r="A126" s="56" t="s">
        <v>57</v>
      </c>
      <c r="B126" s="56"/>
      <c r="C126" s="56"/>
      <c r="D126" s="56"/>
      <c r="E126" s="57">
        <f t="shared" ref="E126:M126" si="29">SUM(E123)-E124+E125</f>
        <v>35310000</v>
      </c>
      <c r="F126" s="57">
        <f t="shared" si="29"/>
        <v>250438000</v>
      </c>
      <c r="G126" s="57">
        <f t="shared" si="29"/>
        <v>275550000</v>
      </c>
      <c r="H126" s="57">
        <f t="shared" si="29"/>
        <v>54316000</v>
      </c>
      <c r="I126" s="57">
        <f t="shared" si="29"/>
        <v>162941016.59005886</v>
      </c>
      <c r="J126" s="57">
        <f t="shared" si="29"/>
        <v>193235754.5306204</v>
      </c>
      <c r="K126" s="57">
        <f t="shared" si="29"/>
        <v>178244513.08727264</v>
      </c>
      <c r="L126" s="57">
        <f t="shared" si="29"/>
        <v>157758938.78430474</v>
      </c>
      <c r="M126" s="57">
        <f t="shared" si="29"/>
        <v>184595085.46549654</v>
      </c>
    </row>
    <row r="127" spans="1:14" ht="15" hidden="1" outlineLevel="1" thickTop="1" x14ac:dyDescent="0.35">
      <c r="A127" s="3" t="s">
        <v>486</v>
      </c>
      <c r="B127" s="3"/>
      <c r="C127" s="3"/>
      <c r="D127" s="3"/>
      <c r="E127" s="54">
        <f>-SUMIFS(CashFlow[CashFlowFromContinuingInvestingActivities],CashFlow[Ticker],$B$1,CashFlow[Year],E2,CashFlow[periodType],"&lt;&gt;TTM")</f>
        <v>35310000</v>
      </c>
      <c r="F127" s="54">
        <f>-SUMIFS(CashFlow[CashFlowFromContinuingInvestingActivities],CashFlow[Ticker],$B$1,CashFlow[Year],F2,CashFlow[periodType],"&lt;&gt;TTM")</f>
        <v>250438000</v>
      </c>
      <c r="G127" s="54">
        <f>-SUMIFS(CashFlow[CashFlowFromContinuingInvestingActivities],CashFlow[Ticker],$B$1,CashFlow[Year],G2,CashFlow[periodType],"&lt;&gt;TTM")</f>
        <v>275550000</v>
      </c>
      <c r="H127" s="54">
        <f>-SUMIFS(CashFlow[CashFlowFromContinuingInvestingActivities],CashFlow[Ticker],$B$1,CashFlow[Year],H2,CashFlow[periodType],"&lt;&gt;TTM")</f>
        <v>54316000</v>
      </c>
      <c r="I127" s="54"/>
      <c r="J127" s="54"/>
      <c r="K127" s="54"/>
      <c r="L127" s="54"/>
      <c r="M127" s="54"/>
    </row>
    <row r="128" spans="1:14" hidden="1" outlineLevel="1" x14ac:dyDescent="0.35">
      <c r="L128" s="10"/>
      <c r="M128" s="10"/>
    </row>
    <row r="129" spans="1:14" hidden="1" outlineLevel="1" x14ac:dyDescent="0.35">
      <c r="A129" s="3" t="s">
        <v>58</v>
      </c>
      <c r="E129" s="79"/>
      <c r="F129" s="79"/>
      <c r="G129" s="79"/>
      <c r="H129" s="79"/>
      <c r="L129" s="10"/>
      <c r="M129" s="10"/>
    </row>
    <row r="130" spans="1:14" hidden="1" outlineLevel="1" x14ac:dyDescent="0.35">
      <c r="A130" t="s">
        <v>513</v>
      </c>
      <c r="E130" s="10">
        <f>-SUMIFS(CashFlow[CashDividendsPaid],CashFlow[Ticker],$B$1,CashFlow[Year],E$2,CashFlow[periodType],"&lt;&gt;TTM")</f>
        <v>24401000</v>
      </c>
      <c r="F130" s="10">
        <f>-SUMIFS(CashFlow[CashDividendsPaid],CashFlow[Ticker],$B$1,CashFlow[Year],F$2,CashFlow[periodType],"&lt;&gt;TTM")</f>
        <v>30651000</v>
      </c>
      <c r="G130" s="10">
        <f>-SUMIFS(CashFlow[CashDividendsPaid],CashFlow[Ticker],$B$1,CashFlow[Year],G$2,CashFlow[periodType],"&lt;&gt;TTM")</f>
        <v>34589000</v>
      </c>
      <c r="H130" s="10">
        <f>-SUMIFS(CashFlow[CashDividendsPaid],CashFlow[Ticker],$B$1,CashFlow[Year],H$2,CashFlow[periodType],"&lt;&gt;TTM")</f>
        <v>38667000</v>
      </c>
      <c r="I130" s="10">
        <f>I24*I31</f>
        <v>38862597.680140302</v>
      </c>
      <c r="J130" s="10">
        <f>J24*J31</f>
        <v>43350242.428751096</v>
      </c>
      <c r="K130" s="10">
        <f>K24*K31</f>
        <v>47454097.820418231</v>
      </c>
      <c r="L130" s="10">
        <f>L24*L31</f>
        <v>51108998.899036586</v>
      </c>
      <c r="M130" s="10">
        <f>M24*M31</f>
        <v>53593493.688344553</v>
      </c>
    </row>
    <row r="131" spans="1:14" hidden="1" outlineLevel="1" x14ac:dyDescent="0.35">
      <c r="A131" t="s">
        <v>59</v>
      </c>
      <c r="E131" s="10">
        <f>SUMIFS(CashFlow[NetIssuancePaymentsOfDebt],CashFlow[Ticker],$B$1,CashFlow[Year],E$2,CashFlow[periodType],"&lt;&gt;TTM")</f>
        <v>0</v>
      </c>
      <c r="F131" s="10">
        <f>SUMIFS(CashFlow[NetIssuancePaymentsOfDebt],CashFlow[Ticker],$B$1,CashFlow[Year],F$2,CashFlow[periodType],"&lt;&gt;TTM")</f>
        <v>0</v>
      </c>
      <c r="G131" s="10">
        <f>SUMIFS(CashFlow[NetIssuancePaymentsOfDebt],CashFlow[Ticker],$B$1,CashFlow[Year],G$2,CashFlow[periodType],"&lt;&gt;TTM")</f>
        <v>50000000</v>
      </c>
      <c r="H131" s="10">
        <f>SUMIFS(CashFlow[NetIssuancePaymentsOfDebt],CashFlow[Ticker],$B$1,CashFlow[Year],H$2,CashFlow[periodType],"&lt;&gt;TTM")</f>
        <v>-20000000</v>
      </c>
      <c r="I131" s="10">
        <f t="shared" ref="I131:M132" si="30">AVERAGE(E131:H131)</f>
        <v>7500000</v>
      </c>
      <c r="J131" s="10">
        <f t="shared" si="30"/>
        <v>9375000</v>
      </c>
      <c r="K131" s="10">
        <f t="shared" si="30"/>
        <v>11718750</v>
      </c>
      <c r="L131" s="10">
        <f t="shared" si="30"/>
        <v>2148437.5</v>
      </c>
      <c r="M131" s="10">
        <f t="shared" si="30"/>
        <v>7685546.875</v>
      </c>
      <c r="N131" t="s">
        <v>564</v>
      </c>
    </row>
    <row r="132" spans="1:14" hidden="1" outlineLevel="1" x14ac:dyDescent="0.35">
      <c r="A132" s="4" t="s">
        <v>60</v>
      </c>
      <c r="B132" s="4"/>
      <c r="C132" s="4"/>
      <c r="D132" s="4"/>
      <c r="E132" s="13">
        <f>SUMIFS(CashFlow[NetCommonStockIssuance],CashFlow[Ticker],$B$1,CashFlow[Year],E2,CashFlow[periodType],"&lt;&gt;TTM")</f>
        <v>23153000</v>
      </c>
      <c r="F132" s="13">
        <f>SUMIFS(CashFlow[NetCommonStockIssuance],CashFlow[Ticker],$B$1,CashFlow[Year],F2,CashFlow[periodType],"&lt;&gt;TTM")</f>
        <v>-26493000</v>
      </c>
      <c r="G132" s="13">
        <f>SUMIFS(CashFlow[NetCommonStockIssuance],CashFlow[Ticker],$B$1,CashFlow[Year],G2,CashFlow[periodType],"&lt;&gt;TTM")</f>
        <v>-73488000</v>
      </c>
      <c r="H132" s="13">
        <f>SUMIFS(CashFlow[NetCommonStockIssuance],CashFlow[Ticker],$B$1,CashFlow[Year],H2,CashFlow[periodType],"&lt;&gt;TTM")</f>
        <v>-28205000</v>
      </c>
      <c r="I132" s="13">
        <f t="shared" si="30"/>
        <v>-26258250</v>
      </c>
      <c r="J132" s="13">
        <f t="shared" si="30"/>
        <v>-38611062.5</v>
      </c>
      <c r="K132" s="13">
        <f t="shared" si="30"/>
        <v>-41640578.125</v>
      </c>
      <c r="L132" s="13">
        <f t="shared" si="30"/>
        <v>-33678722.65625</v>
      </c>
      <c r="M132" s="13">
        <f t="shared" si="30"/>
        <v>-35047153.3203125</v>
      </c>
      <c r="N132" t="s">
        <v>564</v>
      </c>
    </row>
    <row r="133" spans="1:14" ht="15" hidden="1" outlineLevel="1" thickBot="1" x14ac:dyDescent="0.4">
      <c r="A133" s="6" t="s">
        <v>61</v>
      </c>
      <c r="B133" s="6"/>
      <c r="C133" s="6"/>
      <c r="D133" s="6"/>
      <c r="E133" s="15">
        <f>SUM(E130:E132)</f>
        <v>47554000</v>
      </c>
      <c r="F133" s="15">
        <f t="shared" ref="F133:M133" si="31">SUM(F130:F132)</f>
        <v>4158000</v>
      </c>
      <c r="G133" s="15">
        <f t="shared" si="31"/>
        <v>11101000</v>
      </c>
      <c r="H133" s="15">
        <f t="shared" si="31"/>
        <v>-9538000</v>
      </c>
      <c r="I133" s="15">
        <f t="shared" si="31"/>
        <v>20104347.680140302</v>
      </c>
      <c r="J133" s="15">
        <f t="shared" si="31"/>
        <v>14114179.928751096</v>
      </c>
      <c r="K133" s="15">
        <f t="shared" si="31"/>
        <v>17532269.695418231</v>
      </c>
      <c r="L133" s="15">
        <f t="shared" si="31"/>
        <v>19578713.742786586</v>
      </c>
      <c r="M133" s="15">
        <f t="shared" si="31"/>
        <v>26231887.243032053</v>
      </c>
    </row>
    <row r="134" spans="1:14" ht="15" hidden="1" outlineLevel="1" thickTop="1" x14ac:dyDescent="0.35">
      <c r="A134" s="3" t="s">
        <v>487</v>
      </c>
      <c r="B134" s="3"/>
      <c r="C134" s="3"/>
      <c r="D134" s="3"/>
      <c r="E134" s="54">
        <f>SUMIFS(CashFlow[CashFlowFromContinuingFinancingActivities],CashFlow[Ticker],$B$1,CashFlow[Year],E2,CashFlow[periodType],"&lt;&gt;TTM")</f>
        <v>-4587000</v>
      </c>
      <c r="F134" s="54">
        <f>SUMIFS(CashFlow[CashFlowFromContinuingFinancingActivities],CashFlow[Ticker],$B$1,CashFlow[Year],F2,CashFlow[periodType],"&lt;&gt;TTM")</f>
        <v>-77722000</v>
      </c>
      <c r="G134" s="54">
        <f>SUMIFS(CashFlow[CashFlowFromContinuingFinancingActivities],CashFlow[Ticker],$B$1,CashFlow[Year],G2,CashFlow[periodType],"&lt;&gt;TTM")</f>
        <v>-79487000</v>
      </c>
      <c r="H134" s="54">
        <f>SUMIFS(CashFlow[CashFlowFromContinuingFinancingActivities],CashFlow[Ticker],$B$1,CashFlow[Year],H2,CashFlow[periodType],"&lt;&gt;TTM")</f>
        <v>-102704000</v>
      </c>
      <c r="I134" s="54"/>
      <c r="J134" s="54"/>
      <c r="K134" s="54"/>
      <c r="L134" s="54"/>
      <c r="M134" s="54"/>
    </row>
    <row r="135" spans="1:14" hidden="1" outlineLevel="1" x14ac:dyDescent="0.35">
      <c r="L135" s="10"/>
      <c r="M135" s="10"/>
    </row>
    <row r="136" spans="1:14" hidden="1" outlineLevel="1" x14ac:dyDescent="0.35">
      <c r="A136" t="s">
        <v>510</v>
      </c>
      <c r="E136" s="48">
        <f>SUMIFS(CashFlow[ChangesInCash],CashFlow[Ticker],$B$1,CashFlow[Year],E2,CashFlow[periodType],"&lt;&gt;TTM")</f>
        <v>125175000</v>
      </c>
      <c r="F136" s="48">
        <f>SUMIFS(CashFlow[ChangesInCash],CashFlow[Ticker],$B$1,CashFlow[Year],F2,CashFlow[periodType],"&lt;&gt;TTM")</f>
        <v>-111788000</v>
      </c>
      <c r="G136" s="48">
        <f>SUMIFS(CashFlow[ChangesInCash],CashFlow[Ticker],$B$1,CashFlow[Year],G2,CashFlow[periodType],"&lt;&gt;TTM")</f>
        <v>-196586000</v>
      </c>
      <c r="H136" s="48">
        <f>SUMIFS(CashFlow[ChangesInCash],CashFlow[Ticker],$B$1,CashFlow[Year],H2,CashFlow[periodType],"&lt;&gt;TTM")</f>
        <v>-16468000</v>
      </c>
      <c r="I136" s="17">
        <f>I118-I126+I133</f>
        <v>62898254.968917057</v>
      </c>
      <c r="J136" s="17">
        <f>J118-J126+J133</f>
        <v>35372604.32009922</v>
      </c>
      <c r="K136" s="17">
        <f>K118-K126+K133</f>
        <v>68510618.707653314</v>
      </c>
      <c r="L136" s="17">
        <f>L118-L126+L133</f>
        <v>106358347.21976882</v>
      </c>
      <c r="M136" s="17">
        <f>M118-M126+M133</f>
        <v>99153234.578317299</v>
      </c>
    </row>
    <row r="137" spans="1:14" hidden="1" outlineLevel="1" x14ac:dyDescent="0.35">
      <c r="A137" t="s">
        <v>509</v>
      </c>
      <c r="E137" s="111">
        <f>SUMIFS(CashFlow[BeginningCashPosition],CashFlow[Ticker],$B$1,CashFlow[Year],E2,CashFlow[periodType],"&lt;&gt;TTM")</f>
        <v>305874000</v>
      </c>
      <c r="F137" s="111">
        <f>SUMIFS(CashFlow[BeginningCashPosition],CashFlow[Ticker],$B$1,CashFlow[Year],F2,CashFlow[periodType],"&lt;&gt;TTM")</f>
        <v>428574000</v>
      </c>
      <c r="G137" s="111">
        <f>SUMIFS(CashFlow[BeginningCashPosition],CashFlow[Ticker],$B$1,CashFlow[Year],G2,CashFlow[periodType],"&lt;&gt;TTM")</f>
        <v>314017000</v>
      </c>
      <c r="H137" s="111">
        <f>SUMIFS(CashFlow[BeginningCashPosition],CashFlow[Ticker],$B$1,CashFlow[Year],H2,CashFlow[periodType],"&lt;&gt;TTM")</f>
        <v>115154000</v>
      </c>
      <c r="I137" s="73">
        <f>H138</f>
        <v>98686000</v>
      </c>
      <c r="J137" s="73">
        <f>I138</f>
        <v>161584254.96891707</v>
      </c>
      <c r="K137" s="73">
        <f>J138</f>
        <v>196956859.28901631</v>
      </c>
      <c r="L137" s="73">
        <f>K138</f>
        <v>265467477.99666962</v>
      </c>
      <c r="M137" s="73">
        <f>L138</f>
        <v>371825825.21643841</v>
      </c>
    </row>
    <row r="138" spans="1:14" ht="15" hidden="1" outlineLevel="1" thickBot="1" x14ac:dyDescent="0.4">
      <c r="A138" s="56" t="s">
        <v>64</v>
      </c>
      <c r="B138" s="56"/>
      <c r="C138" s="56"/>
      <c r="D138" s="56"/>
      <c r="E138" s="57">
        <f>SUM(E136)+E137</f>
        <v>431049000</v>
      </c>
      <c r="F138" s="57">
        <f>SUM(F136)+F137</f>
        <v>316786000</v>
      </c>
      <c r="G138" s="57">
        <f>SUM(G136)+G137</f>
        <v>117431000</v>
      </c>
      <c r="H138" s="57">
        <f>SUM(H136)+H137</f>
        <v>98686000</v>
      </c>
      <c r="I138" s="57">
        <f>SUM(I136:I137)</f>
        <v>161584254.96891707</v>
      </c>
      <c r="J138" s="57">
        <f>SUM(J136:J137)</f>
        <v>196956859.28901631</v>
      </c>
      <c r="K138" s="57">
        <f>SUM(K136:K137)</f>
        <v>265467477.99666962</v>
      </c>
      <c r="L138" s="57">
        <f>SUM(L136:L137)</f>
        <v>371825825.21643841</v>
      </c>
      <c r="M138" s="57">
        <f>SUM(M136:M137)</f>
        <v>470979059.7947557</v>
      </c>
    </row>
    <row r="139" spans="1:14" ht="15" hidden="1" outlineLevel="1" thickTop="1" x14ac:dyDescent="0.35">
      <c r="A139" s="61" t="s">
        <v>488</v>
      </c>
      <c r="B139" s="61"/>
      <c r="C139" s="61"/>
      <c r="D139" s="61"/>
      <c r="E139" s="89">
        <f>SUMIFS(CashFlow[EndCashPosition],CashFlow[Ticker],$B$1,CashFlow[Year],E2,CashFlow[periodType],"&lt;&gt;TTM")</f>
        <v>428574000</v>
      </c>
      <c r="F139" s="89">
        <f>SUMIFS(CashFlow[EndCashPosition],CashFlow[Ticker],$B$1,CashFlow[Year],F2,CashFlow[periodType],"&lt;&gt;TTM")</f>
        <v>314017000</v>
      </c>
      <c r="G139" s="89">
        <f>SUMIFS(CashFlow[EndCashPosition],CashFlow[Ticker],$B$1,CashFlow[Year],G2,CashFlow[periodType],"&lt;&gt;TTM")</f>
        <v>115154000</v>
      </c>
      <c r="H139" s="89">
        <f>SUMIFS(CashFlow[EndCashPosition],CashFlow[Ticker],$B$1,CashFlow[Year],H2,CashFlow[periodType],"&lt;&gt;TTM")</f>
        <v>100490000</v>
      </c>
      <c r="I139" s="54"/>
      <c r="J139" s="54"/>
      <c r="K139" s="54"/>
      <c r="L139" s="54"/>
      <c r="M139" s="54"/>
    </row>
    <row r="140" spans="1:14" hidden="1" outlineLevel="1" x14ac:dyDescent="0.35">
      <c r="L140" s="10"/>
      <c r="M140" s="10"/>
    </row>
    <row r="141" spans="1:14" hidden="1" outlineLevel="1" x14ac:dyDescent="0.35">
      <c r="A141" t="s">
        <v>50</v>
      </c>
      <c r="E141" s="10">
        <f t="shared" ref="E141:M141" si="32">E138-E53</f>
        <v>2475000</v>
      </c>
      <c r="F141" s="10">
        <f t="shared" si="32"/>
        <v>2769000</v>
      </c>
      <c r="G141" s="10">
        <f t="shared" si="32"/>
        <v>2277000</v>
      </c>
      <c r="H141" s="10">
        <f t="shared" si="32"/>
        <v>-1804000</v>
      </c>
      <c r="I141" s="10">
        <f t="shared" si="32"/>
        <v>0</v>
      </c>
      <c r="J141" s="10">
        <f t="shared" si="32"/>
        <v>0</v>
      </c>
      <c r="K141" s="10">
        <f t="shared" si="32"/>
        <v>0</v>
      </c>
      <c r="L141" s="10">
        <f t="shared" si="32"/>
        <v>0</v>
      </c>
      <c r="M141" s="10">
        <f t="shared" si="32"/>
        <v>0</v>
      </c>
    </row>
    <row r="142" spans="1:14" collapsed="1" x14ac:dyDescent="0.35">
      <c r="E142" s="78"/>
      <c r="L142" s="10"/>
      <c r="M142" s="10"/>
    </row>
    <row r="143" spans="1:14" x14ac:dyDescent="0.35">
      <c r="A143" s="2" t="s">
        <v>8</v>
      </c>
      <c r="B143" s="2"/>
      <c r="C143" s="2"/>
      <c r="D143" s="2"/>
      <c r="E143" s="11"/>
      <c r="F143" s="11"/>
      <c r="G143" s="11"/>
      <c r="H143" s="11"/>
      <c r="I143" s="11"/>
      <c r="J143" s="11"/>
      <c r="K143" s="11"/>
      <c r="L143" s="11"/>
      <c r="M143" s="11"/>
    </row>
    <row r="144" spans="1:14" hidden="1" outlineLevel="1" x14ac:dyDescent="0.35">
      <c r="A144" s="3" t="s">
        <v>614</v>
      </c>
      <c r="L144" s="10"/>
      <c r="M144" s="10"/>
    </row>
    <row r="145" spans="1:13" hidden="1" outlineLevel="1" x14ac:dyDescent="0.35">
      <c r="A145" t="s">
        <v>38</v>
      </c>
      <c r="E145" s="17">
        <f t="shared" ref="E145:H146" si="33">E54</f>
        <v>43846000</v>
      </c>
      <c r="F145" s="17">
        <f t="shared" si="33"/>
        <v>47707000</v>
      </c>
      <c r="G145" s="17">
        <f t="shared" si="33"/>
        <v>67249000</v>
      </c>
      <c r="H145" s="17">
        <f t="shared" si="33"/>
        <v>91139000</v>
      </c>
      <c r="I145" s="17">
        <f t="shared" ref="I145:M146" si="34">I16*(I31/365)</f>
        <v>74956550.066842347</v>
      </c>
      <c r="J145" s="17">
        <f t="shared" si="34"/>
        <v>81621714.545091614</v>
      </c>
      <c r="K145" s="17">
        <f t="shared" si="34"/>
        <v>88330890.442138061</v>
      </c>
      <c r="L145" s="17">
        <f t="shared" si="34"/>
        <v>94997793.711509973</v>
      </c>
      <c r="M145" s="17">
        <f t="shared" si="34"/>
        <v>100890749.45706411</v>
      </c>
    </row>
    <row r="146" spans="1:13" hidden="1" outlineLevel="1" x14ac:dyDescent="0.35">
      <c r="A146" s="4" t="s">
        <v>39</v>
      </c>
      <c r="B146" s="4"/>
      <c r="C146" s="4"/>
      <c r="D146" s="4"/>
      <c r="E146" s="18">
        <f t="shared" si="33"/>
        <v>0</v>
      </c>
      <c r="F146" s="18">
        <f t="shared" si="33"/>
        <v>0</v>
      </c>
      <c r="G146" s="18">
        <f t="shared" si="33"/>
        <v>0</v>
      </c>
      <c r="H146" s="18">
        <f t="shared" si="33"/>
        <v>0</v>
      </c>
      <c r="I146" s="18">
        <f t="shared" si="34"/>
        <v>0</v>
      </c>
      <c r="J146" s="18">
        <f t="shared" si="34"/>
        <v>0</v>
      </c>
      <c r="K146" s="18">
        <f t="shared" si="34"/>
        <v>0</v>
      </c>
      <c r="L146" s="18">
        <f t="shared" si="34"/>
        <v>0</v>
      </c>
      <c r="M146" s="18">
        <f t="shared" si="34"/>
        <v>0</v>
      </c>
    </row>
    <row r="147" spans="1:13" hidden="1" outlineLevel="1" x14ac:dyDescent="0.35">
      <c r="A147" t="s">
        <v>43</v>
      </c>
      <c r="E147" s="73">
        <f>E71</f>
        <v>45942000</v>
      </c>
      <c r="F147" s="73">
        <f>F71</f>
        <v>60584000</v>
      </c>
      <c r="G147" s="73">
        <f>G71</f>
        <v>70222000</v>
      </c>
      <c r="H147" s="73">
        <f>H71</f>
        <v>87669000</v>
      </c>
      <c r="I147" s="73">
        <f>I19*(I32/365)</f>
        <v>79528015.326188698</v>
      </c>
      <c r="J147" s="73">
        <f>J19*(J32/365)</f>
        <v>86599676.2057928</v>
      </c>
      <c r="K147" s="73">
        <f>K19*(K32/365)</f>
        <v>93718032.681519046</v>
      </c>
      <c r="L147" s="73">
        <f>L19*(L32/365)</f>
        <v>100791538.397991</v>
      </c>
      <c r="M147" s="73">
        <f>M19*(M32/365)</f>
        <v>107043894.92228487</v>
      </c>
    </row>
    <row r="148" spans="1:13" hidden="1" outlineLevel="1" x14ac:dyDescent="0.35">
      <c r="A148" s="4" t="s">
        <v>490</v>
      </c>
      <c r="D148" s="114"/>
      <c r="E148" s="73">
        <f>SUMIFS(BalanceSheet[CurrentAccruedExpenses],BalanceSheet[Ticker],$B$1,BalanceSheet[Year],E2,BalanceSheet[periodType],"&lt;&gt;TTM")</f>
        <v>19246000</v>
      </c>
      <c r="F148" s="73">
        <f>SUMIFS(BalanceSheet[CurrentAccruedExpenses],BalanceSheet[Ticker],$B$1,BalanceSheet[Year],F2,BalanceSheet[periodType],"&lt;&gt;TTM")</f>
        <v>34512000</v>
      </c>
      <c r="G148" s="73">
        <f>SUMIFS(BalanceSheet[CurrentAccruedExpenses],BalanceSheet[Ticker],$B$1,BalanceSheet[Year],G2,BalanceSheet[periodType],"&lt;&gt;TTM")</f>
        <v>24683000</v>
      </c>
      <c r="H148" s="73">
        <f>SUMIFS(BalanceSheet[CurrentAccruedExpenses],BalanceSheet[Ticker],$B$1,BalanceSheet[Year],H2,BalanceSheet[periodType],"&lt;&gt;TTM")</f>
        <v>31989000</v>
      </c>
      <c r="I148" s="73">
        <f>I22*I32</f>
        <v>33718688.555059232</v>
      </c>
      <c r="J148" s="73">
        <f>J22*J32</f>
        <v>36716966.957812808</v>
      </c>
      <c r="K148" s="73">
        <f>K22*K32</f>
        <v>39735043.594636194</v>
      </c>
      <c r="L148" s="73">
        <f>L22*L32</f>
        <v>42734104.180618249</v>
      </c>
      <c r="M148" s="73">
        <f>M22*M32</f>
        <v>45385009.795616455</v>
      </c>
    </row>
    <row r="149" spans="1:13" hidden="1" outlineLevel="1" x14ac:dyDescent="0.35">
      <c r="A149" t="s">
        <v>69</v>
      </c>
      <c r="B149" s="74"/>
      <c r="C149" s="74"/>
      <c r="D149" s="74"/>
      <c r="E149" s="75">
        <f t="shared" ref="E149:M149" si="35">SUM(E145:E146)-SUM(E147:E148)</f>
        <v>-21342000</v>
      </c>
      <c r="F149" s="75">
        <f t="shared" si="35"/>
        <v>-47389000</v>
      </c>
      <c r="G149" s="75">
        <f t="shared" si="35"/>
        <v>-27656000</v>
      </c>
      <c r="H149" s="75">
        <f t="shared" si="35"/>
        <v>-28519000</v>
      </c>
      <c r="I149" s="75">
        <f t="shared" si="35"/>
        <v>-38290153.81440559</v>
      </c>
      <c r="J149" s="75">
        <f t="shared" si="35"/>
        <v>-41694928.618513986</v>
      </c>
      <c r="K149" s="75">
        <f t="shared" si="35"/>
        <v>-45122185.834017172</v>
      </c>
      <c r="L149" s="75">
        <f t="shared" si="35"/>
        <v>-48527848.867099285</v>
      </c>
      <c r="M149" s="75">
        <f t="shared" si="35"/>
        <v>-51538155.260837212</v>
      </c>
    </row>
    <row r="150" spans="1:13" ht="15" hidden="1" outlineLevel="1" thickBot="1" x14ac:dyDescent="0.4">
      <c r="A150" s="125" t="s">
        <v>68</v>
      </c>
      <c r="B150" s="125"/>
      <c r="C150" s="125"/>
      <c r="D150" s="125"/>
      <c r="E150" s="126">
        <v>0</v>
      </c>
      <c r="F150" s="127">
        <f t="shared" ref="F150:M150" si="36">F149-E149</f>
        <v>-26047000</v>
      </c>
      <c r="G150" s="127">
        <f t="shared" si="36"/>
        <v>19733000</v>
      </c>
      <c r="H150" s="128">
        <f t="shared" si="36"/>
        <v>-863000</v>
      </c>
      <c r="I150" s="128">
        <f t="shared" si="36"/>
        <v>-9771153.8144055903</v>
      </c>
      <c r="J150" s="128">
        <f t="shared" si="36"/>
        <v>-3404774.8041083962</v>
      </c>
      <c r="K150" s="128">
        <f t="shared" si="36"/>
        <v>-3427257.215503186</v>
      </c>
      <c r="L150" s="128">
        <f t="shared" si="36"/>
        <v>-3405663.0330821127</v>
      </c>
      <c r="M150" s="128">
        <f t="shared" si="36"/>
        <v>-3010306.3937379271</v>
      </c>
    </row>
    <row r="151" spans="1:13" ht="15" hidden="1" outlineLevel="1" thickTop="1" x14ac:dyDescent="0.35">
      <c r="E151" s="65"/>
      <c r="F151" s="65"/>
      <c r="G151" s="65"/>
      <c r="H151" s="65"/>
      <c r="L151" s="10"/>
      <c r="M151" s="10"/>
    </row>
    <row r="152" spans="1:13" hidden="1" outlineLevel="1" x14ac:dyDescent="0.35">
      <c r="A152" s="3" t="s">
        <v>70</v>
      </c>
      <c r="L152" s="10"/>
      <c r="M152" s="10"/>
    </row>
    <row r="153" spans="1:13" hidden="1" outlineLevel="1" x14ac:dyDescent="0.35">
      <c r="A153" t="s">
        <v>71</v>
      </c>
      <c r="E153" s="17">
        <f>E157+E155-E154</f>
        <v>275069000</v>
      </c>
      <c r="F153" s="17">
        <f>F157+F155-F154</f>
        <v>297462000</v>
      </c>
      <c r="G153" s="17">
        <f>G157+G155-G154</f>
        <v>315976000</v>
      </c>
      <c r="H153" s="17">
        <f>H157+H155-H154</f>
        <v>377838000</v>
      </c>
      <c r="I153" s="17">
        <f>H156</f>
        <v>353850000</v>
      </c>
      <c r="J153" s="17">
        <f>I156</f>
        <v>336631282.56118166</v>
      </c>
      <c r="K153" s="17">
        <f>J156</f>
        <v>317881470.325019</v>
      </c>
      <c r="L153" s="17">
        <f>K156</f>
        <v>297590453.16526318</v>
      </c>
      <c r="M153" s="17">
        <f>L156</f>
        <v>275767941.78005433</v>
      </c>
    </row>
    <row r="154" spans="1:13" hidden="1" outlineLevel="1" x14ac:dyDescent="0.35">
      <c r="A154" s="55" t="s">
        <v>72</v>
      </c>
      <c r="B154" s="77"/>
      <c r="C154" s="67"/>
      <c r="E154" s="85">
        <f>-SUMIFS(CashFlow[CapitalExpenditure],CashFlow[Ticker],$B$1,CashFlow[Year],E2,CashFlow[periodType],"&lt;&gt;TTM")</f>
        <v>28600000</v>
      </c>
      <c r="F154" s="85">
        <f>-SUMIFS(CashFlow[CapitalExpenditure],CashFlow[Ticker],$B$1,CashFlow[Year],F2,CashFlow[periodType],"&lt;&gt;TTM")</f>
        <v>36999000</v>
      </c>
      <c r="G154" s="85">
        <f>-SUMIFS(CashFlow[CapitalExpenditure],CashFlow[Ticker],$B$1,CashFlow[Year],G2,CashFlow[periodType],"&lt;&gt;TTM")</f>
        <v>60117000</v>
      </c>
      <c r="H154" s="85">
        <f>-SUMIFS(CashFlow[CapitalExpenditure],CashFlow[Ticker],$B$1,CashFlow[Year],H2,CashFlow[periodType],"&lt;&gt;TTM")</f>
        <v>55741000</v>
      </c>
      <c r="I154" s="17">
        <f>I31*I20</f>
        <v>54401766.590058856</v>
      </c>
      <c r="J154" s="17">
        <f>J31*J20</f>
        <v>59239192.030620389</v>
      </c>
      <c r="K154" s="17">
        <f>K31*K20</f>
        <v>64108559.962272659</v>
      </c>
      <c r="L154" s="17">
        <f>L31*L20</f>
        <v>68947247.378054753</v>
      </c>
      <c r="M154" s="17">
        <f>M31*M20</f>
        <v>73224221.20768404</v>
      </c>
    </row>
    <row r="155" spans="1:13" hidden="1" outlineLevel="1" x14ac:dyDescent="0.35">
      <c r="A155" s="4" t="s">
        <v>73</v>
      </c>
      <c r="B155" s="4"/>
      <c r="C155" s="4"/>
      <c r="D155" s="4"/>
      <c r="E155" s="115">
        <f>SUMIFS(CashFlow[DepreciationAndAmortization],CashFlow[Ticker],$B$1,CashFlow[Year],E2,CashFlow[periodType],"&lt;&gt;TTM")</f>
        <v>41359000</v>
      </c>
      <c r="F155" s="115">
        <f>SUMIFS(CashFlow[DepreciationAndAmortization],CashFlow[Ticker],$B$1,CashFlow[Year],F2,CashFlow[periodType],"&lt;&gt;TTM")</f>
        <v>48771000</v>
      </c>
      <c r="G155" s="115">
        <f>SUMIFS(CashFlow[DepreciationAndAmortization],CashFlow[Ticker],$B$1,CashFlow[Year],G2,CashFlow[periodType],"&lt;&gt;TTM")</f>
        <v>68470000</v>
      </c>
      <c r="H155" s="115">
        <f>SUMIFS(CashFlow[DepreciationAndAmortization],CashFlow[Ticker],$B$1,CashFlow[Year],H2,CashFlow[periodType],"&lt;&gt;TTM")</f>
        <v>79729000</v>
      </c>
      <c r="I155" s="18">
        <f>IF($D$11&lt;$D$10,I11*I31,I10*I153)</f>
        <v>71620484.028877199</v>
      </c>
      <c r="J155" s="18">
        <f>IF($D$11&lt;$D$10,J11*J31,J10*J153)</f>
        <v>77989004.266783074</v>
      </c>
      <c r="K155" s="18">
        <f>IF($D$11&lt;$D$10,K11*K31,K10*K153)</f>
        <v>84399577.122028485</v>
      </c>
      <c r="L155" s="18">
        <f>IF($D$11&lt;$D$10,L11*L31,L10*L153)</f>
        <v>90769758.763263598</v>
      </c>
      <c r="M155" s="18">
        <f>IF($D$11&lt;$D$10,M11*M31,M10*M153)</f>
        <v>96400438.70358865</v>
      </c>
    </row>
    <row r="156" spans="1:13" hidden="1" outlineLevel="1" x14ac:dyDescent="0.35">
      <c r="A156" t="s">
        <v>74</v>
      </c>
      <c r="E156" s="48">
        <f t="shared" ref="E156:M156" si="37">E153+SUM(E154:E154)-E155</f>
        <v>262310000</v>
      </c>
      <c r="F156" s="48">
        <f t="shared" si="37"/>
        <v>285690000</v>
      </c>
      <c r="G156" s="48">
        <f t="shared" si="37"/>
        <v>307623000</v>
      </c>
      <c r="H156" s="48">
        <f t="shared" si="37"/>
        <v>353850000</v>
      </c>
      <c r="I156" s="48">
        <f t="shared" si="37"/>
        <v>336631282.56118166</v>
      </c>
      <c r="J156" s="48">
        <f t="shared" si="37"/>
        <v>317881470.325019</v>
      </c>
      <c r="K156" s="48">
        <f t="shared" si="37"/>
        <v>297590453.16526318</v>
      </c>
      <c r="L156" s="48">
        <f t="shared" si="37"/>
        <v>275767941.78005433</v>
      </c>
      <c r="M156" s="48">
        <f t="shared" si="37"/>
        <v>252591724.28414971</v>
      </c>
    </row>
    <row r="157" spans="1:13" hidden="1" outlineLevel="1" x14ac:dyDescent="0.35">
      <c r="A157" t="s">
        <v>505</v>
      </c>
      <c r="E157" s="10">
        <f>SUMIFS(BalanceSheet[GrossPPE],BalanceSheet[Ticker],$B$1,BalanceSheet[Year],E2,BalanceSheet[periodType],"&lt;&gt;TTM")</f>
        <v>262310000</v>
      </c>
      <c r="F157" s="10">
        <f>SUMIFS(BalanceSheet[GrossPPE],BalanceSheet[Ticker],$B$1,BalanceSheet[Year],F2,BalanceSheet[periodType],"&lt;&gt;TTM")</f>
        <v>285690000</v>
      </c>
      <c r="G157" s="10">
        <f>SUMIFS(BalanceSheet[GrossPPE],BalanceSheet[Ticker],$B$1,BalanceSheet[Year],G2,BalanceSheet[periodType],"&lt;&gt;TTM")</f>
        <v>307623000</v>
      </c>
      <c r="H157" s="10">
        <f>SUMIFS(BalanceSheet[GrossPPE],BalanceSheet[Ticker],$B$1,BalanceSheet[Year],H2,BalanceSheet[periodType],"&lt;&gt;TTM")</f>
        <v>353850000</v>
      </c>
      <c r="L157" s="10"/>
      <c r="M157" s="10"/>
    </row>
    <row r="158" spans="1:13" hidden="1" outlineLevel="1" x14ac:dyDescent="0.35">
      <c r="L158" s="10"/>
      <c r="M158" s="10"/>
    </row>
    <row r="159" spans="1:13" hidden="1" outlineLevel="1" x14ac:dyDescent="0.35">
      <c r="A159" s="3" t="s">
        <v>75</v>
      </c>
      <c r="L159" s="10"/>
      <c r="M159" s="10"/>
    </row>
    <row r="160" spans="1:13" hidden="1" outlineLevel="1" x14ac:dyDescent="0.35">
      <c r="A160" t="s">
        <v>76</v>
      </c>
      <c r="E160" s="17">
        <v>0</v>
      </c>
      <c r="F160" s="17">
        <f>E163</f>
        <v>41620000</v>
      </c>
      <c r="G160" s="17">
        <f t="shared" ref="G160:M160" si="38">F162</f>
        <v>41620000</v>
      </c>
      <c r="H160" s="17">
        <f t="shared" si="38"/>
        <v>91620000</v>
      </c>
      <c r="I160" s="17">
        <f t="shared" si="38"/>
        <v>71620000</v>
      </c>
      <c r="J160" s="17">
        <f t="shared" si="38"/>
        <v>71620000</v>
      </c>
      <c r="K160" s="17">
        <f t="shared" si="38"/>
        <v>71620000</v>
      </c>
      <c r="L160" s="17">
        <f t="shared" si="38"/>
        <v>121620000</v>
      </c>
      <c r="M160" s="17">
        <f t="shared" si="38"/>
        <v>101620000</v>
      </c>
    </row>
    <row r="161" spans="1:13" hidden="1" outlineLevel="1" x14ac:dyDescent="0.35">
      <c r="A161" s="4" t="s">
        <v>77</v>
      </c>
      <c r="B161" s="4"/>
      <c r="C161" s="4"/>
      <c r="D161" s="4"/>
      <c r="E161" s="18">
        <f>SUMIFS(CashFlow[NetIssuancePaymentsOfDebt],CashFlow[Ticker],$B$1,CashFlow[Year],E$2,CashFlow[periodType],"&lt;&gt;TTM")</f>
        <v>0</v>
      </c>
      <c r="F161" s="18">
        <f>SUMIFS(CashFlow[NetIssuancePaymentsOfDebt],CashFlow[Ticker],$B$1,CashFlow[Year],F$2,CashFlow[periodType],"&lt;&gt;TTM")</f>
        <v>0</v>
      </c>
      <c r="G161" s="18">
        <f>SUMIFS(CashFlow[NetIssuancePaymentsOfDebt],CashFlow[Ticker],$B$1,CashFlow[Year],G$2,CashFlow[periodType],"&lt;&gt;TTM")</f>
        <v>50000000</v>
      </c>
      <c r="H161" s="18">
        <f>SUMIFS(CashFlow[NetIssuancePaymentsOfDebt],CashFlow[Ticker],$B$1,CashFlow[Year],H$2,CashFlow[periodType],"&lt;&gt;TTM")</f>
        <v>-20000000</v>
      </c>
      <c r="I161" s="39">
        <f>I26</f>
        <v>0</v>
      </c>
      <c r="J161" s="39">
        <f>J26</f>
        <v>0</v>
      </c>
      <c r="K161" s="39">
        <f>K26</f>
        <v>50000000</v>
      </c>
      <c r="L161" s="39">
        <f>L26</f>
        <v>-20000000</v>
      </c>
      <c r="M161" s="39">
        <f>M26</f>
        <v>0</v>
      </c>
    </row>
    <row r="162" spans="1:13" hidden="1" outlineLevel="1" x14ac:dyDescent="0.35">
      <c r="A162" t="s">
        <v>78</v>
      </c>
      <c r="E162" s="10">
        <f t="shared" ref="E162:M162" si="39">SUM(E160:E161)</f>
        <v>0</v>
      </c>
      <c r="F162" s="10">
        <f t="shared" si="39"/>
        <v>41620000</v>
      </c>
      <c r="G162" s="10">
        <f t="shared" si="39"/>
        <v>91620000</v>
      </c>
      <c r="H162" s="10">
        <f t="shared" si="39"/>
        <v>71620000</v>
      </c>
      <c r="I162" s="10">
        <f t="shared" si="39"/>
        <v>71620000</v>
      </c>
      <c r="J162" s="10">
        <f t="shared" si="39"/>
        <v>71620000</v>
      </c>
      <c r="K162" s="10">
        <f t="shared" si="39"/>
        <v>121620000</v>
      </c>
      <c r="L162" s="10">
        <f t="shared" si="39"/>
        <v>101620000</v>
      </c>
      <c r="M162" s="10">
        <f t="shared" si="39"/>
        <v>101620000</v>
      </c>
    </row>
    <row r="163" spans="1:13" hidden="1" outlineLevel="1" x14ac:dyDescent="0.35">
      <c r="A163" t="s">
        <v>606</v>
      </c>
      <c r="E163" s="133">
        <f>SUMIFS(BalanceSheet[TotalDebt],BalanceSheet[Ticker],$B$1,BalanceSheet[Year],E$2,BalanceSheet[periodType],"&lt;&gt;TTM")</f>
        <v>41620000</v>
      </c>
      <c r="F163" s="133">
        <f>SUMIFS(BalanceSheet[TotalDebt],BalanceSheet[Ticker],$B$1,BalanceSheet[Year],F$2,BalanceSheet[periodType],"&lt;&gt;TTM")</f>
        <v>36966000</v>
      </c>
      <c r="G163" s="133">
        <f>SUMIFS(BalanceSheet[TotalDebt],BalanceSheet[Ticker],$B$1,BalanceSheet[Year],G$2,BalanceSheet[periodType],"&lt;&gt;TTM")</f>
        <v>85611000</v>
      </c>
      <c r="H163" s="133">
        <f>SUMIFS(BalanceSheet[TotalDebt],BalanceSheet[Ticker],$B$1,BalanceSheet[Year],H$2,BalanceSheet[periodType],"&lt;&gt;TTM")</f>
        <v>59404000</v>
      </c>
      <c r="I163" s="133"/>
      <c r="J163" s="133"/>
      <c r="K163" s="133"/>
      <c r="L163" s="133"/>
      <c r="M163" s="133"/>
    </row>
    <row r="164" spans="1:13" hidden="1" outlineLevel="1" x14ac:dyDescent="0.35">
      <c r="A164" t="s">
        <v>79</v>
      </c>
      <c r="E164" s="17">
        <f t="shared" ref="E164:M164" si="40">E162*E12</f>
        <v>0</v>
      </c>
      <c r="F164" s="17">
        <f t="shared" si="40"/>
        <v>75435.264837959199</v>
      </c>
      <c r="G164" s="17">
        <f t="shared" si="40"/>
        <v>1429773.2767985421</v>
      </c>
      <c r="H164" s="17">
        <f t="shared" si="40"/>
        <v>2237672.8839808768</v>
      </c>
      <c r="I164" s="17">
        <f t="shared" si="40"/>
        <v>871286.57257867383</v>
      </c>
      <c r="J164" s="17">
        <f t="shared" si="40"/>
        <v>871286.57257867383</v>
      </c>
      <c r="K164" s="17">
        <f t="shared" si="40"/>
        <v>1479557.0086151678</v>
      </c>
      <c r="L164" s="17">
        <f t="shared" si="40"/>
        <v>1236248.8342005701</v>
      </c>
      <c r="M164" s="17">
        <f t="shared" si="40"/>
        <v>1236248.8342005701</v>
      </c>
    </row>
    <row r="165" spans="1:13" collapsed="1" x14ac:dyDescent="0.35">
      <c r="F165" s="10">
        <f t="shared" ref="F165:M165" si="41">F39</f>
        <v>67000</v>
      </c>
      <c r="G165" s="10">
        <f t="shared" si="41"/>
        <v>1336000</v>
      </c>
      <c r="H165" s="10">
        <f t="shared" si="41"/>
        <v>1856000</v>
      </c>
      <c r="I165" s="10">
        <f t="shared" si="41"/>
        <v>871286.57257867383</v>
      </c>
      <c r="J165" s="10">
        <f t="shared" si="41"/>
        <v>871286.57257867383</v>
      </c>
      <c r="K165" s="10">
        <f t="shared" si="41"/>
        <v>1479557.0086151678</v>
      </c>
      <c r="L165" s="10">
        <f t="shared" si="41"/>
        <v>1236248.8342005701</v>
      </c>
      <c r="M165" s="10">
        <f t="shared" si="41"/>
        <v>1236248.8342005701</v>
      </c>
    </row>
    <row r="166" spans="1:13" x14ac:dyDescent="0.35">
      <c r="A166" s="2" t="s">
        <v>9</v>
      </c>
      <c r="B166" s="2"/>
      <c r="C166" s="2"/>
      <c r="D166" s="2"/>
      <c r="E166" s="11"/>
      <c r="F166" s="11"/>
      <c r="G166" s="11"/>
      <c r="H166" s="11"/>
      <c r="I166" s="11"/>
      <c r="J166" s="11"/>
      <c r="K166" s="11"/>
      <c r="L166" s="11"/>
      <c r="M166" s="11"/>
    </row>
    <row r="167" spans="1:13" outlineLevel="1" x14ac:dyDescent="0.35">
      <c r="E167" s="48"/>
      <c r="L167" s="10"/>
      <c r="M167" s="10"/>
    </row>
    <row r="168" spans="1:13" outlineLevel="1" x14ac:dyDescent="0.35">
      <c r="A168" s="32" t="s">
        <v>4</v>
      </c>
      <c r="B168" s="32"/>
      <c r="C168" s="32"/>
      <c r="D168" s="32"/>
      <c r="E168" s="66"/>
      <c r="F168"/>
      <c r="G168"/>
      <c r="L168" s="10"/>
      <c r="M168" s="10"/>
    </row>
    <row r="169" spans="1:13" outlineLevel="1" x14ac:dyDescent="0.35">
      <c r="A169" t="s">
        <v>80</v>
      </c>
      <c r="D169" s="70">
        <f>AVERAGE(E13:H13)</f>
        <v>0.14624999999999999</v>
      </c>
      <c r="E169" s="66"/>
      <c r="F169"/>
      <c r="G169"/>
      <c r="H169" s="65"/>
      <c r="I169" s="65"/>
      <c r="J169" s="65"/>
      <c r="K169" s="65"/>
      <c r="L169" s="65"/>
      <c r="M169" s="65"/>
    </row>
    <row r="170" spans="1:13" outlineLevel="1" x14ac:dyDescent="0.35">
      <c r="A170" t="s">
        <v>596</v>
      </c>
      <c r="D170" s="146">
        <f>AVERAGEIFS(MetaData[beta],MetaData[Ticker],$B$1)</f>
        <v>1.0980000000000001</v>
      </c>
      <c r="E170" s="66"/>
      <c r="F170"/>
      <c r="G170"/>
      <c r="H170" s="65"/>
      <c r="I170" s="65"/>
      <c r="J170" s="65"/>
      <c r="K170" s="65"/>
      <c r="L170" s="65"/>
      <c r="M170" s="65"/>
    </row>
    <row r="171" spans="1:13" outlineLevel="1" x14ac:dyDescent="0.35">
      <c r="A171" t="s">
        <v>597</v>
      </c>
      <c r="D171" s="70">
        <f>VLOOKUP($B$1,PriceData_Ticker_AvgRate!$A:$C,3,FALSE)</f>
        <v>0.15176561179980297</v>
      </c>
      <c r="E171" s="66"/>
      <c r="F171"/>
      <c r="G171"/>
      <c r="H171" s="65"/>
      <c r="I171" s="65"/>
      <c r="J171" s="65"/>
      <c r="K171" s="65"/>
      <c r="L171" s="65"/>
      <c r="M171" s="65"/>
    </row>
    <row r="172" spans="1:13" outlineLevel="1" x14ac:dyDescent="0.35">
      <c r="A172" t="s">
        <v>629</v>
      </c>
      <c r="D172" s="139">
        <f>PriceData_TNX_AvgRate[AvgReturn]+D170*(PriceData_GSPC_AvgRate[Yearly Average Return]-PriceData_TNX_AvgRate[AvgReturn])</f>
        <v>0.13590352410689094</v>
      </c>
      <c r="E172" s="66"/>
      <c r="F172">
        <v>7.4358564090540702E-2</v>
      </c>
      <c r="G172"/>
      <c r="H172" s="65"/>
      <c r="I172" s="65"/>
      <c r="J172" s="65"/>
      <c r="K172" s="65"/>
      <c r="L172" s="65"/>
      <c r="M172" s="65"/>
    </row>
    <row r="173" spans="1:13" outlineLevel="1" x14ac:dyDescent="0.35">
      <c r="A173" t="s">
        <v>600</v>
      </c>
      <c r="D173" s="119">
        <f>AverageInflation[avgInflation]/100</f>
        <v>2.9327393646170048E-2</v>
      </c>
      <c r="E173" s="48"/>
      <c r="F173"/>
      <c r="G173"/>
      <c r="L173" s="10"/>
      <c r="M173" s="10"/>
    </row>
    <row r="174" spans="1:13" outlineLevel="1" x14ac:dyDescent="0.35">
      <c r="A174" t="s">
        <v>152</v>
      </c>
      <c r="D174" s="85">
        <f>SUMIFS(MetaData[ebitda],MetaData[Ticker],$B$1)</f>
        <v>136651008</v>
      </c>
      <c r="E174" s="48"/>
      <c r="F174"/>
      <c r="G174"/>
      <c r="L174" s="10"/>
      <c r="M174" s="10"/>
    </row>
    <row r="175" spans="1:13" outlineLevel="1" x14ac:dyDescent="0.35">
      <c r="A175" t="s">
        <v>83</v>
      </c>
      <c r="D175" s="123">
        <f>H203/D174</f>
        <v>8.6930159490663979</v>
      </c>
      <c r="E175" s="48"/>
      <c r="F175"/>
      <c r="G175"/>
      <c r="L175" s="10"/>
      <c r="M175" s="10"/>
    </row>
    <row r="176" spans="1:13" outlineLevel="1" x14ac:dyDescent="0.35">
      <c r="A176" t="s">
        <v>84</v>
      </c>
      <c r="D176" s="69">
        <f ca="1">TODAY()</f>
        <v>45544</v>
      </c>
      <c r="E176" s="48"/>
      <c r="F176"/>
      <c r="G176"/>
      <c r="L176" s="10"/>
      <c r="M176" s="10"/>
    </row>
    <row r="177" spans="1:15" outlineLevel="1" x14ac:dyDescent="0.35">
      <c r="A177" t="s">
        <v>489</v>
      </c>
      <c r="D177" s="69">
        <f>_xlfn.MAXIFS(MetaData[nextFiscalYearEnd],MetaData[Ticker],$B$1)</f>
        <v>45656.791666666664</v>
      </c>
      <c r="E177" s="48"/>
      <c r="L177" s="10"/>
      <c r="M177" s="10"/>
    </row>
    <row r="178" spans="1:15" outlineLevel="1" x14ac:dyDescent="0.35">
      <c r="A178" t="s">
        <v>85</v>
      </c>
      <c r="D178" s="71">
        <f>SUMIFS(MetaData[previousClose],MetaData[Ticker],$B$1)</f>
        <v>33.869999999999997</v>
      </c>
      <c r="E178" s="48"/>
      <c r="L178" s="10"/>
      <c r="M178" s="10"/>
    </row>
    <row r="179" spans="1:15" outlineLevel="1" x14ac:dyDescent="0.35">
      <c r="A179" t="s">
        <v>86</v>
      </c>
      <c r="D179" s="72">
        <f>SUMIFS(MetaData[sharesOutstanding],MetaData[Ticker],$B$1)</f>
        <v>35418300</v>
      </c>
      <c r="E179" s="48"/>
      <c r="L179" s="10"/>
      <c r="M179" s="10"/>
    </row>
    <row r="180" spans="1:15" outlineLevel="1" x14ac:dyDescent="0.35">
      <c r="L180" s="10"/>
      <c r="M180" s="10"/>
    </row>
    <row r="181" spans="1:15" outlineLevel="1" x14ac:dyDescent="0.35">
      <c r="A181" s="117" t="s">
        <v>598</v>
      </c>
      <c r="B181" s="117"/>
      <c r="C181" s="117"/>
      <c r="D181" s="117"/>
      <c r="E181" s="118"/>
      <c r="F181" s="118"/>
      <c r="G181" s="118"/>
      <c r="H181" s="118"/>
      <c r="I181" s="118"/>
      <c r="J181" s="118"/>
      <c r="K181" s="118"/>
      <c r="L181" s="118"/>
      <c r="M181" s="118"/>
    </row>
    <row r="182" spans="1:15" outlineLevel="2" x14ac:dyDescent="0.35">
      <c r="D182" t="s">
        <v>626</v>
      </c>
      <c r="E182" s="120">
        <f>YEAR(E183)</f>
        <v>2024</v>
      </c>
      <c r="F182" s="120">
        <f>YEAR(F183)</f>
        <v>2025</v>
      </c>
      <c r="G182" s="120">
        <f>YEAR(G183)</f>
        <v>2026</v>
      </c>
      <c r="H182" s="120">
        <f>YEAR(H183)</f>
        <v>2027</v>
      </c>
      <c r="I182" s="120">
        <f>YEAR(I183)</f>
        <v>2028</v>
      </c>
      <c r="J182" s="10" t="s">
        <v>92</v>
      </c>
      <c r="L182" s="34" t="s">
        <v>102</v>
      </c>
      <c r="M182" s="32"/>
      <c r="N182" s="32"/>
    </row>
    <row r="183" spans="1:15" outlineLevel="2" x14ac:dyDescent="0.35">
      <c r="A183" t="s">
        <v>89</v>
      </c>
      <c r="D183" s="22">
        <f ca="1">D176</f>
        <v>45544</v>
      </c>
      <c r="E183" s="22">
        <f>D177</f>
        <v>45656.791666666664</v>
      </c>
      <c r="F183" s="27">
        <f>DATE(YEAR($D$177) + F184, MONTH($D$177), DAY($D$177))</f>
        <v>46021</v>
      </c>
      <c r="G183" s="27">
        <f>DATE(YEAR($D$177) + G184, MONTH($D$177), DAY($D$177))</f>
        <v>46386</v>
      </c>
      <c r="H183" s="27">
        <f>DATE(YEAR($D$177) + H184, MONTH($D$177), DAY($D$177))</f>
        <v>46751</v>
      </c>
      <c r="I183" s="27">
        <f>DATE(YEAR($D$177) + I184, MONTH($D$177), DAY($D$177))</f>
        <v>47117</v>
      </c>
      <c r="J183" s="22">
        <f>I183</f>
        <v>47117</v>
      </c>
      <c r="L183" s="137" t="s">
        <v>103</v>
      </c>
      <c r="N183" s="35">
        <f>I194/(D172-D173)</f>
        <v>1489481353.3674128</v>
      </c>
    </row>
    <row r="184" spans="1:15" outlineLevel="2" x14ac:dyDescent="0.35">
      <c r="A184" t="s">
        <v>90</v>
      </c>
      <c r="E184" s="8">
        <v>0</v>
      </c>
      <c r="F184" s="10">
        <v>1</v>
      </c>
      <c r="G184" s="10">
        <v>2</v>
      </c>
      <c r="H184" s="10">
        <v>3</v>
      </c>
      <c r="I184" s="10">
        <v>4</v>
      </c>
      <c r="L184" s="137" t="s">
        <v>104</v>
      </c>
      <c r="N184" s="40">
        <f>(I189+I191)*D175</f>
        <v>2187722930.035429</v>
      </c>
      <c r="O184" s="41"/>
    </row>
    <row r="185" spans="1:15" outlineLevel="2" x14ac:dyDescent="0.35">
      <c r="A185" t="s">
        <v>91</v>
      </c>
      <c r="E185" s="26">
        <f ca="1">(E183-D183)/365</f>
        <v>0.30901826484017603</v>
      </c>
      <c r="F185" s="138">
        <f>(F183-E183)/365</f>
        <v>0.9978310502283172</v>
      </c>
      <c r="G185" s="138">
        <f>(G183-F183)/365</f>
        <v>1</v>
      </c>
      <c r="H185" s="138">
        <f>(H183-G183)/365</f>
        <v>1</v>
      </c>
      <c r="I185" s="138">
        <f>(I183-H183)/365</f>
        <v>1.0027397260273974</v>
      </c>
      <c r="L185" s="137" t="s">
        <v>105</v>
      </c>
      <c r="N185" s="35">
        <f>AVERAGE(N183:N184)</f>
        <v>1838602141.7014208</v>
      </c>
      <c r="O185" s="76">
        <f>(N183+N184)/2</f>
        <v>1838602141.7014208</v>
      </c>
    </row>
    <row r="186" spans="1:15" outlineLevel="2" x14ac:dyDescent="0.35">
      <c r="A186" s="51" t="s">
        <v>627</v>
      </c>
      <c r="E186" s="10">
        <f>I31</f>
        <v>958234537.82857859</v>
      </c>
      <c r="F186" s="10">
        <f>J31</f>
        <v>1043441111.472526</v>
      </c>
      <c r="G186" s="10">
        <f>K31</f>
        <v>1129210321.2238276</v>
      </c>
      <c r="H186" s="10">
        <f>L31</f>
        <v>1214439123.3415549</v>
      </c>
      <c r="I186" s="10">
        <f>M31</f>
        <v>1289773883.549299</v>
      </c>
      <c r="L186" s="10"/>
      <c r="N186" s="76"/>
      <c r="O186" t="b">
        <f>O185=N185</f>
        <v>1</v>
      </c>
    </row>
    <row r="187" spans="1:15" outlineLevel="2" x14ac:dyDescent="0.35">
      <c r="A187" s="51" t="s">
        <v>554</v>
      </c>
      <c r="E187" s="10">
        <f>I41</f>
        <v>114481740.59801209</v>
      </c>
      <c r="F187" s="10">
        <f>J41</f>
        <v>124738974.93537581</v>
      </c>
      <c r="G187" s="10">
        <f>K41</f>
        <v>134455669.41373476</v>
      </c>
      <c r="H187" s="10">
        <f>L41</f>
        <v>144958887.8066662</v>
      </c>
      <c r="I187" s="10">
        <f>M41</f>
        <v>154027745.47988898</v>
      </c>
      <c r="J187" t="s">
        <v>136</v>
      </c>
      <c r="L187" s="10"/>
    </row>
    <row r="188" spans="1:15" outlineLevel="2" x14ac:dyDescent="0.35">
      <c r="A188" s="51" t="s">
        <v>31</v>
      </c>
      <c r="E188" s="13">
        <f>I164</f>
        <v>871286.57257867383</v>
      </c>
      <c r="F188" s="13">
        <f>J164</f>
        <v>871286.57257867383</v>
      </c>
      <c r="G188" s="13">
        <f>K164</f>
        <v>1479557.0086151678</v>
      </c>
      <c r="H188" s="13">
        <f>L164</f>
        <v>1236248.8342005701</v>
      </c>
      <c r="I188" s="13">
        <f>M164</f>
        <v>1236248.8342005701</v>
      </c>
      <c r="J188" t="s">
        <v>133</v>
      </c>
      <c r="L188" s="10"/>
    </row>
    <row r="189" spans="1:15" outlineLevel="2" x14ac:dyDescent="0.35">
      <c r="A189" s="51" t="s">
        <v>555</v>
      </c>
      <c r="E189" s="17">
        <f>E187+E188</f>
        <v>115353027.17059076</v>
      </c>
      <c r="F189" s="17">
        <f>F187+F188</f>
        <v>125610261.50795448</v>
      </c>
      <c r="G189" s="17">
        <f>G187+G188</f>
        <v>135935226.42234993</v>
      </c>
      <c r="H189" s="17">
        <f>H187+H188</f>
        <v>146195136.64086676</v>
      </c>
      <c r="I189" s="17">
        <f>I187+I188</f>
        <v>155263994.31408954</v>
      </c>
      <c r="L189" s="10"/>
    </row>
    <row r="190" spans="1:15" outlineLevel="2" x14ac:dyDescent="0.35">
      <c r="A190" s="51" t="s">
        <v>95</v>
      </c>
      <c r="E190" s="17">
        <f>E189*$D$169</f>
        <v>16870380.223698899</v>
      </c>
      <c r="F190" s="17">
        <f>F189*$D$169</f>
        <v>18370500.745538343</v>
      </c>
      <c r="G190" s="17">
        <f>G189*$D$169</f>
        <v>19880526.864268675</v>
      </c>
      <c r="H190" s="17">
        <f>H189*$D$169</f>
        <v>21381038.733726762</v>
      </c>
      <c r="I190" s="17">
        <f>I189*$D$169</f>
        <v>22707359.168435592</v>
      </c>
      <c r="L190" s="10"/>
    </row>
    <row r="191" spans="1:15" outlineLevel="2" x14ac:dyDescent="0.35">
      <c r="A191" s="51" t="s">
        <v>96</v>
      </c>
      <c r="E191" s="10">
        <f>I38</f>
        <v>71620484.028877199</v>
      </c>
      <c r="F191" s="10">
        <f>J38</f>
        <v>77989004.266783074</v>
      </c>
      <c r="G191" s="10">
        <f>K38</f>
        <v>84399577.122028485</v>
      </c>
      <c r="H191" s="10">
        <f>L38</f>
        <v>90769758.763263598</v>
      </c>
      <c r="I191" s="10">
        <f>M38</f>
        <v>96400438.70358865</v>
      </c>
      <c r="J191" t="s">
        <v>133</v>
      </c>
      <c r="L191" s="10"/>
    </row>
    <row r="192" spans="1:15" outlineLevel="2" x14ac:dyDescent="0.35">
      <c r="A192" s="51" t="s">
        <v>97</v>
      </c>
      <c r="E192" s="10">
        <f>E186*I20</f>
        <v>54401766.590058856</v>
      </c>
      <c r="F192" s="10">
        <f>F186*J20</f>
        <v>59239192.030620389</v>
      </c>
      <c r="G192" s="10">
        <f>G186*K20</f>
        <v>64108559.962272659</v>
      </c>
      <c r="H192" s="10">
        <f>H186*L20</f>
        <v>68947247.378054753</v>
      </c>
      <c r="I192" s="10">
        <f>I186*M20</f>
        <v>73224221.20768404</v>
      </c>
      <c r="J192" t="s">
        <v>133</v>
      </c>
      <c r="L192" s="10"/>
    </row>
    <row r="193" spans="1:14" outlineLevel="2" x14ac:dyDescent="0.35">
      <c r="A193" t="s">
        <v>98</v>
      </c>
      <c r="E193" s="13">
        <f>AVERAGE(F193:I193)</f>
        <v>-3312000.3616079055</v>
      </c>
      <c r="F193" s="13">
        <f>J150</f>
        <v>-3404774.8041083962</v>
      </c>
      <c r="G193" s="13">
        <f>K150</f>
        <v>-3427257.215503186</v>
      </c>
      <c r="H193" s="13">
        <f>L150</f>
        <v>-3405663.0330821127</v>
      </c>
      <c r="I193" s="13">
        <f>M150</f>
        <v>-3010306.3937379271</v>
      </c>
      <c r="J193" t="s">
        <v>133</v>
      </c>
      <c r="L193" s="10"/>
    </row>
    <row r="194" spans="1:14" outlineLevel="2" x14ac:dyDescent="0.35">
      <c r="A194" t="s">
        <v>99</v>
      </c>
      <c r="E194" s="10">
        <f>E189-E190+E191-E192-E193</f>
        <v>119013364.74731809</v>
      </c>
      <c r="F194" s="10">
        <f>F189-F190+F191-F192-F193</f>
        <v>129394347.80268721</v>
      </c>
      <c r="G194" s="10">
        <f>G189-G190+G191-G192-G193</f>
        <v>139772973.93334028</v>
      </c>
      <c r="H194" s="10">
        <f>H189-H190+H191-H192-H193</f>
        <v>150042272.32543099</v>
      </c>
      <c r="I194" s="10">
        <f>I189-I190+I191-I192-I193</f>
        <v>158743159.0352965</v>
      </c>
      <c r="L194" s="10"/>
    </row>
    <row r="195" spans="1:14" outlineLevel="2" x14ac:dyDescent="0.35">
      <c r="A195" t="s">
        <v>100</v>
      </c>
      <c r="D195" s="40">
        <f>-H203</f>
        <v>-1187909392</v>
      </c>
      <c r="E195" s="13"/>
      <c r="F195" s="13"/>
      <c r="G195" s="13"/>
      <c r="H195" s="13"/>
      <c r="I195" s="13"/>
      <c r="J195" s="13">
        <f>N185</f>
        <v>1838602141.7014208</v>
      </c>
      <c r="L195" s="10"/>
    </row>
    <row r="196" spans="1:14" outlineLevel="2" x14ac:dyDescent="0.35">
      <c r="A196" t="s">
        <v>101</v>
      </c>
      <c r="D196" s="35">
        <f>D195</f>
        <v>-1187909392</v>
      </c>
      <c r="E196" s="10">
        <f ca="1">(E195+E194)*E185</f>
        <v>36777303.467007212</v>
      </c>
      <c r="F196" s="10">
        <f>(F195+F194)*F185</f>
        <v>129113697.96156353</v>
      </c>
      <c r="G196" s="10">
        <f>(G195+G194)*G185</f>
        <v>139772973.93334028</v>
      </c>
      <c r="H196" s="10">
        <f>(H195+H194)*H185</f>
        <v>150042272.32543099</v>
      </c>
      <c r="I196" s="10">
        <f>(I195+I194)*I185</f>
        <v>159178071.79977679</v>
      </c>
      <c r="J196" s="10">
        <f>J195+J194</f>
        <v>1838602141.7014208</v>
      </c>
      <c r="L196" s="10"/>
      <c r="N196" s="42"/>
    </row>
    <row r="197" spans="1:14" outlineLevel="2" x14ac:dyDescent="0.35">
      <c r="D197" s="147" t="s">
        <v>642</v>
      </c>
      <c r="E197" s="148">
        <f>E189/E186</f>
        <v>0.12038078634901657</v>
      </c>
      <c r="F197" s="148">
        <f t="shared" ref="F197:I197" si="42">F189/F186</f>
        <v>0.12038078634901653</v>
      </c>
      <c r="G197" s="148">
        <f t="shared" si="42"/>
        <v>0.12038078634901654</v>
      </c>
      <c r="H197" s="148">
        <f t="shared" si="42"/>
        <v>0.12038078634901661</v>
      </c>
      <c r="I197" s="148">
        <f t="shared" si="42"/>
        <v>0.12038078634901657</v>
      </c>
      <c r="L197" s="10"/>
    </row>
    <row r="198" spans="1:14" outlineLevel="1" x14ac:dyDescent="0.35">
      <c r="L198" s="10"/>
      <c r="M198" s="10"/>
    </row>
    <row r="199" spans="1:14" outlineLevel="1" x14ac:dyDescent="0.35">
      <c r="A199" s="32" t="s">
        <v>106</v>
      </c>
      <c r="B199" s="32"/>
      <c r="C199" s="32"/>
      <c r="D199" s="32"/>
      <c r="F199" s="32" t="s">
        <v>112</v>
      </c>
      <c r="G199" s="32"/>
      <c r="H199" s="32"/>
      <c r="I199"/>
      <c r="J199" s="32" t="s">
        <v>116</v>
      </c>
      <c r="K199" s="32"/>
      <c r="L199" s="32"/>
    </row>
    <row r="200" spans="1:14" outlineLevel="1" x14ac:dyDescent="0.35">
      <c r="A200" t="s">
        <v>107</v>
      </c>
      <c r="D200" s="48">
        <f ca="1">IFERROR(XNPV(D172,E196:J196,E183:J183),"")</f>
        <v>1560728179.399066</v>
      </c>
      <c r="E200" s="141">
        <f ca="1">D200/H42</f>
        <v>7.6486411834134564</v>
      </c>
      <c r="F200" s="48" t="s">
        <v>113</v>
      </c>
      <c r="G200" s="48"/>
      <c r="H200" s="48">
        <f>SUMIFS(MetaData[marketCap],MetaData[Ticker],$B$1)</f>
        <v>1206347392</v>
      </c>
      <c r="I200" s="48"/>
      <c r="J200" s="48" t="s">
        <v>117</v>
      </c>
      <c r="K200" s="48"/>
      <c r="L200" s="142">
        <f ca="1">IFERROR(D205/H205-1,"-")</f>
        <v>0.30904761752000054</v>
      </c>
    </row>
    <row r="201" spans="1:14" outlineLevel="1" x14ac:dyDescent="0.35">
      <c r="A201" t="s">
        <v>108</v>
      </c>
      <c r="D201" s="35">
        <f>SUMIFS(MetaData[totalCash],MetaData[Ticker],$B$1)</f>
        <v>74871000</v>
      </c>
      <c r="E201" s="143" t="s">
        <v>138</v>
      </c>
      <c r="F201" s="48" t="s">
        <v>114</v>
      </c>
      <c r="G201" s="48"/>
      <c r="H201" s="48">
        <f>SUMIFS(MetaData[totalDebt],MetaData[Ticker],$B$1)</f>
        <v>56433000</v>
      </c>
      <c r="I201" s="143" t="s">
        <v>137</v>
      </c>
      <c r="J201" s="48" t="s">
        <v>118</v>
      </c>
      <c r="K201" s="48"/>
      <c r="L201" s="142">
        <f ca="1">IFERROR(XIRR(D196:J196,D183:J183),"-")</f>
        <v>0.20888029932975774</v>
      </c>
    </row>
    <row r="202" spans="1:14" outlineLevel="1" x14ac:dyDescent="0.35">
      <c r="A202" t="s">
        <v>109</v>
      </c>
      <c r="D202" s="40">
        <f>SUMIFS(MetaData[totalDebt],MetaData[Ticker],$B$1)</f>
        <v>56433000</v>
      </c>
      <c r="E202" s="143" t="s">
        <v>137</v>
      </c>
      <c r="F202" s="48" t="s">
        <v>115</v>
      </c>
      <c r="G202" s="48"/>
      <c r="H202" s="115">
        <f>SUMIFS(MetaData[totalCash],MetaData[Ticker],$B$1)</f>
        <v>74871000</v>
      </c>
      <c r="I202" s="143" t="s">
        <v>138</v>
      </c>
      <c r="J202" s="48"/>
      <c r="K202" s="48"/>
      <c r="L202" s="48"/>
    </row>
    <row r="203" spans="1:14" outlineLevel="1" x14ac:dyDescent="0.35">
      <c r="A203" t="s">
        <v>110</v>
      </c>
      <c r="D203" s="35">
        <f ca="1">D200+D201-D202</f>
        <v>1579166179.399066</v>
      </c>
      <c r="E203" s="48"/>
      <c r="F203" s="48" t="s">
        <v>107</v>
      </c>
      <c r="G203" s="48"/>
      <c r="H203" s="48">
        <f>H200+H201-H202</f>
        <v>1187909392</v>
      </c>
      <c r="I203" s="48">
        <f>H203/H42</f>
        <v>5.8215727874620811</v>
      </c>
      <c r="J203" s="48"/>
      <c r="K203" s="48"/>
      <c r="L203" s="48"/>
      <c r="M203" s="10"/>
    </row>
    <row r="204" spans="1:14" outlineLevel="1" x14ac:dyDescent="0.35">
      <c r="E204" s="48"/>
      <c r="F204" s="48"/>
      <c r="G204" s="48"/>
      <c r="H204" s="48"/>
      <c r="I204" s="48"/>
      <c r="J204" s="48"/>
      <c r="K204" s="48"/>
      <c r="L204" s="48"/>
      <c r="M204" s="10"/>
    </row>
    <row r="205" spans="1:14" outlineLevel="1" x14ac:dyDescent="0.35">
      <c r="A205" t="s">
        <v>111</v>
      </c>
      <c r="D205" s="145">
        <f ca="1">D203/D179</f>
        <v>44.586165326937376</v>
      </c>
      <c r="E205" s="48"/>
      <c r="F205" t="s">
        <v>494</v>
      </c>
      <c r="G205" s="48"/>
      <c r="H205" s="144">
        <f>H200/D179</f>
        <v>34.060002653995248</v>
      </c>
      <c r="I205" s="48"/>
      <c r="J205" s="48"/>
      <c r="K205" s="48"/>
      <c r="L205" s="48"/>
      <c r="M205" s="10"/>
    </row>
    <row r="206" spans="1:14" outlineLevel="1" x14ac:dyDescent="0.35">
      <c r="L206" s="10"/>
    </row>
    <row r="207" spans="1:14" x14ac:dyDescent="0.35">
      <c r="G207" s="10" t="s">
        <v>630</v>
      </c>
      <c r="L207" s="10"/>
    </row>
    <row r="208" spans="1:14" x14ac:dyDescent="0.35">
      <c r="A208" s="2" t="s">
        <v>10</v>
      </c>
      <c r="B208" s="2"/>
      <c r="C208" s="2"/>
      <c r="D208" s="2"/>
      <c r="E208" s="11"/>
      <c r="F208" s="11"/>
      <c r="G208" s="11"/>
      <c r="H208" s="11"/>
      <c r="I208" s="11"/>
      <c r="J208" s="11"/>
      <c r="K208" s="11"/>
      <c r="L208" s="11"/>
      <c r="M208" s="11"/>
    </row>
  </sheetData>
  <mergeCells count="4">
    <mergeCell ref="E1:H1"/>
    <mergeCell ref="I1:M1"/>
    <mergeCell ref="A2:D2"/>
    <mergeCell ref="B1:D1"/>
  </mergeCells>
  <conditionalFormatting sqref="E3:H3">
    <cfRule type="containsText" dxfId="12" priority="3" operator="containsText" text="TRUE">
      <formula>NOT(ISERROR(SEARCH("TRUE",E3)))</formula>
    </cfRule>
    <cfRule type="containsText" dxfId="11" priority="4" operator="containsText" text="FALSE">
      <formula>NOT(ISERROR(SEARCH("FALSE",E3)))</formula>
    </cfRule>
  </conditionalFormatting>
  <conditionalFormatting sqref="H205">
    <cfRule type="expression" dxfId="10" priority="1">
      <formula>H205&gt;=D205</formula>
    </cfRule>
    <cfRule type="expression" dxfId="9" priority="2">
      <formula>H205&lt;D205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3D628A5-4719-4B5D-934F-58DC830A243A}">
          <x14:formula1>
            <xm:f>Tickers!$A$2:$A$11</xm:f>
          </x14:formula1>
          <xm:sqref>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B7D5-A0D5-448E-8570-3947420F31FC}">
  <sheetPr>
    <tabColor theme="7" tint="0.79998168889431442"/>
  </sheetPr>
  <dimension ref="A1:CA93"/>
  <sheetViews>
    <sheetView showGridLines="0" workbookViewId="0">
      <pane xSplit="4" ySplit="1" topLeftCell="K2" activePane="bottomRight" state="frozen"/>
      <selection pane="topRight" activeCell="E1" sqref="E1"/>
      <selection pane="bottomLeft" activeCell="A2" sqref="A2"/>
      <selection pane="bottomRight" activeCell="M6" sqref="M6"/>
    </sheetView>
  </sheetViews>
  <sheetFormatPr defaultRowHeight="14.5" x14ac:dyDescent="0.35"/>
  <cols>
    <col min="1" max="1" width="14" bestFit="1" customWidth="1"/>
    <col min="2" max="2" width="11" bestFit="1" customWidth="1"/>
    <col min="3" max="3" width="7.08984375" bestFit="1" customWidth="1"/>
    <col min="4" max="4" width="12.90625" bestFit="1" customWidth="1"/>
    <col min="5" max="5" width="15" bestFit="1" customWidth="1"/>
    <col min="6" max="6" width="25.90625" bestFit="1" customWidth="1"/>
    <col min="7" max="7" width="21.6328125" bestFit="1" customWidth="1"/>
    <col min="8" max="8" width="11.81640625" style="76" bestFit="1" customWidth="1"/>
    <col min="9" max="9" width="18" bestFit="1" customWidth="1"/>
    <col min="10" max="10" width="51.54296875" bestFit="1" customWidth="1"/>
    <col min="11" max="11" width="48" bestFit="1" customWidth="1"/>
    <col min="12" max="12" width="23.81640625" bestFit="1" customWidth="1"/>
    <col min="13" max="13" width="13.90625" bestFit="1" customWidth="1"/>
    <col min="14" max="14" width="34.1796875" bestFit="1" customWidth="1"/>
    <col min="15" max="16" width="14.26953125" bestFit="1" customWidth="1"/>
    <col min="17" max="17" width="36.90625" bestFit="1" customWidth="1"/>
    <col min="18" max="18" width="24.36328125" bestFit="1" customWidth="1"/>
    <col min="19" max="19" width="23.81640625" bestFit="1" customWidth="1"/>
    <col min="20" max="20" width="35.26953125" bestFit="1" customWidth="1"/>
    <col min="21" max="21" width="14.1796875" bestFit="1" customWidth="1"/>
    <col min="22" max="22" width="18.54296875" bestFit="1" customWidth="1"/>
    <col min="23" max="23" width="31.08984375" bestFit="1" customWidth="1"/>
    <col min="24" max="24" width="17.7265625" bestFit="1" customWidth="1"/>
    <col min="25" max="25" width="30.08984375" bestFit="1" customWidth="1"/>
    <col min="26" max="26" width="19.7265625" bestFit="1" customWidth="1"/>
    <col min="27" max="27" width="14.26953125" bestFit="1" customWidth="1"/>
    <col min="28" max="28" width="33.26953125" bestFit="1" customWidth="1"/>
    <col min="29" max="29" width="33.81640625" bestFit="1" customWidth="1"/>
    <col min="30" max="30" width="52.1796875" bestFit="1" customWidth="1"/>
    <col min="31" max="31" width="54.90625" bestFit="1" customWidth="1"/>
    <col min="32" max="32" width="43.08984375" bestFit="1" customWidth="1"/>
    <col min="33" max="33" width="21" bestFit="1" customWidth="1"/>
    <col min="34" max="34" width="40.7265625" bestFit="1" customWidth="1"/>
    <col min="35" max="35" width="20.7265625" bestFit="1" customWidth="1"/>
    <col min="36" max="36" width="21" bestFit="1" customWidth="1"/>
    <col min="37" max="37" width="20.453125" bestFit="1" customWidth="1"/>
    <col min="38" max="38" width="19.6328125" bestFit="1" customWidth="1"/>
    <col min="39" max="39" width="20.81640625" bestFit="1" customWidth="1"/>
    <col min="40" max="40" width="15.36328125" bestFit="1" customWidth="1"/>
    <col min="41" max="41" width="23.26953125" bestFit="1" customWidth="1"/>
    <col min="42" max="42" width="36.54296875" bestFit="1" customWidth="1"/>
    <col min="43" max="43" width="26.26953125" bestFit="1" customWidth="1"/>
    <col min="44" max="44" width="35.7265625" bestFit="1" customWidth="1"/>
    <col min="45" max="45" width="16.453125" bestFit="1" customWidth="1"/>
    <col min="46" max="46" width="27.6328125" bestFit="1" customWidth="1"/>
    <col min="47" max="47" width="25.1796875" bestFit="1" customWidth="1"/>
    <col min="48" max="48" width="27.81640625" bestFit="1" customWidth="1"/>
    <col min="49" max="49" width="30.08984375" bestFit="1" customWidth="1"/>
    <col min="50" max="50" width="33.90625" bestFit="1" customWidth="1"/>
    <col min="51" max="51" width="24" bestFit="1" customWidth="1"/>
    <col min="52" max="52" width="26.7265625" bestFit="1" customWidth="1"/>
    <col min="53" max="53" width="15.54296875" bestFit="1" customWidth="1"/>
    <col min="54" max="54" width="18.36328125" bestFit="1" customWidth="1"/>
    <col min="55" max="55" width="23" bestFit="1" customWidth="1"/>
    <col min="56" max="56" width="16.90625" bestFit="1" customWidth="1"/>
    <col min="57" max="57" width="34.1796875" bestFit="1" customWidth="1"/>
    <col min="58" max="58" width="16.453125" bestFit="1" customWidth="1"/>
    <col min="59" max="59" width="20.81640625" bestFit="1" customWidth="1"/>
    <col min="60" max="60" width="37.1796875" bestFit="1" customWidth="1"/>
    <col min="61" max="61" width="12.26953125" bestFit="1" customWidth="1"/>
    <col min="62" max="62" width="36.26953125" bestFit="1" customWidth="1"/>
    <col min="63" max="63" width="29.81640625" bestFit="1" customWidth="1"/>
    <col min="64" max="64" width="28.6328125" bestFit="1" customWidth="1"/>
    <col min="65" max="65" width="28.453125" bestFit="1" customWidth="1"/>
    <col min="66" max="66" width="20.7265625" bestFit="1" customWidth="1"/>
    <col min="67" max="67" width="26.1796875" bestFit="1" customWidth="1"/>
    <col min="68" max="68" width="10.90625" bestFit="1" customWidth="1"/>
    <col min="69" max="69" width="15.81640625" bestFit="1" customWidth="1"/>
    <col min="70" max="70" width="43.36328125" bestFit="1" customWidth="1"/>
    <col min="71" max="71" width="22.453125" bestFit="1" customWidth="1"/>
    <col min="72" max="72" width="14.26953125" bestFit="1" customWidth="1"/>
    <col min="73" max="73" width="37.08984375" bestFit="1" customWidth="1"/>
    <col min="74" max="74" width="20" bestFit="1" customWidth="1"/>
    <col min="75" max="75" width="31.08984375" bestFit="1" customWidth="1"/>
    <col min="76" max="76" width="20.54296875" bestFit="1" customWidth="1"/>
    <col min="77" max="77" width="22.90625" bestFit="1" customWidth="1"/>
    <col min="78" max="78" width="28.08984375" bestFit="1" customWidth="1"/>
    <col min="79" max="79" width="8.26953125" bestFit="1" customWidth="1"/>
    <col min="80" max="80" width="8.08984375" bestFit="1" customWidth="1"/>
    <col min="81" max="81" width="10.6328125" bestFit="1" customWidth="1"/>
    <col min="82" max="82" width="27" bestFit="1" customWidth="1"/>
    <col min="83" max="83" width="8.08984375" customWidth="1"/>
    <col min="84" max="84" width="22" bestFit="1" customWidth="1"/>
    <col min="85" max="85" width="27" bestFit="1" customWidth="1"/>
    <col min="86" max="86" width="8.08984375" bestFit="1" customWidth="1"/>
    <col min="87" max="87" width="27" bestFit="1" customWidth="1"/>
    <col min="88" max="88" width="8.08984375" customWidth="1"/>
    <col min="89" max="89" width="22" bestFit="1" customWidth="1"/>
    <col min="90" max="90" width="27" bestFit="1" customWidth="1"/>
    <col min="91" max="91" width="8.08984375" customWidth="1"/>
    <col min="92" max="92" width="27" bestFit="1" customWidth="1"/>
    <col min="93" max="93" width="8.08984375" customWidth="1"/>
    <col min="94" max="94" width="8.08984375" bestFit="1" customWidth="1"/>
    <col min="95" max="95" width="10.7265625" bestFit="1" customWidth="1"/>
    <col min="96" max="96" width="23.26953125" bestFit="1" customWidth="1"/>
    <col min="97" max="97" width="8.1796875" bestFit="1" customWidth="1"/>
    <col min="98" max="98" width="8.08984375" bestFit="1" customWidth="1"/>
    <col min="99" max="99" width="8.08984375" customWidth="1"/>
    <col min="100" max="100" width="8.1796875" bestFit="1" customWidth="1"/>
    <col min="101" max="101" width="8.36328125" bestFit="1" customWidth="1"/>
  </cols>
  <sheetData>
    <row r="1" spans="1:79" x14ac:dyDescent="0.35">
      <c r="A1" t="s">
        <v>139</v>
      </c>
      <c r="B1" t="s">
        <v>140</v>
      </c>
      <c r="C1" t="s">
        <v>474</v>
      </c>
      <c r="D1" t="s">
        <v>141</v>
      </c>
      <c r="E1" t="s">
        <v>142</v>
      </c>
      <c r="F1" s="10" t="s">
        <v>143</v>
      </c>
      <c r="G1" s="10" t="s">
        <v>144</v>
      </c>
      <c r="H1" s="41" t="s">
        <v>145</v>
      </c>
      <c r="I1" s="10" t="s">
        <v>146</v>
      </c>
      <c r="J1" s="10" t="s">
        <v>147</v>
      </c>
      <c r="K1" s="10" t="s">
        <v>148</v>
      </c>
      <c r="L1" s="10" t="s">
        <v>149</v>
      </c>
      <c r="M1" s="10" t="s">
        <v>150</v>
      </c>
      <c r="N1" s="10" t="s">
        <v>151</v>
      </c>
      <c r="O1" s="10" t="s">
        <v>94</v>
      </c>
      <c r="P1" s="10" t="s">
        <v>152</v>
      </c>
      <c r="Q1" s="10" t="s">
        <v>153</v>
      </c>
      <c r="R1" s="10" t="s">
        <v>154</v>
      </c>
      <c r="S1" s="10" t="s">
        <v>155</v>
      </c>
      <c r="T1" s="10" t="s">
        <v>156</v>
      </c>
      <c r="U1" s="10" t="s">
        <v>157</v>
      </c>
      <c r="V1" s="10" t="s">
        <v>158</v>
      </c>
      <c r="W1" s="10" t="s">
        <v>159</v>
      </c>
      <c r="X1" s="10" t="s">
        <v>160</v>
      </c>
      <c r="Y1" s="10" t="s">
        <v>161</v>
      </c>
      <c r="Z1" s="10" t="s">
        <v>162</v>
      </c>
      <c r="AA1" s="10" t="s">
        <v>163</v>
      </c>
      <c r="AB1" s="10" t="s">
        <v>164</v>
      </c>
      <c r="AC1" s="10" t="s">
        <v>165</v>
      </c>
      <c r="AD1" s="10" t="s">
        <v>166</v>
      </c>
      <c r="AE1" s="10" t="s">
        <v>167</v>
      </c>
      <c r="AF1" s="10" t="s">
        <v>168</v>
      </c>
      <c r="AG1" s="10" t="s">
        <v>169</v>
      </c>
      <c r="AH1" s="10" t="s">
        <v>170</v>
      </c>
      <c r="AI1" s="10" t="s">
        <v>171</v>
      </c>
      <c r="AJ1" s="10" t="s">
        <v>172</v>
      </c>
      <c r="AK1" s="10" t="s">
        <v>173</v>
      </c>
      <c r="AL1" s="10" t="s">
        <v>174</v>
      </c>
      <c r="AM1" s="10" t="s">
        <v>175</v>
      </c>
      <c r="AN1" s="10" t="s">
        <v>176</v>
      </c>
      <c r="AO1" s="10" t="s">
        <v>177</v>
      </c>
      <c r="AP1" s="10" t="s">
        <v>178</v>
      </c>
      <c r="AQ1" s="10" t="s">
        <v>179</v>
      </c>
      <c r="AR1" s="10" t="s">
        <v>180</v>
      </c>
      <c r="AS1" s="10" t="s">
        <v>181</v>
      </c>
      <c r="AT1" s="10" t="s">
        <v>182</v>
      </c>
      <c r="AU1" s="10" t="s">
        <v>183</v>
      </c>
      <c r="AV1" s="10" t="s">
        <v>184</v>
      </c>
      <c r="AW1" s="10" t="s">
        <v>185</v>
      </c>
      <c r="AX1" s="10" t="s">
        <v>186</v>
      </c>
      <c r="AY1" s="10" t="s">
        <v>187</v>
      </c>
      <c r="AZ1" s="10" t="s">
        <v>188</v>
      </c>
      <c r="BA1" s="10" t="s">
        <v>189</v>
      </c>
      <c r="BB1" s="10" t="s">
        <v>190</v>
      </c>
      <c r="BC1" t="s">
        <v>609</v>
      </c>
      <c r="BD1" s="10" t="s">
        <v>191</v>
      </c>
      <c r="BE1" s="10" t="s">
        <v>192</v>
      </c>
      <c r="BF1" s="10" t="s">
        <v>193</v>
      </c>
      <c r="BG1" s="10" t="s">
        <v>194</v>
      </c>
      <c r="BH1" s="10" t="s">
        <v>195</v>
      </c>
      <c r="BI1" s="10" t="s">
        <v>196</v>
      </c>
      <c r="BJ1" s="10" t="s">
        <v>197</v>
      </c>
      <c r="BK1" t="s">
        <v>646</v>
      </c>
      <c r="BL1" s="10" t="s">
        <v>198</v>
      </c>
      <c r="BM1" s="10" t="s">
        <v>199</v>
      </c>
      <c r="BN1" t="s">
        <v>639</v>
      </c>
      <c r="BO1" s="10" t="s">
        <v>200</v>
      </c>
      <c r="BP1" t="s">
        <v>623</v>
      </c>
      <c r="BQ1" s="10" t="s">
        <v>201</v>
      </c>
      <c r="BR1" s="10" t="s">
        <v>202</v>
      </c>
      <c r="BS1" s="10" t="s">
        <v>203</v>
      </c>
      <c r="BT1" s="10" t="s">
        <v>204</v>
      </c>
      <c r="BU1" s="10" t="s">
        <v>205</v>
      </c>
      <c r="BV1" s="10" t="s">
        <v>206</v>
      </c>
      <c r="BW1" s="10" t="s">
        <v>207</v>
      </c>
      <c r="BX1" s="10" t="s">
        <v>208</v>
      </c>
      <c r="BY1" s="10" t="s">
        <v>209</v>
      </c>
      <c r="BZ1" s="10" t="s">
        <v>210</v>
      </c>
      <c r="CA1" t="s">
        <v>211</v>
      </c>
    </row>
    <row r="2" spans="1:79" hidden="1" x14ac:dyDescent="0.35">
      <c r="A2" s="156" t="s">
        <v>647</v>
      </c>
      <c r="B2" s="22">
        <v>43830</v>
      </c>
      <c r="C2">
        <v>2019</v>
      </c>
      <c r="D2" s="156" t="s">
        <v>212</v>
      </c>
      <c r="E2" s="156" t="s">
        <v>213</v>
      </c>
      <c r="F2" s="10"/>
      <c r="G2" s="10"/>
      <c r="H2" s="157"/>
      <c r="I2" s="10"/>
      <c r="J2" s="10"/>
      <c r="K2" s="10"/>
      <c r="L2" s="10"/>
      <c r="M2" s="10"/>
      <c r="N2" s="10"/>
      <c r="O2" s="10"/>
      <c r="P2" s="10"/>
      <c r="Q2" s="10"/>
      <c r="R2" s="10"/>
      <c r="S2" s="10">
        <v>-341000</v>
      </c>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v>2072000</v>
      </c>
      <c r="AX2" s="10"/>
      <c r="AY2" s="10"/>
      <c r="AZ2" s="10"/>
      <c r="BA2" s="10"/>
      <c r="BB2" s="10"/>
      <c r="BC2" s="41"/>
      <c r="BD2" s="10"/>
      <c r="BE2" s="10"/>
      <c r="BF2" s="10"/>
      <c r="BG2" s="10">
        <v>-341000</v>
      </c>
      <c r="BH2" s="10">
        <v>-341000</v>
      </c>
      <c r="BI2" s="10"/>
      <c r="BJ2" s="10"/>
      <c r="BK2" s="41"/>
      <c r="BL2" s="10"/>
      <c r="BM2" s="10"/>
      <c r="BN2" s="41"/>
      <c r="BO2" s="10"/>
      <c r="BP2" s="41">
        <v>2019</v>
      </c>
      <c r="BQ2" s="10"/>
      <c r="BR2" s="10"/>
      <c r="BS2" s="10"/>
      <c r="BT2" s="10"/>
      <c r="BU2" s="10"/>
      <c r="BV2" s="10"/>
      <c r="BW2" s="10"/>
      <c r="BX2" s="10"/>
      <c r="BY2" s="10"/>
      <c r="BZ2" s="10"/>
      <c r="CA2" s="156" t="s">
        <v>648</v>
      </c>
    </row>
    <row r="3" spans="1:79" hidden="1" x14ac:dyDescent="0.35">
      <c r="A3" s="156" t="s">
        <v>647</v>
      </c>
      <c r="B3" s="22">
        <v>44196</v>
      </c>
      <c r="C3">
        <v>2020</v>
      </c>
      <c r="D3" s="156" t="s">
        <v>212</v>
      </c>
      <c r="E3" s="156" t="s">
        <v>213</v>
      </c>
      <c r="F3" s="10"/>
      <c r="G3" s="10">
        <v>24702764</v>
      </c>
      <c r="H3" s="157">
        <v>-1.1599999999999999</v>
      </c>
      <c r="I3" s="10">
        <v>9004000</v>
      </c>
      <c r="J3" s="10"/>
      <c r="K3" s="10"/>
      <c r="L3" s="10">
        <v>24702764</v>
      </c>
      <c r="M3" s="10">
        <v>-1.1599999999999999</v>
      </c>
      <c r="N3" s="10">
        <v>-28748000</v>
      </c>
      <c r="O3" s="10">
        <v>-24731000</v>
      </c>
      <c r="P3" s="10">
        <v>-23154000</v>
      </c>
      <c r="Q3" s="10"/>
      <c r="R3" s="10"/>
      <c r="S3" s="10"/>
      <c r="T3" s="10">
        <v>24188000</v>
      </c>
      <c r="U3" s="10">
        <v>16635000</v>
      </c>
      <c r="V3" s="10">
        <v>3985000</v>
      </c>
      <c r="W3" s="10">
        <v>3985000</v>
      </c>
      <c r="X3" s="10">
        <v>1653000</v>
      </c>
      <c r="Y3" s="10">
        <v>1653000</v>
      </c>
      <c r="Z3" s="10"/>
      <c r="AA3" s="10">
        <v>-28748000</v>
      </c>
      <c r="AB3" s="10">
        <v>-28748000</v>
      </c>
      <c r="AC3" s="10">
        <v>-28748000</v>
      </c>
      <c r="AD3" s="10">
        <v>-28748000</v>
      </c>
      <c r="AE3" s="10">
        <v>-28748000</v>
      </c>
      <c r="AF3" s="10">
        <v>-28748000</v>
      </c>
      <c r="AG3" s="10">
        <v>-2332000</v>
      </c>
      <c r="AH3" s="10">
        <v>-2332000</v>
      </c>
      <c r="AI3" s="10">
        <v>-23154000</v>
      </c>
      <c r="AJ3" s="10">
        <v>-28748000</v>
      </c>
      <c r="AK3" s="10">
        <v>43019000</v>
      </c>
      <c r="AL3" s="10">
        <v>-26384000</v>
      </c>
      <c r="AM3" s="10">
        <v>28356000</v>
      </c>
      <c r="AN3" s="10">
        <v>11896000</v>
      </c>
      <c r="AO3" s="10">
        <v>1653000</v>
      </c>
      <c r="AP3" s="10">
        <v>1653000</v>
      </c>
      <c r="AQ3" s="10"/>
      <c r="AR3" s="10"/>
      <c r="AS3" s="10">
        <v>-28716000</v>
      </c>
      <c r="AT3" s="10">
        <v>9004000</v>
      </c>
      <c r="AU3" s="10">
        <v>1577000</v>
      </c>
      <c r="AV3" s="10">
        <v>18831000</v>
      </c>
      <c r="AW3" s="10">
        <v>931000</v>
      </c>
      <c r="AX3" s="10">
        <v>24188000</v>
      </c>
      <c r="AY3" s="10"/>
      <c r="AZ3" s="10">
        <v>0</v>
      </c>
      <c r="BA3" s="10">
        <v>32000</v>
      </c>
      <c r="BB3" s="10">
        <v>0.27</v>
      </c>
      <c r="BC3" s="41"/>
      <c r="BD3" s="10">
        <v>52023000</v>
      </c>
      <c r="BE3" s="10">
        <v>-26384000</v>
      </c>
      <c r="BF3" s="10">
        <v>25639000</v>
      </c>
      <c r="BG3" s="10"/>
      <c r="BH3" s="10"/>
      <c r="BI3" s="10"/>
      <c r="BJ3" s="10"/>
      <c r="BK3" s="41"/>
      <c r="BL3" s="10"/>
      <c r="BM3" s="10"/>
      <c r="BN3" s="41"/>
      <c r="BO3" s="10"/>
      <c r="BP3" s="41">
        <v>2020</v>
      </c>
      <c r="BQ3" s="10"/>
      <c r="BR3" s="10"/>
      <c r="BS3" s="10"/>
      <c r="BT3" s="10"/>
      <c r="BU3" s="10"/>
      <c r="BV3" s="10"/>
      <c r="BW3" s="10"/>
      <c r="BX3" s="10">
        <v>12292000</v>
      </c>
      <c r="BY3" s="10"/>
      <c r="BZ3" s="10"/>
      <c r="CA3" s="156" t="s">
        <v>648</v>
      </c>
    </row>
    <row r="4" spans="1:79" hidden="1" x14ac:dyDescent="0.35">
      <c r="A4" s="156" t="s">
        <v>647</v>
      </c>
      <c r="B4" s="22">
        <v>44561</v>
      </c>
      <c r="C4">
        <v>2021</v>
      </c>
      <c r="D4" s="156" t="s">
        <v>212</v>
      </c>
      <c r="E4" s="156" t="s">
        <v>213</v>
      </c>
      <c r="F4" s="10"/>
      <c r="G4" s="10">
        <v>27616839</v>
      </c>
      <c r="H4" s="157">
        <v>-1.6</v>
      </c>
      <c r="I4" s="10">
        <v>9103000</v>
      </c>
      <c r="J4" s="10"/>
      <c r="K4" s="10"/>
      <c r="L4" s="10">
        <v>27616839</v>
      </c>
      <c r="M4" s="10">
        <v>-1.6</v>
      </c>
      <c r="N4" s="10">
        <v>-44215000</v>
      </c>
      <c r="O4" s="10">
        <v>-40305000</v>
      </c>
      <c r="P4" s="10">
        <v>-38488000</v>
      </c>
      <c r="Q4" s="10"/>
      <c r="R4" s="10"/>
      <c r="S4" s="10"/>
      <c r="T4" s="10">
        <v>38283000</v>
      </c>
      <c r="U4" s="10">
        <v>21159000</v>
      </c>
      <c r="V4" s="10">
        <v>3874000</v>
      </c>
      <c r="W4" s="10">
        <v>3874000</v>
      </c>
      <c r="X4" s="10">
        <v>-877000</v>
      </c>
      <c r="Y4" s="10">
        <v>-877000</v>
      </c>
      <c r="Z4" s="10"/>
      <c r="AA4" s="10">
        <v>-44215000</v>
      </c>
      <c r="AB4" s="10">
        <v>-44215000</v>
      </c>
      <c r="AC4" s="10">
        <v>-44215000</v>
      </c>
      <c r="AD4" s="10">
        <v>-44215000</v>
      </c>
      <c r="AE4" s="10">
        <v>-44215000</v>
      </c>
      <c r="AF4" s="10">
        <v>-44215000</v>
      </c>
      <c r="AG4" s="10">
        <v>-3874000</v>
      </c>
      <c r="AH4" s="10">
        <v>-3874000</v>
      </c>
      <c r="AI4" s="10">
        <v>-38488000</v>
      </c>
      <c r="AJ4" s="10">
        <v>-44215000</v>
      </c>
      <c r="AK4" s="10">
        <v>60587000</v>
      </c>
      <c r="AL4" s="10">
        <v>-39428000</v>
      </c>
      <c r="AM4" s="10">
        <v>31385000</v>
      </c>
      <c r="AN4" s="10">
        <v>17081000</v>
      </c>
      <c r="AO4" s="10">
        <v>-877000</v>
      </c>
      <c r="AP4" s="10">
        <v>-877000</v>
      </c>
      <c r="AQ4" s="10"/>
      <c r="AR4" s="10"/>
      <c r="AS4" s="10">
        <v>-44179000</v>
      </c>
      <c r="AT4" s="10">
        <v>9103000</v>
      </c>
      <c r="AU4" s="10">
        <v>1817000</v>
      </c>
      <c r="AV4" s="10">
        <v>22304000</v>
      </c>
      <c r="AW4" s="10">
        <v>8604000</v>
      </c>
      <c r="AX4" s="10">
        <v>38283000</v>
      </c>
      <c r="AY4" s="10"/>
      <c r="AZ4" s="10">
        <v>0</v>
      </c>
      <c r="BA4" s="10">
        <v>36000</v>
      </c>
      <c r="BB4" s="10">
        <v>0</v>
      </c>
      <c r="BC4" s="41"/>
      <c r="BD4" s="10">
        <v>69690000</v>
      </c>
      <c r="BE4" s="10">
        <v>-39428000</v>
      </c>
      <c r="BF4" s="10">
        <v>30262000</v>
      </c>
      <c r="BG4" s="10"/>
      <c r="BH4" s="10"/>
      <c r="BI4" s="10"/>
      <c r="BJ4" s="10"/>
      <c r="BK4" s="41"/>
      <c r="BL4" s="10"/>
      <c r="BM4" s="10"/>
      <c r="BN4" s="41"/>
      <c r="BO4" s="10"/>
      <c r="BP4" s="41">
        <v>2021</v>
      </c>
      <c r="BQ4" s="10"/>
      <c r="BR4" s="10"/>
      <c r="BS4" s="10"/>
      <c r="BT4" s="10"/>
      <c r="BU4" s="10"/>
      <c r="BV4" s="10"/>
      <c r="BW4" s="10"/>
      <c r="BX4" s="10">
        <v>21202000</v>
      </c>
      <c r="BY4" s="10"/>
      <c r="BZ4" s="10"/>
      <c r="CA4" s="156" t="s">
        <v>648</v>
      </c>
    </row>
    <row r="5" spans="1:79" hidden="1" x14ac:dyDescent="0.35">
      <c r="A5" s="156" t="s">
        <v>647</v>
      </c>
      <c r="B5" s="22">
        <v>44926</v>
      </c>
      <c r="C5">
        <v>2022</v>
      </c>
      <c r="D5" s="156" t="s">
        <v>212</v>
      </c>
      <c r="E5" s="156" t="s">
        <v>213</v>
      </c>
      <c r="F5" s="10"/>
      <c r="G5" s="10">
        <v>29556633</v>
      </c>
      <c r="H5" s="157">
        <v>-1.23</v>
      </c>
      <c r="I5" s="10">
        <v>28187000</v>
      </c>
      <c r="J5" s="10"/>
      <c r="K5" s="10"/>
      <c r="L5" s="10">
        <v>29556633</v>
      </c>
      <c r="M5" s="10">
        <v>-1.23</v>
      </c>
      <c r="N5" s="10">
        <v>-36231000</v>
      </c>
      <c r="O5" s="10">
        <v>-32439000</v>
      </c>
      <c r="P5" s="10">
        <v>-28961000</v>
      </c>
      <c r="Q5" s="10"/>
      <c r="R5" s="10"/>
      <c r="S5" s="10">
        <v>-1300000</v>
      </c>
      <c r="T5" s="10">
        <v>69897000</v>
      </c>
      <c r="U5" s="10">
        <v>65272000</v>
      </c>
      <c r="V5" s="10">
        <v>3726000</v>
      </c>
      <c r="W5" s="10">
        <v>3726000</v>
      </c>
      <c r="X5" s="10">
        <v>900000</v>
      </c>
      <c r="Y5" s="10">
        <v>900000</v>
      </c>
      <c r="Z5" s="10"/>
      <c r="AA5" s="10">
        <v>-36231000</v>
      </c>
      <c r="AB5" s="10">
        <v>-36231000</v>
      </c>
      <c r="AC5" s="10">
        <v>-36231000</v>
      </c>
      <c r="AD5" s="10">
        <v>-36231000</v>
      </c>
      <c r="AE5" s="10">
        <v>-36231000</v>
      </c>
      <c r="AF5" s="10">
        <v>-36231000</v>
      </c>
      <c r="AG5" s="10">
        <v>-2826000</v>
      </c>
      <c r="AH5" s="10">
        <v>-2826000</v>
      </c>
      <c r="AI5" s="10">
        <v>-27061000</v>
      </c>
      <c r="AJ5" s="10">
        <v>-34730000</v>
      </c>
      <c r="AK5" s="10">
        <v>96709000</v>
      </c>
      <c r="AL5" s="10">
        <v>-31437000</v>
      </c>
      <c r="AM5" s="10">
        <v>92079000</v>
      </c>
      <c r="AN5" s="10">
        <v>29346000</v>
      </c>
      <c r="AO5" s="10">
        <v>-1902000</v>
      </c>
      <c r="AP5" s="10">
        <v>-2000</v>
      </c>
      <c r="AQ5" s="10"/>
      <c r="AR5" s="10"/>
      <c r="AS5" s="10">
        <v>-36165000</v>
      </c>
      <c r="AT5" s="10">
        <v>28187000</v>
      </c>
      <c r="AU5" s="10">
        <v>3478000</v>
      </c>
      <c r="AV5" s="10">
        <v>26812000</v>
      </c>
      <c r="AW5" s="10">
        <v>18209000</v>
      </c>
      <c r="AX5" s="10">
        <v>69897000</v>
      </c>
      <c r="AY5" s="10">
        <v>-600000</v>
      </c>
      <c r="AZ5" s="10">
        <v>-399000</v>
      </c>
      <c r="BA5" s="10">
        <v>66000</v>
      </c>
      <c r="BB5" s="10">
        <v>0.21</v>
      </c>
      <c r="BC5" s="41"/>
      <c r="BD5" s="10">
        <v>124896000</v>
      </c>
      <c r="BE5" s="10">
        <v>-31437000</v>
      </c>
      <c r="BF5" s="10">
        <v>93459000</v>
      </c>
      <c r="BG5" s="10">
        <v>-1900000</v>
      </c>
      <c r="BH5" s="10">
        <v>-1900000</v>
      </c>
      <c r="BI5" s="10"/>
      <c r="BJ5" s="10"/>
      <c r="BK5" s="41"/>
      <c r="BL5" s="10"/>
      <c r="BM5" s="10"/>
      <c r="BN5" s="41"/>
      <c r="BO5" s="10"/>
      <c r="BP5" s="41">
        <v>2022</v>
      </c>
      <c r="BQ5" s="10"/>
      <c r="BR5" s="10"/>
      <c r="BS5" s="10">
        <v>600000</v>
      </c>
      <c r="BT5" s="10"/>
      <c r="BU5" s="10"/>
      <c r="BV5" s="10"/>
      <c r="BW5" s="10"/>
      <c r="BX5" s="10">
        <v>40551000</v>
      </c>
      <c r="BY5" s="10"/>
      <c r="BZ5" s="10"/>
      <c r="CA5" s="156" t="s">
        <v>648</v>
      </c>
    </row>
    <row r="6" spans="1:79" hidden="1" x14ac:dyDescent="0.35">
      <c r="A6" s="156" t="s">
        <v>647</v>
      </c>
      <c r="B6" s="22">
        <v>45199</v>
      </c>
      <c r="C6">
        <v>2023</v>
      </c>
      <c r="D6" s="156" t="s">
        <v>214</v>
      </c>
      <c r="E6" s="156" t="s">
        <v>213</v>
      </c>
      <c r="F6" s="10"/>
      <c r="G6" s="10">
        <v>32365288</v>
      </c>
      <c r="H6" s="157">
        <v>-1.0900000000000001</v>
      </c>
      <c r="I6" s="10"/>
      <c r="J6" s="10"/>
      <c r="K6" s="10"/>
      <c r="L6" s="10">
        <v>32365288</v>
      </c>
      <c r="M6" s="10">
        <v>-1.0900000000000001</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41"/>
      <c r="BD6" s="10"/>
      <c r="BE6" s="10"/>
      <c r="BF6" s="10"/>
      <c r="BG6" s="10"/>
      <c r="BH6" s="10"/>
      <c r="BI6" s="10"/>
      <c r="BJ6" s="10"/>
      <c r="BK6" s="41"/>
      <c r="BL6" s="10"/>
      <c r="BM6" s="10"/>
      <c r="BN6" s="41"/>
      <c r="BO6" s="10"/>
      <c r="BP6" s="41">
        <v>2023</v>
      </c>
      <c r="BQ6" s="10"/>
      <c r="BR6" s="10"/>
      <c r="BS6" s="10"/>
      <c r="BT6" s="10"/>
      <c r="BU6" s="10"/>
      <c r="BV6" s="10"/>
      <c r="BW6" s="10"/>
      <c r="BX6" s="10"/>
      <c r="BY6" s="10"/>
      <c r="BZ6" s="10"/>
      <c r="CA6" s="156" t="s">
        <v>648</v>
      </c>
    </row>
    <row r="7" spans="1:79" hidden="1" x14ac:dyDescent="0.35">
      <c r="A7" s="156" t="s">
        <v>647</v>
      </c>
      <c r="B7" s="22">
        <v>45291</v>
      </c>
      <c r="C7">
        <v>2023</v>
      </c>
      <c r="D7" s="156" t="s">
        <v>212</v>
      </c>
      <c r="E7" s="156" t="s">
        <v>213</v>
      </c>
      <c r="F7" s="10"/>
      <c r="G7" s="10">
        <v>32517372</v>
      </c>
      <c r="H7" s="157">
        <v>-0.77</v>
      </c>
      <c r="I7" s="10">
        <v>87530000</v>
      </c>
      <c r="J7" s="10"/>
      <c r="K7" s="10"/>
      <c r="L7" s="10">
        <v>32517372</v>
      </c>
      <c r="M7" s="10">
        <v>-0.77</v>
      </c>
      <c r="N7" s="10">
        <v>-25028000</v>
      </c>
      <c r="O7" s="10">
        <v>-15880000</v>
      </c>
      <c r="P7" s="10">
        <v>-7703000</v>
      </c>
      <c r="Q7" s="10"/>
      <c r="R7" s="10"/>
      <c r="S7" s="10">
        <v>300000</v>
      </c>
      <c r="T7" s="10">
        <v>119553000</v>
      </c>
      <c r="U7" s="10">
        <v>154093000</v>
      </c>
      <c r="V7" s="10">
        <v>10791000</v>
      </c>
      <c r="W7" s="10">
        <v>10791000</v>
      </c>
      <c r="X7" s="10">
        <v>12500000</v>
      </c>
      <c r="Y7" s="10">
        <v>12500000</v>
      </c>
      <c r="Z7" s="10"/>
      <c r="AA7" s="10">
        <v>-25028000</v>
      </c>
      <c r="AB7" s="10">
        <v>-25028000</v>
      </c>
      <c r="AC7" s="10">
        <v>-25028000</v>
      </c>
      <c r="AD7" s="10">
        <v>-25028000</v>
      </c>
      <c r="AE7" s="10">
        <v>-25028000</v>
      </c>
      <c r="AF7" s="10">
        <v>-25028000</v>
      </c>
      <c r="AG7" s="10">
        <v>1709000</v>
      </c>
      <c r="AH7" s="10">
        <v>1709000</v>
      </c>
      <c r="AI7" s="10">
        <v>-8003000</v>
      </c>
      <c r="AJ7" s="10">
        <v>-25309400</v>
      </c>
      <c r="AK7" s="10">
        <v>182820000</v>
      </c>
      <c r="AL7" s="10">
        <v>-28727000</v>
      </c>
      <c r="AM7" s="10">
        <v>241601000</v>
      </c>
      <c r="AN7" s="10">
        <v>46836000</v>
      </c>
      <c r="AO7" s="10">
        <v>347000</v>
      </c>
      <c r="AP7" s="10">
        <v>47000</v>
      </c>
      <c r="AQ7" s="10"/>
      <c r="AR7" s="10"/>
      <c r="AS7" s="10">
        <v>-26671000</v>
      </c>
      <c r="AT7" s="10">
        <v>87530000</v>
      </c>
      <c r="AU7" s="10">
        <v>8177000</v>
      </c>
      <c r="AV7" s="10">
        <v>63267000</v>
      </c>
      <c r="AW7" s="10"/>
      <c r="AX7" s="10">
        <v>119553000</v>
      </c>
      <c r="AY7" s="10"/>
      <c r="AZ7" s="10">
        <v>18600</v>
      </c>
      <c r="BA7" s="10">
        <v>-1643000</v>
      </c>
      <c r="BB7" s="10">
        <v>6.2E-2</v>
      </c>
      <c r="BC7" s="41"/>
      <c r="BD7" s="10">
        <v>270350000</v>
      </c>
      <c r="BE7" s="10">
        <v>-28727000</v>
      </c>
      <c r="BF7" s="10">
        <v>241623000</v>
      </c>
      <c r="BG7" s="10">
        <v>300000</v>
      </c>
      <c r="BH7" s="10">
        <v>300000</v>
      </c>
      <c r="BI7" s="10"/>
      <c r="BJ7" s="10"/>
      <c r="BK7" s="41"/>
      <c r="BL7" s="10"/>
      <c r="BM7" s="10"/>
      <c r="BN7" s="41"/>
      <c r="BO7" s="10"/>
      <c r="BP7" s="41">
        <v>2023</v>
      </c>
      <c r="BQ7" s="10"/>
      <c r="BR7" s="10"/>
      <c r="BS7" s="10"/>
      <c r="BT7" s="10"/>
      <c r="BU7" s="10"/>
      <c r="BV7" s="10"/>
      <c r="BW7" s="10"/>
      <c r="BX7" s="10">
        <v>72717000</v>
      </c>
      <c r="BY7" s="10"/>
      <c r="BZ7" s="10"/>
      <c r="CA7" s="156" t="s">
        <v>648</v>
      </c>
    </row>
    <row r="8" spans="1:79" hidden="1" x14ac:dyDescent="0.35">
      <c r="A8" s="156" t="s">
        <v>647</v>
      </c>
      <c r="B8" s="22">
        <v>45291</v>
      </c>
      <c r="C8">
        <v>2023</v>
      </c>
      <c r="D8" s="156" t="s">
        <v>214</v>
      </c>
      <c r="E8" s="156" t="s">
        <v>213</v>
      </c>
      <c r="F8" s="10"/>
      <c r="G8" s="10">
        <v>32517372</v>
      </c>
      <c r="H8" s="157">
        <v>-0.77</v>
      </c>
      <c r="I8" s="10"/>
      <c r="J8" s="10"/>
      <c r="K8" s="10"/>
      <c r="L8" s="10">
        <v>32517372</v>
      </c>
      <c r="M8" s="10">
        <v>-0.77</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41"/>
      <c r="BD8" s="10"/>
      <c r="BE8" s="10"/>
      <c r="BF8" s="10"/>
      <c r="BG8" s="10"/>
      <c r="BH8" s="10"/>
      <c r="BI8" s="10"/>
      <c r="BJ8" s="10"/>
      <c r="BK8" s="41"/>
      <c r="BL8" s="10"/>
      <c r="BM8" s="10"/>
      <c r="BN8" s="41"/>
      <c r="BO8" s="10"/>
      <c r="BP8" s="41">
        <v>2023</v>
      </c>
      <c r="BQ8" s="10"/>
      <c r="BR8" s="10"/>
      <c r="BS8" s="10"/>
      <c r="BT8" s="10"/>
      <c r="BU8" s="10"/>
      <c r="BV8" s="10"/>
      <c r="BW8" s="10"/>
      <c r="BX8" s="10"/>
      <c r="BY8" s="10"/>
      <c r="BZ8" s="10"/>
      <c r="CA8" s="156" t="s">
        <v>648</v>
      </c>
    </row>
    <row r="9" spans="1:79" hidden="1" x14ac:dyDescent="0.35">
      <c r="A9" s="156" t="s">
        <v>647</v>
      </c>
      <c r="B9" s="22">
        <v>45382</v>
      </c>
      <c r="C9">
        <v>2024</v>
      </c>
      <c r="D9" s="156" t="s">
        <v>214</v>
      </c>
      <c r="E9" s="156" t="s">
        <v>213</v>
      </c>
      <c r="F9" s="10"/>
      <c r="G9" s="10">
        <v>32642353</v>
      </c>
      <c r="H9" s="157">
        <v>-0.32</v>
      </c>
      <c r="I9" s="10"/>
      <c r="J9" s="10"/>
      <c r="K9" s="10"/>
      <c r="L9" s="10">
        <v>33122029</v>
      </c>
      <c r="M9" s="10">
        <v>-0.34</v>
      </c>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41"/>
      <c r="BD9" s="10"/>
      <c r="BE9" s="10"/>
      <c r="BF9" s="10"/>
      <c r="BG9" s="10"/>
      <c r="BH9" s="10"/>
      <c r="BI9" s="10"/>
      <c r="BJ9" s="10"/>
      <c r="BK9" s="41"/>
      <c r="BL9" s="10"/>
      <c r="BM9" s="10"/>
      <c r="BN9" s="41"/>
      <c r="BO9" s="10"/>
      <c r="BP9" s="41">
        <v>2024</v>
      </c>
      <c r="BQ9" s="10"/>
      <c r="BR9" s="10"/>
      <c r="BS9" s="10"/>
      <c r="BT9" s="10"/>
      <c r="BU9" s="10"/>
      <c r="BV9" s="10"/>
      <c r="BW9" s="10"/>
      <c r="BX9" s="10"/>
      <c r="BY9" s="10"/>
      <c r="BZ9" s="10"/>
      <c r="CA9" s="156" t="s">
        <v>648</v>
      </c>
    </row>
    <row r="10" spans="1:79" hidden="1" x14ac:dyDescent="0.35">
      <c r="A10" s="156" t="s">
        <v>647</v>
      </c>
      <c r="B10" s="22">
        <v>45473</v>
      </c>
      <c r="C10">
        <v>2024</v>
      </c>
      <c r="D10" s="156" t="s">
        <v>214</v>
      </c>
      <c r="E10" s="156" t="s">
        <v>213</v>
      </c>
      <c r="F10" s="10"/>
      <c r="G10" s="10">
        <v>32785500</v>
      </c>
      <c r="H10" s="157">
        <v>0.08</v>
      </c>
      <c r="I10" s="10">
        <v>140950000</v>
      </c>
      <c r="J10" s="10"/>
      <c r="K10" s="10"/>
      <c r="L10" s="10">
        <v>33807375</v>
      </c>
      <c r="M10" s="10">
        <v>0.04</v>
      </c>
      <c r="N10" s="10">
        <v>3000000</v>
      </c>
      <c r="O10" s="10">
        <v>15896000</v>
      </c>
      <c r="P10" s="10">
        <v>30295000</v>
      </c>
      <c r="Q10" s="10"/>
      <c r="R10" s="10"/>
      <c r="S10" s="10"/>
      <c r="T10" s="10">
        <v>144269000</v>
      </c>
      <c r="U10" s="10">
        <v>217809000</v>
      </c>
      <c r="V10" s="10">
        <v>14416000</v>
      </c>
      <c r="W10" s="10">
        <v>14416000</v>
      </c>
      <c r="X10" s="10">
        <v>16352000</v>
      </c>
      <c r="Y10" s="10">
        <v>16352000</v>
      </c>
      <c r="Z10" s="10"/>
      <c r="AA10" s="10">
        <v>3000000</v>
      </c>
      <c r="AB10" s="10">
        <v>3000000</v>
      </c>
      <c r="AC10" s="10">
        <v>3000000</v>
      </c>
      <c r="AD10" s="10">
        <v>3000000</v>
      </c>
      <c r="AE10" s="10">
        <v>3000000</v>
      </c>
      <c r="AF10" s="10">
        <v>3000000</v>
      </c>
      <c r="AG10" s="10">
        <v>1936000</v>
      </c>
      <c r="AH10" s="10">
        <v>1936000</v>
      </c>
      <c r="AI10" s="10">
        <v>29995000</v>
      </c>
      <c r="AJ10" s="10">
        <v>2763000</v>
      </c>
      <c r="AK10" s="10">
        <v>218612000</v>
      </c>
      <c r="AL10" s="10">
        <v>-803000</v>
      </c>
      <c r="AM10" s="10">
        <v>358737000</v>
      </c>
      <c r="AN10" s="10">
        <v>52211000</v>
      </c>
      <c r="AO10" s="10"/>
      <c r="AP10" s="10"/>
      <c r="AQ10" s="10"/>
      <c r="AR10" s="10"/>
      <c r="AS10" s="10">
        <v>1480000</v>
      </c>
      <c r="AT10" s="10">
        <v>140950000</v>
      </c>
      <c r="AU10" s="10">
        <v>14399000</v>
      </c>
      <c r="AV10" s="10">
        <v>74343000</v>
      </c>
      <c r="AW10" s="10"/>
      <c r="AX10" s="10">
        <v>144269000</v>
      </c>
      <c r="AY10" s="10"/>
      <c r="AZ10" s="10">
        <v>63000</v>
      </c>
      <c r="BA10" s="10">
        <v>-1520000</v>
      </c>
      <c r="BB10" s="10">
        <v>0.21</v>
      </c>
      <c r="BC10" s="41"/>
      <c r="BD10" s="10">
        <v>359562000</v>
      </c>
      <c r="BE10" s="10">
        <v>-803000</v>
      </c>
      <c r="BF10" s="10">
        <v>358759000</v>
      </c>
      <c r="BG10" s="10">
        <v>300000</v>
      </c>
      <c r="BH10" s="10">
        <v>300000</v>
      </c>
      <c r="BI10" s="10"/>
      <c r="BJ10" s="10"/>
      <c r="BK10" s="41"/>
      <c r="BL10" s="10"/>
      <c r="BM10" s="10"/>
      <c r="BN10" s="41"/>
      <c r="BO10" s="10"/>
      <c r="BP10" s="41">
        <v>2024</v>
      </c>
      <c r="BQ10" s="10"/>
      <c r="BR10" s="10"/>
      <c r="BS10" s="10"/>
      <c r="BT10" s="10"/>
      <c r="BU10" s="10"/>
      <c r="BV10" s="10"/>
      <c r="BW10" s="10"/>
      <c r="BX10" s="10">
        <v>92058000</v>
      </c>
      <c r="BY10" s="10"/>
      <c r="BZ10" s="10"/>
      <c r="CA10" s="156" t="s">
        <v>648</v>
      </c>
    </row>
    <row r="11" spans="1:79" hidden="1" x14ac:dyDescent="0.35">
      <c r="A11" s="156" t="s">
        <v>649</v>
      </c>
      <c r="B11" s="22">
        <v>44196</v>
      </c>
      <c r="C11">
        <v>2020</v>
      </c>
      <c r="D11" s="156" t="s">
        <v>212</v>
      </c>
      <c r="E11" s="156" t="s">
        <v>213</v>
      </c>
      <c r="F11" s="10"/>
      <c r="G11" s="10">
        <v>69050565</v>
      </c>
      <c r="H11" s="157">
        <v>-0.48</v>
      </c>
      <c r="I11" s="10">
        <v>88766000</v>
      </c>
      <c r="J11" s="10"/>
      <c r="K11" s="10"/>
      <c r="L11" s="10">
        <v>69050565</v>
      </c>
      <c r="M11" s="10">
        <v>-0.48</v>
      </c>
      <c r="N11" s="10">
        <v>-33477000</v>
      </c>
      <c r="O11" s="10">
        <v>-32116000</v>
      </c>
      <c r="P11" s="10">
        <v>-26265000</v>
      </c>
      <c r="Q11" s="10"/>
      <c r="R11" s="10"/>
      <c r="S11" s="10"/>
      <c r="T11" s="10">
        <v>53152000</v>
      </c>
      <c r="U11" s="10">
        <v>215807000</v>
      </c>
      <c r="V11" s="10">
        <v>478000</v>
      </c>
      <c r="W11" s="10">
        <v>478000</v>
      </c>
      <c r="X11" s="10"/>
      <c r="Y11" s="10"/>
      <c r="Z11" s="10"/>
      <c r="AA11" s="10">
        <v>-33477000</v>
      </c>
      <c r="AB11" s="10">
        <v>-33477000</v>
      </c>
      <c r="AC11" s="10">
        <v>-33477000</v>
      </c>
      <c r="AD11" s="10">
        <v>-33477000</v>
      </c>
      <c r="AE11" s="10">
        <v>-33477000</v>
      </c>
      <c r="AF11" s="10">
        <v>-33477000</v>
      </c>
      <c r="AG11" s="10">
        <v>-478000</v>
      </c>
      <c r="AH11" s="10">
        <v>-478000</v>
      </c>
      <c r="AI11" s="10">
        <v>-26265000</v>
      </c>
      <c r="AJ11" s="10">
        <v>-33477000</v>
      </c>
      <c r="AK11" s="10">
        <v>253709000</v>
      </c>
      <c r="AL11" s="10">
        <v>-37902000</v>
      </c>
      <c r="AM11" s="10">
        <v>304573000</v>
      </c>
      <c r="AN11" s="10">
        <v>53152000</v>
      </c>
      <c r="AO11" s="10">
        <v>5786000</v>
      </c>
      <c r="AP11" s="10">
        <v>5786000</v>
      </c>
      <c r="AQ11" s="10"/>
      <c r="AR11" s="10"/>
      <c r="AS11" s="10">
        <v>-32594000</v>
      </c>
      <c r="AT11" s="10">
        <v>88766000</v>
      </c>
      <c r="AU11" s="10">
        <v>5851000</v>
      </c>
      <c r="AV11" s="10">
        <v>70241000</v>
      </c>
      <c r="AW11" s="10">
        <v>130316000</v>
      </c>
      <c r="AX11" s="10">
        <v>183468000</v>
      </c>
      <c r="AY11" s="10"/>
      <c r="AZ11" s="10">
        <v>0</v>
      </c>
      <c r="BA11" s="10">
        <v>883000</v>
      </c>
      <c r="BB11" s="10">
        <v>0.27</v>
      </c>
      <c r="BC11" s="41"/>
      <c r="BD11" s="10">
        <v>342475000</v>
      </c>
      <c r="BE11" s="10">
        <v>-37902000</v>
      </c>
      <c r="BF11" s="10">
        <v>304573000</v>
      </c>
      <c r="BG11" s="10"/>
      <c r="BH11" s="10"/>
      <c r="BI11" s="10"/>
      <c r="BJ11" s="10"/>
      <c r="BK11" s="41"/>
      <c r="BL11" s="10"/>
      <c r="BM11" s="10"/>
      <c r="BN11" s="41"/>
      <c r="BO11" s="10"/>
      <c r="BP11" s="41">
        <v>2020</v>
      </c>
      <c r="BQ11" s="10"/>
      <c r="BR11" s="10"/>
      <c r="BS11" s="10"/>
      <c r="BT11" s="10"/>
      <c r="BU11" s="10"/>
      <c r="BV11" s="10"/>
      <c r="BW11" s="10"/>
      <c r="BX11" s="10"/>
      <c r="BY11" s="10"/>
      <c r="BZ11" s="10"/>
      <c r="CA11" s="156" t="s">
        <v>650</v>
      </c>
    </row>
    <row r="12" spans="1:79" hidden="1" x14ac:dyDescent="0.35">
      <c r="A12" s="156" t="s">
        <v>649</v>
      </c>
      <c r="B12" s="22">
        <v>44561</v>
      </c>
      <c r="C12">
        <v>2021</v>
      </c>
      <c r="D12" s="156" t="s">
        <v>212</v>
      </c>
      <c r="E12" s="156" t="s">
        <v>213</v>
      </c>
      <c r="F12" s="10"/>
      <c r="G12" s="10">
        <v>71036490</v>
      </c>
      <c r="H12" s="157">
        <v>-1.25</v>
      </c>
      <c r="I12" s="10">
        <v>104093000</v>
      </c>
      <c r="J12" s="10"/>
      <c r="K12" s="10"/>
      <c r="L12" s="10">
        <v>71036490</v>
      </c>
      <c r="M12" s="10">
        <v>-1.25</v>
      </c>
      <c r="N12" s="10">
        <v>-88641000</v>
      </c>
      <c r="O12" s="10">
        <v>-87491000</v>
      </c>
      <c r="P12" s="10">
        <v>-81748000</v>
      </c>
      <c r="Q12" s="10"/>
      <c r="R12" s="10"/>
      <c r="S12" s="10"/>
      <c r="T12" s="10">
        <v>83704000</v>
      </c>
      <c r="U12" s="10">
        <v>265166000</v>
      </c>
      <c r="V12" s="10">
        <v>372000</v>
      </c>
      <c r="W12" s="10">
        <v>372000</v>
      </c>
      <c r="X12" s="10"/>
      <c r="Y12" s="10"/>
      <c r="Z12" s="10"/>
      <c r="AA12" s="10">
        <v>-88641000</v>
      </c>
      <c r="AB12" s="10">
        <v>-88641000</v>
      </c>
      <c r="AC12" s="10">
        <v>-88641000</v>
      </c>
      <c r="AD12" s="10">
        <v>-88641000</v>
      </c>
      <c r="AE12" s="10">
        <v>-88641000</v>
      </c>
      <c r="AF12" s="10">
        <v>-88641000</v>
      </c>
      <c r="AG12" s="10">
        <v>-372000</v>
      </c>
      <c r="AH12" s="10">
        <v>-372000</v>
      </c>
      <c r="AI12" s="10">
        <v>-81748000</v>
      </c>
      <c r="AJ12" s="10">
        <v>-88641000</v>
      </c>
      <c r="AK12" s="10">
        <v>349073000</v>
      </c>
      <c r="AL12" s="10">
        <v>-83907000</v>
      </c>
      <c r="AM12" s="10">
        <v>369259000</v>
      </c>
      <c r="AN12" s="10">
        <v>83704000</v>
      </c>
      <c r="AO12" s="10">
        <v>-3584000</v>
      </c>
      <c r="AP12" s="10">
        <v>-3584000</v>
      </c>
      <c r="AQ12" s="10"/>
      <c r="AR12" s="10"/>
      <c r="AS12" s="10">
        <v>-87863000</v>
      </c>
      <c r="AT12" s="10">
        <v>104093000</v>
      </c>
      <c r="AU12" s="10">
        <v>5743000</v>
      </c>
      <c r="AV12" s="10">
        <v>97517000</v>
      </c>
      <c r="AW12" s="10">
        <v>167852000</v>
      </c>
      <c r="AX12" s="10">
        <v>251556000</v>
      </c>
      <c r="AY12" s="10"/>
      <c r="AZ12" s="10">
        <v>0</v>
      </c>
      <c r="BA12" s="10">
        <v>778000</v>
      </c>
      <c r="BB12" s="10">
        <v>0.27</v>
      </c>
      <c r="BC12" s="41"/>
      <c r="BD12" s="10">
        <v>453166000</v>
      </c>
      <c r="BE12" s="10">
        <v>-83907000</v>
      </c>
      <c r="BF12" s="10">
        <v>369259000</v>
      </c>
      <c r="BG12" s="10"/>
      <c r="BH12" s="10"/>
      <c r="BI12" s="10"/>
      <c r="BJ12" s="10"/>
      <c r="BK12" s="41"/>
      <c r="BL12" s="10"/>
      <c r="BM12" s="10"/>
      <c r="BN12" s="41"/>
      <c r="BO12" s="10"/>
      <c r="BP12" s="41">
        <v>2021</v>
      </c>
      <c r="BQ12" s="10"/>
      <c r="BR12" s="10"/>
      <c r="BS12" s="10"/>
      <c r="BT12" s="10"/>
      <c r="BU12" s="10"/>
      <c r="BV12" s="10"/>
      <c r="BW12" s="10"/>
      <c r="BX12" s="10"/>
      <c r="BY12" s="10"/>
      <c r="BZ12" s="10"/>
      <c r="CA12" s="156" t="s">
        <v>650</v>
      </c>
    </row>
    <row r="13" spans="1:79" hidden="1" x14ac:dyDescent="0.35">
      <c r="A13" s="156" t="s">
        <v>649</v>
      </c>
      <c r="B13" s="22">
        <v>44926</v>
      </c>
      <c r="C13">
        <v>2022</v>
      </c>
      <c r="D13" s="156" t="s">
        <v>212</v>
      </c>
      <c r="E13" s="156" t="s">
        <v>213</v>
      </c>
      <c r="F13" s="10"/>
      <c r="G13" s="10">
        <v>72455000</v>
      </c>
      <c r="H13" s="157">
        <v>-2.08</v>
      </c>
      <c r="I13" s="10">
        <v>133306000</v>
      </c>
      <c r="J13" s="10"/>
      <c r="K13" s="10"/>
      <c r="L13" s="10">
        <v>72455000</v>
      </c>
      <c r="M13" s="10">
        <v>-2.08</v>
      </c>
      <c r="N13" s="10">
        <v>-150920000</v>
      </c>
      <c r="O13" s="10">
        <v>-148555000</v>
      </c>
      <c r="P13" s="10">
        <v>-141258000</v>
      </c>
      <c r="Q13" s="10"/>
      <c r="R13" s="10"/>
      <c r="S13" s="10"/>
      <c r="T13" s="10">
        <v>120111000</v>
      </c>
      <c r="U13" s="10">
        <v>334685000</v>
      </c>
      <c r="V13" s="10">
        <v>1673000</v>
      </c>
      <c r="W13" s="10">
        <v>1673000</v>
      </c>
      <c r="X13" s="10"/>
      <c r="Y13" s="10"/>
      <c r="Z13" s="10"/>
      <c r="AA13" s="10">
        <v>-150920000</v>
      </c>
      <c r="AB13" s="10">
        <v>-150920000</v>
      </c>
      <c r="AC13" s="10">
        <v>-150920000</v>
      </c>
      <c r="AD13" s="10">
        <v>-150920000</v>
      </c>
      <c r="AE13" s="10">
        <v>-150920000</v>
      </c>
      <c r="AF13" s="10">
        <v>-150920000</v>
      </c>
      <c r="AG13" s="10">
        <v>-1673000</v>
      </c>
      <c r="AH13" s="10">
        <v>-1673000</v>
      </c>
      <c r="AI13" s="10">
        <v>-141258000</v>
      </c>
      <c r="AJ13" s="10">
        <v>-150920000</v>
      </c>
      <c r="AK13" s="10">
        <v>479695000</v>
      </c>
      <c r="AL13" s="10">
        <v>-145010000</v>
      </c>
      <c r="AM13" s="10">
        <v>467991000</v>
      </c>
      <c r="AN13" s="10">
        <v>120111000</v>
      </c>
      <c r="AO13" s="10">
        <v>-3545000</v>
      </c>
      <c r="AP13" s="10">
        <v>-3545000</v>
      </c>
      <c r="AQ13" s="10"/>
      <c r="AR13" s="10"/>
      <c r="AS13" s="10">
        <v>-150228000</v>
      </c>
      <c r="AT13" s="10">
        <v>133306000</v>
      </c>
      <c r="AU13" s="10">
        <v>7297000</v>
      </c>
      <c r="AV13" s="10">
        <v>139210000</v>
      </c>
      <c r="AW13" s="10">
        <v>220374000</v>
      </c>
      <c r="AX13" s="10">
        <v>340485000</v>
      </c>
      <c r="AY13" s="10"/>
      <c r="AZ13" s="10">
        <v>0</v>
      </c>
      <c r="BA13" s="10">
        <v>692000</v>
      </c>
      <c r="BB13" s="10">
        <v>0.21</v>
      </c>
      <c r="BC13" s="41"/>
      <c r="BD13" s="10">
        <v>613001000</v>
      </c>
      <c r="BE13" s="10">
        <v>-145010000</v>
      </c>
      <c r="BF13" s="10">
        <v>467991000</v>
      </c>
      <c r="BG13" s="10"/>
      <c r="BH13" s="10"/>
      <c r="BI13" s="10"/>
      <c r="BJ13" s="10"/>
      <c r="BK13" s="41"/>
      <c r="BL13" s="10"/>
      <c r="BM13" s="10"/>
      <c r="BN13" s="41"/>
      <c r="BO13" s="10"/>
      <c r="BP13" s="41">
        <v>2022</v>
      </c>
      <c r="BQ13" s="10"/>
      <c r="BR13" s="10"/>
      <c r="BS13" s="10"/>
      <c r="BT13" s="10"/>
      <c r="BU13" s="10"/>
      <c r="BV13" s="10"/>
      <c r="BW13" s="10"/>
      <c r="BX13" s="10"/>
      <c r="BY13" s="10"/>
      <c r="BZ13" s="10"/>
      <c r="CA13" s="156" t="s">
        <v>650</v>
      </c>
    </row>
    <row r="14" spans="1:79" hidden="1" x14ac:dyDescent="0.35">
      <c r="A14" s="156" t="s">
        <v>649</v>
      </c>
      <c r="B14" s="22">
        <v>45199</v>
      </c>
      <c r="C14">
        <v>2023</v>
      </c>
      <c r="D14" s="156" t="s">
        <v>214</v>
      </c>
      <c r="E14" s="156" t="s">
        <v>213</v>
      </c>
      <c r="F14" s="10"/>
      <c r="G14" s="10">
        <v>72950175</v>
      </c>
      <c r="H14" s="157">
        <v>-1.86</v>
      </c>
      <c r="I14" s="10"/>
      <c r="J14" s="10"/>
      <c r="K14" s="10"/>
      <c r="L14" s="10">
        <v>72950175</v>
      </c>
      <c r="M14" s="10">
        <v>-1.86</v>
      </c>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41"/>
      <c r="BD14" s="10"/>
      <c r="BE14" s="10"/>
      <c r="BF14" s="10"/>
      <c r="BG14" s="10"/>
      <c r="BH14" s="10"/>
      <c r="BI14" s="10"/>
      <c r="BJ14" s="10"/>
      <c r="BK14" s="41"/>
      <c r="BL14" s="10"/>
      <c r="BM14" s="10"/>
      <c r="BN14" s="41"/>
      <c r="BO14" s="10"/>
      <c r="BP14" s="41">
        <v>2023</v>
      </c>
      <c r="BQ14" s="10"/>
      <c r="BR14" s="10"/>
      <c r="BS14" s="10"/>
      <c r="BT14" s="10"/>
      <c r="BU14" s="10"/>
      <c r="BV14" s="10"/>
      <c r="BW14" s="10"/>
      <c r="BX14" s="10"/>
      <c r="BY14" s="10"/>
      <c r="BZ14" s="10"/>
      <c r="CA14" s="156" t="s">
        <v>650</v>
      </c>
    </row>
    <row r="15" spans="1:79" hidden="1" x14ac:dyDescent="0.35">
      <c r="A15" s="156" t="s">
        <v>649</v>
      </c>
      <c r="B15" s="22">
        <v>45291</v>
      </c>
      <c r="C15">
        <v>2023</v>
      </c>
      <c r="D15" s="156" t="s">
        <v>212</v>
      </c>
      <c r="E15" s="156" t="s">
        <v>213</v>
      </c>
      <c r="F15" s="10"/>
      <c r="G15" s="10">
        <v>73102470</v>
      </c>
      <c r="H15" s="157">
        <v>-1.52</v>
      </c>
      <c r="I15" s="10">
        <v>143322000</v>
      </c>
      <c r="J15" s="10"/>
      <c r="K15" s="10"/>
      <c r="L15" s="10">
        <v>73102470</v>
      </c>
      <c r="M15" s="10">
        <v>-1.52</v>
      </c>
      <c r="N15" s="10">
        <v>-111441000</v>
      </c>
      <c r="O15" s="10">
        <v>-90370000</v>
      </c>
      <c r="P15" s="10">
        <v>-80897000</v>
      </c>
      <c r="Q15" s="10"/>
      <c r="R15" s="10"/>
      <c r="S15" s="10"/>
      <c r="T15" s="10">
        <v>114535000</v>
      </c>
      <c r="U15" s="10">
        <v>402041000</v>
      </c>
      <c r="V15" s="10">
        <v>17862000</v>
      </c>
      <c r="W15" s="10">
        <v>17862000</v>
      </c>
      <c r="X15" s="10"/>
      <c r="Y15" s="10"/>
      <c r="Z15" s="10"/>
      <c r="AA15" s="10">
        <v>-111441000</v>
      </c>
      <c r="AB15" s="10">
        <v>-111441000</v>
      </c>
      <c r="AC15" s="10">
        <v>-111441000</v>
      </c>
      <c r="AD15" s="10">
        <v>-111441000</v>
      </c>
      <c r="AE15" s="10">
        <v>-111441000</v>
      </c>
      <c r="AF15" s="10">
        <v>-111441000</v>
      </c>
      <c r="AG15" s="10">
        <v>-17862000</v>
      </c>
      <c r="AH15" s="10">
        <v>-17862000</v>
      </c>
      <c r="AI15" s="10">
        <v>-80897000</v>
      </c>
      <c r="AJ15" s="10">
        <v>-111441000</v>
      </c>
      <c r="AK15" s="10">
        <v>510014000</v>
      </c>
      <c r="AL15" s="10">
        <v>-107973000</v>
      </c>
      <c r="AM15" s="10">
        <v>545363000</v>
      </c>
      <c r="AN15" s="10">
        <v>114535000</v>
      </c>
      <c r="AO15" s="10">
        <v>17603000</v>
      </c>
      <c r="AP15" s="10">
        <v>17603000</v>
      </c>
      <c r="AQ15" s="10"/>
      <c r="AR15" s="10"/>
      <c r="AS15" s="10">
        <v>-108232000</v>
      </c>
      <c r="AT15" s="10">
        <v>143322000</v>
      </c>
      <c r="AU15" s="10">
        <v>9473000</v>
      </c>
      <c r="AV15" s="10">
        <v>153098000</v>
      </c>
      <c r="AW15" s="10">
        <v>242381000</v>
      </c>
      <c r="AX15" s="10">
        <v>356916000</v>
      </c>
      <c r="AY15" s="10"/>
      <c r="AZ15" s="10">
        <v>0</v>
      </c>
      <c r="BA15" s="10">
        <v>3209000</v>
      </c>
      <c r="BB15" s="10">
        <v>0.21</v>
      </c>
      <c r="BC15" s="41"/>
      <c r="BD15" s="10">
        <v>653336000</v>
      </c>
      <c r="BE15" s="10">
        <v>-107973000</v>
      </c>
      <c r="BF15" s="10">
        <v>545363000</v>
      </c>
      <c r="BG15" s="10"/>
      <c r="BH15" s="10"/>
      <c r="BI15" s="10"/>
      <c r="BJ15" s="10"/>
      <c r="BK15" s="41"/>
      <c r="BL15" s="10"/>
      <c r="BM15" s="10"/>
      <c r="BN15" s="41"/>
      <c r="BO15" s="10"/>
      <c r="BP15" s="41">
        <v>2023</v>
      </c>
      <c r="BQ15" s="10"/>
      <c r="BR15" s="10"/>
      <c r="BS15" s="10"/>
      <c r="BT15" s="10"/>
      <c r="BU15" s="10"/>
      <c r="BV15" s="10"/>
      <c r="BW15" s="10"/>
      <c r="BX15" s="10"/>
      <c r="BY15" s="10"/>
      <c r="BZ15" s="10"/>
      <c r="CA15" s="156" t="s">
        <v>650</v>
      </c>
    </row>
    <row r="16" spans="1:79" hidden="1" x14ac:dyDescent="0.35">
      <c r="A16" s="156" t="s">
        <v>649</v>
      </c>
      <c r="B16" s="22">
        <v>45382</v>
      </c>
      <c r="C16">
        <v>2024</v>
      </c>
      <c r="D16" s="156" t="s">
        <v>214</v>
      </c>
      <c r="E16" s="156" t="s">
        <v>213</v>
      </c>
      <c r="F16" s="10"/>
      <c r="G16" s="10">
        <v>73210220</v>
      </c>
      <c r="H16" s="157">
        <v>-1.46</v>
      </c>
      <c r="I16" s="10"/>
      <c r="J16" s="10"/>
      <c r="K16" s="10"/>
      <c r="L16" s="10">
        <v>73210220</v>
      </c>
      <c r="M16" s="10">
        <v>-1.46</v>
      </c>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41"/>
      <c r="BD16" s="10"/>
      <c r="BE16" s="10"/>
      <c r="BF16" s="10"/>
      <c r="BG16" s="10"/>
      <c r="BH16" s="10"/>
      <c r="BI16" s="10"/>
      <c r="BJ16" s="10"/>
      <c r="BK16" s="41"/>
      <c r="BL16" s="10"/>
      <c r="BM16" s="10"/>
      <c r="BN16" s="41"/>
      <c r="BO16" s="10"/>
      <c r="BP16" s="41">
        <v>2024</v>
      </c>
      <c r="BQ16" s="10"/>
      <c r="BR16" s="10"/>
      <c r="BS16" s="10"/>
      <c r="BT16" s="10"/>
      <c r="BU16" s="10"/>
      <c r="BV16" s="10"/>
      <c r="BW16" s="10"/>
      <c r="BX16" s="10"/>
      <c r="BY16" s="10"/>
      <c r="BZ16" s="10"/>
      <c r="CA16" s="156" t="s">
        <v>650</v>
      </c>
    </row>
    <row r="17" spans="1:79" hidden="1" x14ac:dyDescent="0.35">
      <c r="A17" s="156" t="s">
        <v>649</v>
      </c>
      <c r="B17" s="22">
        <v>45473</v>
      </c>
      <c r="C17">
        <v>2024</v>
      </c>
      <c r="D17" s="156" t="s">
        <v>214</v>
      </c>
      <c r="E17" s="156" t="s">
        <v>213</v>
      </c>
      <c r="F17" s="10"/>
      <c r="G17" s="10">
        <v>73024470</v>
      </c>
      <c r="H17" s="157">
        <v>-1.48</v>
      </c>
      <c r="I17" s="10">
        <v>147794000</v>
      </c>
      <c r="J17" s="10"/>
      <c r="K17" s="10"/>
      <c r="L17" s="10">
        <v>73024470</v>
      </c>
      <c r="M17" s="10">
        <v>-1.48</v>
      </c>
      <c r="N17" s="10">
        <v>-108772000</v>
      </c>
      <c r="O17" s="10">
        <v>-86409000</v>
      </c>
      <c r="P17" s="10">
        <v>-76700000</v>
      </c>
      <c r="Q17" s="10"/>
      <c r="R17" s="10"/>
      <c r="S17" s="10"/>
      <c r="T17" s="10">
        <v>129272000</v>
      </c>
      <c r="U17" s="10">
        <v>430904000</v>
      </c>
      <c r="V17" s="10">
        <v>21742000</v>
      </c>
      <c r="W17" s="10">
        <v>21742000</v>
      </c>
      <c r="X17" s="10"/>
      <c r="Y17" s="10"/>
      <c r="Z17" s="10"/>
      <c r="AA17" s="10">
        <v>-108772000</v>
      </c>
      <c r="AB17" s="10">
        <v>-108772000</v>
      </c>
      <c r="AC17" s="10">
        <v>-108772000</v>
      </c>
      <c r="AD17" s="10">
        <v>-108772000</v>
      </c>
      <c r="AE17" s="10">
        <v>-108772000</v>
      </c>
      <c r="AF17" s="10">
        <v>-108772000</v>
      </c>
      <c r="AG17" s="10">
        <v>-21742000</v>
      </c>
      <c r="AH17" s="10">
        <v>-21742000</v>
      </c>
      <c r="AI17" s="10">
        <v>-76700000</v>
      </c>
      <c r="AJ17" s="10">
        <v>-108772000</v>
      </c>
      <c r="AK17" s="10">
        <v>521678000</v>
      </c>
      <c r="AL17" s="10">
        <v>-90774000</v>
      </c>
      <c r="AM17" s="10">
        <v>578698000</v>
      </c>
      <c r="AN17" s="10">
        <v>129272000</v>
      </c>
      <c r="AO17" s="10">
        <v>4365000</v>
      </c>
      <c r="AP17" s="10">
        <v>4365000</v>
      </c>
      <c r="AQ17" s="10"/>
      <c r="AR17" s="10"/>
      <c r="AS17" s="10">
        <v>-108151000</v>
      </c>
      <c r="AT17" s="10">
        <v>147794000</v>
      </c>
      <c r="AU17" s="10">
        <v>9709000</v>
      </c>
      <c r="AV17" s="10">
        <v>150948000</v>
      </c>
      <c r="AW17" s="10">
        <v>241458000</v>
      </c>
      <c r="AX17" s="10">
        <v>370730000</v>
      </c>
      <c r="AY17" s="10"/>
      <c r="AZ17" s="10">
        <v>0</v>
      </c>
      <c r="BA17" s="10">
        <v>621000</v>
      </c>
      <c r="BB17" s="10">
        <v>0.21</v>
      </c>
      <c r="BC17" s="41"/>
      <c r="BD17" s="10">
        <v>669472000</v>
      </c>
      <c r="BE17" s="10">
        <v>-90774000</v>
      </c>
      <c r="BF17" s="10">
        <v>578698000</v>
      </c>
      <c r="BG17" s="10"/>
      <c r="BH17" s="10"/>
      <c r="BI17" s="10"/>
      <c r="BJ17" s="10"/>
      <c r="BK17" s="41"/>
      <c r="BL17" s="10"/>
      <c r="BM17" s="10"/>
      <c r="BN17" s="41"/>
      <c r="BO17" s="10"/>
      <c r="BP17" s="41">
        <v>2024</v>
      </c>
      <c r="BQ17" s="10"/>
      <c r="BR17" s="10"/>
      <c r="BS17" s="10"/>
      <c r="BT17" s="10"/>
      <c r="BU17" s="10"/>
      <c r="BV17" s="10"/>
      <c r="BW17" s="10"/>
      <c r="BX17" s="10"/>
      <c r="BY17" s="10"/>
      <c r="BZ17" s="10"/>
      <c r="CA17" s="156" t="s">
        <v>650</v>
      </c>
    </row>
    <row r="18" spans="1:79" hidden="1" x14ac:dyDescent="0.35">
      <c r="A18" s="156" t="s">
        <v>651</v>
      </c>
      <c r="B18" s="22">
        <v>43830</v>
      </c>
      <c r="C18">
        <v>2019</v>
      </c>
      <c r="D18" s="156" t="s">
        <v>212</v>
      </c>
      <c r="E18" s="156" t="s">
        <v>213</v>
      </c>
      <c r="F18" s="10"/>
      <c r="G18" s="10"/>
      <c r="H18" s="157"/>
      <c r="I18" s="10"/>
      <c r="J18" s="10"/>
      <c r="K18" s="10"/>
      <c r="L18" s="10"/>
      <c r="M18" s="10"/>
      <c r="N18" s="10"/>
      <c r="O18" s="10"/>
      <c r="P18" s="10"/>
      <c r="Q18" s="10"/>
      <c r="R18" s="10"/>
      <c r="S18" s="10"/>
      <c r="T18" s="10"/>
      <c r="U18" s="10"/>
      <c r="V18" s="10"/>
      <c r="W18" s="10"/>
      <c r="X18" s="10">
        <v>10909000</v>
      </c>
      <c r="Y18" s="10">
        <v>10909000</v>
      </c>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41">
        <v>-10909000</v>
      </c>
      <c r="BD18" s="10"/>
      <c r="BE18" s="10"/>
      <c r="BF18" s="10"/>
      <c r="BG18" s="10"/>
      <c r="BH18" s="10"/>
      <c r="BI18" s="10"/>
      <c r="BJ18" s="10"/>
      <c r="BK18" s="41"/>
      <c r="BL18" s="10"/>
      <c r="BM18" s="10"/>
      <c r="BN18" s="41"/>
      <c r="BO18" s="10"/>
      <c r="BP18" s="41">
        <v>2019</v>
      </c>
      <c r="BQ18" s="10"/>
      <c r="BR18" s="10"/>
      <c r="BS18" s="10"/>
      <c r="BT18" s="10"/>
      <c r="BU18" s="10"/>
      <c r="BV18" s="10"/>
      <c r="BW18" s="10"/>
      <c r="BX18" s="10"/>
      <c r="BY18" s="10"/>
      <c r="BZ18" s="10"/>
      <c r="CA18" s="156" t="s">
        <v>652</v>
      </c>
    </row>
    <row r="19" spans="1:79" hidden="1" x14ac:dyDescent="0.35">
      <c r="A19" s="156" t="s">
        <v>651</v>
      </c>
      <c r="B19" s="22">
        <v>44196</v>
      </c>
      <c r="C19">
        <v>2020</v>
      </c>
      <c r="D19" s="156" t="s">
        <v>212</v>
      </c>
      <c r="E19" s="156" t="s">
        <v>213</v>
      </c>
      <c r="F19" s="10"/>
      <c r="G19" s="10">
        <v>96840000</v>
      </c>
      <c r="H19" s="157">
        <v>-7.8E-2</v>
      </c>
      <c r="I19" s="10">
        <v>91055000</v>
      </c>
      <c r="J19" s="10"/>
      <c r="K19" s="10"/>
      <c r="L19" s="10">
        <v>96840000</v>
      </c>
      <c r="M19" s="10">
        <v>-7.8E-2</v>
      </c>
      <c r="N19" s="10">
        <v>-7524000</v>
      </c>
      <c r="O19" s="10">
        <v>57073000</v>
      </c>
      <c r="P19" s="10">
        <v>70405000</v>
      </c>
      <c r="Q19" s="10"/>
      <c r="R19" s="10"/>
      <c r="S19" s="10"/>
      <c r="T19" s="10">
        <v>80136000</v>
      </c>
      <c r="U19" s="10">
        <v>389680000</v>
      </c>
      <c r="V19" s="10"/>
      <c r="W19" s="10"/>
      <c r="X19" s="10">
        <v>710000</v>
      </c>
      <c r="Y19" s="10">
        <v>710000</v>
      </c>
      <c r="Z19" s="10"/>
      <c r="AA19" s="10">
        <v>-7524000</v>
      </c>
      <c r="AB19" s="10">
        <v>-7524000</v>
      </c>
      <c r="AC19" s="10">
        <v>-7524000</v>
      </c>
      <c r="AD19" s="10">
        <v>-7524000</v>
      </c>
      <c r="AE19" s="10">
        <v>-7524000</v>
      </c>
      <c r="AF19" s="10">
        <v>-7524000</v>
      </c>
      <c r="AG19" s="10">
        <v>710000</v>
      </c>
      <c r="AH19" s="10">
        <v>710000</v>
      </c>
      <c r="AI19" s="10">
        <v>141103000</v>
      </c>
      <c r="AJ19" s="10">
        <v>44085540</v>
      </c>
      <c r="AK19" s="10">
        <v>332607000</v>
      </c>
      <c r="AL19" s="10">
        <v>57073000</v>
      </c>
      <c r="AM19" s="10">
        <v>404259000</v>
      </c>
      <c r="AN19" s="10">
        <v>80136000</v>
      </c>
      <c r="AO19" s="10">
        <v>-77736000</v>
      </c>
      <c r="AP19" s="10">
        <v>-7038000</v>
      </c>
      <c r="AQ19" s="10"/>
      <c r="AR19" s="10"/>
      <c r="AS19" s="10">
        <v>-19953000</v>
      </c>
      <c r="AT19" s="10">
        <v>91055000</v>
      </c>
      <c r="AU19" s="10">
        <v>13332000</v>
      </c>
      <c r="AV19" s="10">
        <v>103561000</v>
      </c>
      <c r="AW19" s="10">
        <v>148910000</v>
      </c>
      <c r="AX19" s="10">
        <v>229046000</v>
      </c>
      <c r="AY19" s="10">
        <v>-70698000</v>
      </c>
      <c r="AZ19" s="10">
        <v>-19088460</v>
      </c>
      <c r="BA19" s="10">
        <v>-12429000</v>
      </c>
      <c r="BB19" s="10">
        <v>0.27</v>
      </c>
      <c r="BC19" s="41">
        <v>-710000</v>
      </c>
      <c r="BD19" s="10">
        <v>423662000</v>
      </c>
      <c r="BE19" s="10">
        <v>-13625000</v>
      </c>
      <c r="BF19" s="10">
        <v>480735000</v>
      </c>
      <c r="BG19" s="10">
        <v>-70698000</v>
      </c>
      <c r="BH19" s="10">
        <v>-70698000</v>
      </c>
      <c r="BI19" s="10"/>
      <c r="BJ19" s="10"/>
      <c r="BK19" s="41"/>
      <c r="BL19" s="10"/>
      <c r="BM19" s="10">
        <v>70698000</v>
      </c>
      <c r="BN19" s="41"/>
      <c r="BO19" s="10"/>
      <c r="BP19" s="41">
        <v>2020</v>
      </c>
      <c r="BQ19" s="10"/>
      <c r="BR19" s="10"/>
      <c r="BS19" s="10"/>
      <c r="BT19" s="10"/>
      <c r="BU19" s="10"/>
      <c r="BV19" s="10"/>
      <c r="BW19" s="10"/>
      <c r="BX19" s="10"/>
      <c r="BY19" s="10"/>
      <c r="BZ19" s="10"/>
      <c r="CA19" s="156" t="s">
        <v>652</v>
      </c>
    </row>
    <row r="20" spans="1:79" hidden="1" x14ac:dyDescent="0.35">
      <c r="A20" s="156" t="s">
        <v>651</v>
      </c>
      <c r="B20" s="22">
        <v>44561</v>
      </c>
      <c r="C20">
        <v>2021</v>
      </c>
      <c r="D20" s="156" t="s">
        <v>212</v>
      </c>
      <c r="E20" s="156" t="s">
        <v>213</v>
      </c>
      <c r="F20" s="10">
        <v>0</v>
      </c>
      <c r="G20" s="10">
        <v>100200000</v>
      </c>
      <c r="H20" s="157">
        <v>-5.3440000000000003</v>
      </c>
      <c r="I20" s="10">
        <v>91909000</v>
      </c>
      <c r="J20" s="10"/>
      <c r="K20" s="10"/>
      <c r="L20" s="10">
        <v>100200000</v>
      </c>
      <c r="M20" s="10">
        <v>-5.3440000000000003</v>
      </c>
      <c r="N20" s="10">
        <v>-535480000</v>
      </c>
      <c r="O20" s="10">
        <v>-782240000</v>
      </c>
      <c r="P20" s="10">
        <v>-770882000</v>
      </c>
      <c r="Q20" s="10"/>
      <c r="R20" s="10"/>
      <c r="S20" s="10"/>
      <c r="T20" s="10">
        <v>95501000</v>
      </c>
      <c r="U20" s="10">
        <v>418853000</v>
      </c>
      <c r="V20" s="10">
        <v>29149000</v>
      </c>
      <c r="W20" s="10">
        <v>29149000</v>
      </c>
      <c r="X20" s="10"/>
      <c r="Y20" s="10"/>
      <c r="Z20" s="10"/>
      <c r="AA20" s="10">
        <v>-535480000</v>
      </c>
      <c r="AB20" s="10">
        <v>-535480000</v>
      </c>
      <c r="AC20" s="10">
        <v>-535480000</v>
      </c>
      <c r="AD20" s="10">
        <v>-535480000</v>
      </c>
      <c r="AE20" s="10">
        <v>-535480000</v>
      </c>
      <c r="AF20" s="10">
        <v>-535480000</v>
      </c>
      <c r="AG20" s="10">
        <v>-29149000</v>
      </c>
      <c r="AH20" s="10">
        <v>-29149000</v>
      </c>
      <c r="AI20" s="10">
        <v>59739000</v>
      </c>
      <c r="AJ20" s="10">
        <v>12729860</v>
      </c>
      <c r="AK20" s="10">
        <v>372759000</v>
      </c>
      <c r="AL20" s="10">
        <v>46094000</v>
      </c>
      <c r="AM20" s="10">
        <v>426082000</v>
      </c>
      <c r="AN20" s="10">
        <v>95501000</v>
      </c>
      <c r="AO20" s="10">
        <v>-828334000</v>
      </c>
      <c r="AP20" s="10">
        <v>2287000</v>
      </c>
      <c r="AQ20" s="10"/>
      <c r="AR20" s="10"/>
      <c r="AS20" s="10">
        <v>-811389000</v>
      </c>
      <c r="AT20" s="10">
        <v>91909000</v>
      </c>
      <c r="AU20" s="10">
        <v>11358000</v>
      </c>
      <c r="AV20" s="10">
        <v>117117000</v>
      </c>
      <c r="AW20" s="10">
        <v>160141000</v>
      </c>
      <c r="AX20" s="10">
        <v>255642000</v>
      </c>
      <c r="AY20" s="10">
        <v>-830621000</v>
      </c>
      <c r="AZ20" s="10">
        <v>-282411140</v>
      </c>
      <c r="BA20" s="10">
        <v>-275909000</v>
      </c>
      <c r="BB20" s="10">
        <v>0.34</v>
      </c>
      <c r="BC20" s="41">
        <v>29149000</v>
      </c>
      <c r="BD20" s="10">
        <v>464668000</v>
      </c>
      <c r="BE20" s="10">
        <v>-784527000</v>
      </c>
      <c r="BF20" s="10">
        <v>510762000</v>
      </c>
      <c r="BG20" s="10">
        <v>-830621000</v>
      </c>
      <c r="BH20" s="10">
        <v>-830621000</v>
      </c>
      <c r="BI20" s="10"/>
      <c r="BJ20" s="10"/>
      <c r="BK20" s="41"/>
      <c r="BL20" s="10"/>
      <c r="BM20" s="10">
        <v>830621000</v>
      </c>
      <c r="BN20" s="41"/>
      <c r="BO20" s="10"/>
      <c r="BP20" s="41">
        <v>2021</v>
      </c>
      <c r="BQ20" s="10"/>
      <c r="BR20" s="10"/>
      <c r="BS20" s="10"/>
      <c r="BT20" s="10"/>
      <c r="BU20" s="10"/>
      <c r="BV20" s="10"/>
      <c r="BW20" s="10"/>
      <c r="BX20" s="10"/>
      <c r="BY20" s="10"/>
      <c r="BZ20" s="10"/>
      <c r="CA20" s="156" t="s">
        <v>652</v>
      </c>
    </row>
    <row r="21" spans="1:79" hidden="1" x14ac:dyDescent="0.35">
      <c r="A21" s="156" t="s">
        <v>651</v>
      </c>
      <c r="B21" s="22">
        <v>44926</v>
      </c>
      <c r="C21">
        <v>2022</v>
      </c>
      <c r="D21" s="156" t="s">
        <v>212</v>
      </c>
      <c r="E21" s="156" t="s">
        <v>213</v>
      </c>
      <c r="F21" s="10">
        <v>0</v>
      </c>
      <c r="G21" s="10">
        <v>113210000</v>
      </c>
      <c r="H21" s="157">
        <v>-12.983000000000001</v>
      </c>
      <c r="I21" s="10">
        <v>102989000</v>
      </c>
      <c r="J21" s="10"/>
      <c r="K21" s="10"/>
      <c r="L21" s="10">
        <v>113210000</v>
      </c>
      <c r="M21" s="10">
        <v>-12.983000000000001</v>
      </c>
      <c r="N21" s="10">
        <v>-1469797000</v>
      </c>
      <c r="O21" s="10">
        <v>-1269329000</v>
      </c>
      <c r="P21" s="10">
        <v>-1258455000</v>
      </c>
      <c r="Q21" s="10"/>
      <c r="R21" s="10"/>
      <c r="S21" s="10"/>
      <c r="T21" s="10">
        <v>111421000</v>
      </c>
      <c r="U21" s="10">
        <v>396275000</v>
      </c>
      <c r="V21" s="10">
        <v>53136000</v>
      </c>
      <c r="W21" s="10">
        <v>53136000</v>
      </c>
      <c r="X21" s="10"/>
      <c r="Y21" s="10"/>
      <c r="Z21" s="10"/>
      <c r="AA21" s="10">
        <v>-1469797000</v>
      </c>
      <c r="AB21" s="10">
        <v>-1469797000</v>
      </c>
      <c r="AC21" s="10">
        <v>-1469797000</v>
      </c>
      <c r="AD21" s="10">
        <v>-1469797000</v>
      </c>
      <c r="AE21" s="10">
        <v>-1469797000</v>
      </c>
      <c r="AF21" s="10">
        <v>-1469797000</v>
      </c>
      <c r="AG21" s="10">
        <v>-53136000</v>
      </c>
      <c r="AH21" s="10">
        <v>-53136000</v>
      </c>
      <c r="AI21" s="10">
        <v>27831000</v>
      </c>
      <c r="AJ21" s="10">
        <v>-453631060</v>
      </c>
      <c r="AK21" s="10">
        <v>385731000</v>
      </c>
      <c r="AL21" s="10">
        <v>10544000</v>
      </c>
      <c r="AM21" s="10">
        <v>413765000</v>
      </c>
      <c r="AN21" s="10">
        <v>111421000</v>
      </c>
      <c r="AO21" s="10">
        <v>-1279873000</v>
      </c>
      <c r="AP21" s="10">
        <v>6413000</v>
      </c>
      <c r="AQ21" s="10"/>
      <c r="AR21" s="10"/>
      <c r="AS21" s="10">
        <v>-1322465000</v>
      </c>
      <c r="AT21" s="10">
        <v>102989000</v>
      </c>
      <c r="AU21" s="10">
        <v>10874000</v>
      </c>
      <c r="AV21" s="10">
        <v>127428000</v>
      </c>
      <c r="AW21" s="10">
        <v>146882000</v>
      </c>
      <c r="AX21" s="10">
        <v>258303000</v>
      </c>
      <c r="AY21" s="10">
        <v>-1286286000</v>
      </c>
      <c r="AZ21" s="10">
        <v>-270120060</v>
      </c>
      <c r="BA21" s="10">
        <v>147332000</v>
      </c>
      <c r="BB21" s="10">
        <v>0.21</v>
      </c>
      <c r="BC21" s="41">
        <v>53136000</v>
      </c>
      <c r="BD21" s="10">
        <v>488720000</v>
      </c>
      <c r="BE21" s="10">
        <v>-1275742000</v>
      </c>
      <c r="BF21" s="10">
        <v>499264000</v>
      </c>
      <c r="BG21" s="10">
        <v>-1286286000</v>
      </c>
      <c r="BH21" s="10">
        <v>-1286286000</v>
      </c>
      <c r="BI21" s="10"/>
      <c r="BJ21" s="10"/>
      <c r="BK21" s="41"/>
      <c r="BL21" s="10"/>
      <c r="BM21" s="10">
        <v>1286286000</v>
      </c>
      <c r="BN21" s="41"/>
      <c r="BO21" s="10"/>
      <c r="BP21" s="41">
        <v>2022</v>
      </c>
      <c r="BQ21" s="10"/>
      <c r="BR21" s="10"/>
      <c r="BS21" s="10"/>
      <c r="BT21" s="10"/>
      <c r="BU21" s="10"/>
      <c r="BV21" s="10"/>
      <c r="BW21" s="10"/>
      <c r="BX21" s="10"/>
      <c r="BY21" s="10"/>
      <c r="BZ21" s="10"/>
      <c r="CA21" s="156" t="s">
        <v>652</v>
      </c>
    </row>
    <row r="22" spans="1:79" hidden="1" x14ac:dyDescent="0.35">
      <c r="A22" s="156" t="s">
        <v>651</v>
      </c>
      <c r="B22" s="22">
        <v>45199</v>
      </c>
      <c r="C22">
        <v>2023</v>
      </c>
      <c r="D22" s="156" t="s">
        <v>214</v>
      </c>
      <c r="E22" s="156" t="s">
        <v>213</v>
      </c>
      <c r="F22" s="10"/>
      <c r="G22" s="10">
        <v>11595500</v>
      </c>
      <c r="H22" s="157">
        <v>7.31</v>
      </c>
      <c r="I22" s="10"/>
      <c r="J22" s="10"/>
      <c r="K22" s="10"/>
      <c r="L22" s="10">
        <v>13730750</v>
      </c>
      <c r="M22" s="10">
        <v>2.0299999999999998</v>
      </c>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41"/>
      <c r="BD22" s="10"/>
      <c r="BE22" s="10"/>
      <c r="BF22" s="10"/>
      <c r="BG22" s="10"/>
      <c r="BH22" s="10"/>
      <c r="BI22" s="10"/>
      <c r="BJ22" s="10"/>
      <c r="BK22" s="41"/>
      <c r="BL22" s="10"/>
      <c r="BM22" s="10"/>
      <c r="BN22" s="41"/>
      <c r="BO22" s="10"/>
      <c r="BP22" s="41">
        <v>2023</v>
      </c>
      <c r="BQ22" s="10"/>
      <c r="BR22" s="10"/>
      <c r="BS22" s="10"/>
      <c r="BT22" s="10"/>
      <c r="BU22" s="10"/>
      <c r="BV22" s="10"/>
      <c r="BW22" s="10"/>
      <c r="BX22" s="10"/>
      <c r="BY22" s="10"/>
      <c r="BZ22" s="10"/>
      <c r="CA22" s="156" t="s">
        <v>652</v>
      </c>
    </row>
    <row r="23" spans="1:79" hidden="1" x14ac:dyDescent="0.35">
      <c r="A23" s="156" t="s">
        <v>651</v>
      </c>
      <c r="B23" s="22">
        <v>45291</v>
      </c>
      <c r="C23">
        <v>2023</v>
      </c>
      <c r="D23" s="156" t="s">
        <v>212</v>
      </c>
      <c r="E23" s="156" t="s">
        <v>213</v>
      </c>
      <c r="F23" s="10">
        <v>8522000</v>
      </c>
      <c r="G23" s="10">
        <v>136710000</v>
      </c>
      <c r="H23" s="157">
        <v>3.1389999999999998</v>
      </c>
      <c r="I23" s="10">
        <v>109944000</v>
      </c>
      <c r="J23" s="10"/>
      <c r="K23" s="10"/>
      <c r="L23" s="10">
        <v>165660000</v>
      </c>
      <c r="M23" s="10">
        <v>2.6419999999999999</v>
      </c>
      <c r="N23" s="10">
        <v>437643000</v>
      </c>
      <c r="O23" s="10">
        <v>-75565000</v>
      </c>
      <c r="P23" s="10">
        <v>-61038000</v>
      </c>
      <c r="Q23" s="10"/>
      <c r="R23" s="10"/>
      <c r="S23" s="10"/>
      <c r="T23" s="10">
        <v>115312000</v>
      </c>
      <c r="U23" s="10">
        <v>386317000</v>
      </c>
      <c r="V23" s="10">
        <v>48960000</v>
      </c>
      <c r="W23" s="10">
        <v>48960000</v>
      </c>
      <c r="X23" s="10"/>
      <c r="Y23" s="10"/>
      <c r="Z23" s="10"/>
      <c r="AA23" s="10">
        <v>429121000</v>
      </c>
      <c r="AB23" s="10">
        <v>429121000</v>
      </c>
      <c r="AC23" s="10">
        <v>429121000</v>
      </c>
      <c r="AD23" s="10">
        <v>429121000</v>
      </c>
      <c r="AE23" s="10">
        <v>429121000</v>
      </c>
      <c r="AF23" s="10">
        <v>429121000</v>
      </c>
      <c r="AG23" s="10">
        <v>-48960000</v>
      </c>
      <c r="AH23" s="10">
        <v>-48960000</v>
      </c>
      <c r="AI23" s="10">
        <v>10127000</v>
      </c>
      <c r="AJ23" s="10">
        <v>485341350</v>
      </c>
      <c r="AK23" s="10">
        <v>385513000</v>
      </c>
      <c r="AL23" s="10">
        <v>804000</v>
      </c>
      <c r="AM23" s="10">
        <v>420418000</v>
      </c>
      <c r="AN23" s="10">
        <v>115312000</v>
      </c>
      <c r="AO23" s="10">
        <v>-76369000</v>
      </c>
      <c r="AP23" s="10">
        <v>-5204000</v>
      </c>
      <c r="AQ23" s="10"/>
      <c r="AR23" s="10"/>
      <c r="AS23" s="10">
        <v>-124525000</v>
      </c>
      <c r="AT23" s="10">
        <v>109944000</v>
      </c>
      <c r="AU23" s="10">
        <v>14527000</v>
      </c>
      <c r="AV23" s="10">
        <v>120530000</v>
      </c>
      <c r="AW23" s="10">
        <v>149671000</v>
      </c>
      <c r="AX23" s="10">
        <v>264983000</v>
      </c>
      <c r="AY23" s="10">
        <v>-71165000</v>
      </c>
      <c r="AZ23" s="10">
        <v>-14944650</v>
      </c>
      <c r="BA23" s="10">
        <v>-553646000</v>
      </c>
      <c r="BB23" s="10">
        <v>0.21</v>
      </c>
      <c r="BC23" s="41"/>
      <c r="BD23" s="10">
        <v>495457000</v>
      </c>
      <c r="BE23" s="10">
        <v>-115047000</v>
      </c>
      <c r="BF23" s="10">
        <v>496261000</v>
      </c>
      <c r="BG23" s="10">
        <v>-71165000</v>
      </c>
      <c r="BH23" s="10">
        <v>-71165000</v>
      </c>
      <c r="BI23" s="10"/>
      <c r="BJ23" s="10"/>
      <c r="BK23" s="41"/>
      <c r="BL23" s="10"/>
      <c r="BM23" s="10">
        <v>115851000</v>
      </c>
      <c r="BN23" s="41"/>
      <c r="BO23" s="10"/>
      <c r="BP23" s="41">
        <v>2023</v>
      </c>
      <c r="BQ23" s="10"/>
      <c r="BR23" s="10"/>
      <c r="BS23" s="10">
        <v>-44686000</v>
      </c>
      <c r="BT23" s="10"/>
      <c r="BU23" s="10"/>
      <c r="BV23" s="10"/>
      <c r="BW23" s="10"/>
      <c r="BX23" s="10"/>
      <c r="BY23" s="10"/>
      <c r="BZ23" s="10"/>
      <c r="CA23" s="156" t="s">
        <v>652</v>
      </c>
    </row>
    <row r="24" spans="1:79" hidden="1" x14ac:dyDescent="0.35">
      <c r="A24" s="156" t="s">
        <v>651</v>
      </c>
      <c r="B24" s="22">
        <v>45291</v>
      </c>
      <c r="C24">
        <v>2023</v>
      </c>
      <c r="D24" s="156" t="s">
        <v>214</v>
      </c>
      <c r="E24" s="156" t="s">
        <v>213</v>
      </c>
      <c r="F24" s="10"/>
      <c r="G24" s="10">
        <v>13671000</v>
      </c>
      <c r="H24" s="157">
        <v>31.39</v>
      </c>
      <c r="I24" s="10"/>
      <c r="J24" s="10"/>
      <c r="K24" s="10"/>
      <c r="L24" s="10">
        <v>16566000</v>
      </c>
      <c r="M24" s="10">
        <v>26.42</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41"/>
      <c r="BD24" s="10"/>
      <c r="BE24" s="10"/>
      <c r="BF24" s="10"/>
      <c r="BG24" s="10"/>
      <c r="BH24" s="10"/>
      <c r="BI24" s="10"/>
      <c r="BJ24" s="10"/>
      <c r="BK24" s="41"/>
      <c r="BL24" s="10"/>
      <c r="BM24" s="10"/>
      <c r="BN24" s="41"/>
      <c r="BO24" s="10"/>
      <c r="BP24" s="41">
        <v>2023</v>
      </c>
      <c r="BQ24" s="10"/>
      <c r="BR24" s="10"/>
      <c r="BS24" s="10"/>
      <c r="BT24" s="10"/>
      <c r="BU24" s="10"/>
      <c r="BV24" s="10"/>
      <c r="BW24" s="10"/>
      <c r="BX24" s="10"/>
      <c r="BY24" s="10"/>
      <c r="BZ24" s="10"/>
      <c r="CA24" s="156" t="s">
        <v>652</v>
      </c>
    </row>
    <row r="25" spans="1:79" hidden="1" x14ac:dyDescent="0.35">
      <c r="A25" s="156" t="s">
        <v>651</v>
      </c>
      <c r="B25" s="22">
        <v>45382</v>
      </c>
      <c r="C25">
        <v>2024</v>
      </c>
      <c r="D25" s="156" t="s">
        <v>214</v>
      </c>
      <c r="E25" s="156" t="s">
        <v>213</v>
      </c>
      <c r="F25" s="10"/>
      <c r="G25" s="10">
        <v>15011000</v>
      </c>
      <c r="H25" s="157">
        <v>-10.67</v>
      </c>
      <c r="I25" s="10"/>
      <c r="J25" s="10"/>
      <c r="K25" s="10"/>
      <c r="L25" s="10">
        <v>17220750</v>
      </c>
      <c r="M25" s="10">
        <v>-10.67</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41"/>
      <c r="BD25" s="10"/>
      <c r="BE25" s="10"/>
      <c r="BF25" s="10"/>
      <c r="BG25" s="10"/>
      <c r="BH25" s="10"/>
      <c r="BI25" s="10"/>
      <c r="BJ25" s="10"/>
      <c r="BK25" s="41"/>
      <c r="BL25" s="10"/>
      <c r="BM25" s="10"/>
      <c r="BN25" s="41"/>
      <c r="BO25" s="10"/>
      <c r="BP25" s="41">
        <v>2024</v>
      </c>
      <c r="BQ25" s="10"/>
      <c r="BR25" s="10"/>
      <c r="BS25" s="10"/>
      <c r="BT25" s="10"/>
      <c r="BU25" s="10"/>
      <c r="BV25" s="10"/>
      <c r="BW25" s="10"/>
      <c r="BX25" s="10"/>
      <c r="BY25" s="10"/>
      <c r="BZ25" s="10"/>
      <c r="CA25" s="156" t="s">
        <v>652</v>
      </c>
    </row>
    <row r="26" spans="1:79" hidden="1" x14ac:dyDescent="0.35">
      <c r="A26" s="156" t="s">
        <v>651</v>
      </c>
      <c r="B26" s="22">
        <v>45473</v>
      </c>
      <c r="C26">
        <v>2024</v>
      </c>
      <c r="D26" s="156" t="s">
        <v>214</v>
      </c>
      <c r="E26" s="156" t="s">
        <v>213</v>
      </c>
      <c r="F26" s="10">
        <v>4239000</v>
      </c>
      <c r="G26" s="10">
        <v>165680000</v>
      </c>
      <c r="H26" s="157">
        <v>-1.867</v>
      </c>
      <c r="I26" s="10">
        <v>115832000</v>
      </c>
      <c r="J26" s="10"/>
      <c r="K26" s="10"/>
      <c r="L26" s="10">
        <v>180655000</v>
      </c>
      <c r="M26" s="10">
        <v>-1.867</v>
      </c>
      <c r="N26" s="10">
        <v>-205753000</v>
      </c>
      <c r="O26" s="10">
        <v>-473129000</v>
      </c>
      <c r="P26" s="10">
        <v>-458562000</v>
      </c>
      <c r="Q26" s="10"/>
      <c r="R26" s="10"/>
      <c r="S26" s="10"/>
      <c r="T26" s="10">
        <v>129371000</v>
      </c>
      <c r="U26" s="10">
        <v>364802000</v>
      </c>
      <c r="V26" s="10">
        <v>50282000</v>
      </c>
      <c r="W26" s="10">
        <v>50282000</v>
      </c>
      <c r="X26" s="10"/>
      <c r="Y26" s="10"/>
      <c r="Z26" s="10"/>
      <c r="AA26" s="10">
        <v>-209992000</v>
      </c>
      <c r="AB26" s="10">
        <v>-209992000</v>
      </c>
      <c r="AC26" s="10">
        <v>-209992000</v>
      </c>
      <c r="AD26" s="10">
        <v>-209992000</v>
      </c>
      <c r="AE26" s="10">
        <v>-209992000</v>
      </c>
      <c r="AF26" s="10">
        <v>-209992000</v>
      </c>
      <c r="AG26" s="10">
        <v>-50282000</v>
      </c>
      <c r="AH26" s="10">
        <v>-50282000</v>
      </c>
      <c r="AI26" s="10">
        <v>-14042000</v>
      </c>
      <c r="AJ26" s="10">
        <v>141178800</v>
      </c>
      <c r="AK26" s="10">
        <v>392290000</v>
      </c>
      <c r="AL26" s="10">
        <v>-27488000</v>
      </c>
      <c r="AM26" s="10">
        <v>410929000</v>
      </c>
      <c r="AN26" s="10">
        <v>129371000</v>
      </c>
      <c r="AO26" s="10">
        <v>-445641000</v>
      </c>
      <c r="AP26" s="10">
        <v>-1121000</v>
      </c>
      <c r="AQ26" s="10"/>
      <c r="AR26" s="10"/>
      <c r="AS26" s="10">
        <v>-523411000</v>
      </c>
      <c r="AT26" s="10">
        <v>115832000</v>
      </c>
      <c r="AU26" s="10">
        <v>14567000</v>
      </c>
      <c r="AV26" s="10">
        <v>119312000</v>
      </c>
      <c r="AW26" s="10">
        <v>143607000</v>
      </c>
      <c r="AX26" s="10">
        <v>272978000</v>
      </c>
      <c r="AY26" s="10">
        <v>-444520000</v>
      </c>
      <c r="AZ26" s="10">
        <v>-93349200</v>
      </c>
      <c r="BA26" s="10">
        <v>-313419000</v>
      </c>
      <c r="BB26" s="10">
        <v>0.21</v>
      </c>
      <c r="BC26" s="41"/>
      <c r="BD26" s="10">
        <v>508122000</v>
      </c>
      <c r="BE26" s="10">
        <v>-472008000</v>
      </c>
      <c r="BF26" s="10">
        <v>480634000</v>
      </c>
      <c r="BG26" s="10">
        <v>-444520000</v>
      </c>
      <c r="BH26" s="10">
        <v>-444520000</v>
      </c>
      <c r="BI26" s="10"/>
      <c r="BJ26" s="10"/>
      <c r="BK26" s="41"/>
      <c r="BL26" s="10"/>
      <c r="BM26" s="10">
        <v>444520000</v>
      </c>
      <c r="BN26" s="41"/>
      <c r="BO26" s="10"/>
      <c r="BP26" s="41">
        <v>2024</v>
      </c>
      <c r="BQ26" s="10"/>
      <c r="BR26" s="10"/>
      <c r="BS26" s="10"/>
      <c r="BT26" s="10"/>
      <c r="BU26" s="10"/>
      <c r="BV26" s="10"/>
      <c r="BW26" s="10"/>
      <c r="BX26" s="10"/>
      <c r="BY26" s="10"/>
      <c r="BZ26" s="10"/>
      <c r="CA26" s="156" t="s">
        <v>652</v>
      </c>
    </row>
    <row r="27" spans="1:79" hidden="1" x14ac:dyDescent="0.35">
      <c r="A27" s="156" t="s">
        <v>653</v>
      </c>
      <c r="B27" s="22">
        <v>43830</v>
      </c>
      <c r="C27">
        <v>2019</v>
      </c>
      <c r="D27" s="156" t="s">
        <v>212</v>
      </c>
      <c r="E27" s="156" t="s">
        <v>213</v>
      </c>
      <c r="F27" s="10"/>
      <c r="G27" s="10"/>
      <c r="H27" s="157"/>
      <c r="I27" s="10"/>
      <c r="J27" s="10"/>
      <c r="K27" s="10"/>
      <c r="L27" s="10"/>
      <c r="M27" s="10"/>
      <c r="N27" s="10"/>
      <c r="O27" s="10"/>
      <c r="P27" s="10"/>
      <c r="Q27" s="10"/>
      <c r="R27" s="10">
        <v>0</v>
      </c>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41"/>
      <c r="BD27" s="10"/>
      <c r="BE27" s="10"/>
      <c r="BF27" s="10"/>
      <c r="BG27" s="10"/>
      <c r="BH27" s="10"/>
      <c r="BI27" s="10">
        <v>0</v>
      </c>
      <c r="BJ27" s="10"/>
      <c r="BK27" s="41"/>
      <c r="BL27" s="10"/>
      <c r="BM27" s="10"/>
      <c r="BN27" s="41"/>
      <c r="BO27" s="10"/>
      <c r="BP27" s="41">
        <v>2019</v>
      </c>
      <c r="BQ27" s="10"/>
      <c r="BR27" s="10"/>
      <c r="BS27" s="10"/>
      <c r="BT27" s="10"/>
      <c r="BU27" s="10"/>
      <c r="BV27" s="10"/>
      <c r="BW27" s="10"/>
      <c r="BX27" s="10"/>
      <c r="BY27" s="10"/>
      <c r="BZ27" s="10"/>
      <c r="CA27" s="156" t="s">
        <v>654</v>
      </c>
    </row>
    <row r="28" spans="1:79" hidden="1" x14ac:dyDescent="0.35">
      <c r="A28" s="156" t="s">
        <v>653</v>
      </c>
      <c r="B28" s="22">
        <v>44196</v>
      </c>
      <c r="C28">
        <v>2020</v>
      </c>
      <c r="D28" s="156" t="s">
        <v>212</v>
      </c>
      <c r="E28" s="156" t="s">
        <v>213</v>
      </c>
      <c r="F28" s="10"/>
      <c r="G28" s="10">
        <v>35844000</v>
      </c>
      <c r="H28" s="157">
        <v>2</v>
      </c>
      <c r="I28" s="10">
        <v>259573000</v>
      </c>
      <c r="J28" s="10"/>
      <c r="K28" s="10"/>
      <c r="L28" s="10">
        <v>36369000</v>
      </c>
      <c r="M28" s="10">
        <v>1.97</v>
      </c>
      <c r="N28" s="10">
        <v>71766000</v>
      </c>
      <c r="O28" s="10">
        <v>85266000</v>
      </c>
      <c r="P28" s="10">
        <v>126625000</v>
      </c>
      <c r="Q28" s="10"/>
      <c r="R28" s="10">
        <v>0</v>
      </c>
      <c r="S28" s="10">
        <v>3067000</v>
      </c>
      <c r="T28" s="10">
        <v>116568000</v>
      </c>
      <c r="U28" s="10">
        <v>407113000</v>
      </c>
      <c r="V28" s="10"/>
      <c r="W28" s="10"/>
      <c r="X28" s="10">
        <v>1190000</v>
      </c>
      <c r="Y28" s="10">
        <v>1190000</v>
      </c>
      <c r="Z28" s="10"/>
      <c r="AA28" s="10">
        <v>71766000</v>
      </c>
      <c r="AB28" s="10">
        <v>71766000</v>
      </c>
      <c r="AC28" s="10">
        <v>71766000</v>
      </c>
      <c r="AD28" s="10">
        <v>71766000</v>
      </c>
      <c r="AE28" s="10">
        <v>71766000</v>
      </c>
      <c r="AF28" s="10">
        <v>71766000</v>
      </c>
      <c r="AG28" s="10">
        <v>1190000</v>
      </c>
      <c r="AH28" s="10">
        <v>1190000</v>
      </c>
      <c r="AI28" s="10">
        <v>123558000</v>
      </c>
      <c r="AJ28" s="10">
        <v>69306266</v>
      </c>
      <c r="AK28" s="10">
        <v>321847000</v>
      </c>
      <c r="AL28" s="10">
        <v>85266000</v>
      </c>
      <c r="AM28" s="10">
        <v>666686000</v>
      </c>
      <c r="AN28" s="10">
        <v>116568000</v>
      </c>
      <c r="AO28" s="10">
        <v>3067000</v>
      </c>
      <c r="AP28" s="10"/>
      <c r="AQ28" s="10"/>
      <c r="AR28" s="10"/>
      <c r="AS28" s="10">
        <v>89523000</v>
      </c>
      <c r="AT28" s="10">
        <v>259573000</v>
      </c>
      <c r="AU28" s="10">
        <v>41359000</v>
      </c>
      <c r="AV28" s="10">
        <v>46038000</v>
      </c>
      <c r="AW28" s="10">
        <v>159241000</v>
      </c>
      <c r="AX28" s="10">
        <v>275809000</v>
      </c>
      <c r="AY28" s="10">
        <v>0</v>
      </c>
      <c r="AZ28" s="10">
        <v>607266</v>
      </c>
      <c r="BA28" s="10">
        <v>17757000</v>
      </c>
      <c r="BB28" s="10">
        <v>0.19800000000000001</v>
      </c>
      <c r="BC28" s="41"/>
      <c r="BD28" s="10">
        <v>581420000</v>
      </c>
      <c r="BE28" s="10">
        <v>85266000</v>
      </c>
      <c r="BF28" s="10">
        <v>666686000</v>
      </c>
      <c r="BG28" s="10">
        <v>3067000</v>
      </c>
      <c r="BH28" s="10">
        <v>3067000</v>
      </c>
      <c r="BI28" s="10">
        <v>0</v>
      </c>
      <c r="BJ28" s="10"/>
      <c r="BK28" s="41"/>
      <c r="BL28" s="10"/>
      <c r="BM28" s="10"/>
      <c r="BN28" s="41"/>
      <c r="BO28" s="10"/>
      <c r="BP28" s="41">
        <v>2020</v>
      </c>
      <c r="BQ28" s="10"/>
      <c r="BR28" s="10"/>
      <c r="BS28" s="10"/>
      <c r="BT28" s="10"/>
      <c r="BU28" s="10"/>
      <c r="BV28" s="10"/>
      <c r="BW28" s="10"/>
      <c r="BX28" s="10"/>
      <c r="BY28" s="10"/>
      <c r="BZ28" s="10"/>
      <c r="CA28" s="156" t="s">
        <v>654</v>
      </c>
    </row>
    <row r="29" spans="1:79" hidden="1" x14ac:dyDescent="0.35">
      <c r="A29" s="156" t="s">
        <v>653</v>
      </c>
      <c r="B29" s="22">
        <v>44561</v>
      </c>
      <c r="C29">
        <v>2021</v>
      </c>
      <c r="D29" s="156" t="s">
        <v>212</v>
      </c>
      <c r="E29" s="156" t="s">
        <v>213</v>
      </c>
      <c r="F29" s="10"/>
      <c r="G29" s="10">
        <v>36509000</v>
      </c>
      <c r="H29" s="157">
        <v>2.52</v>
      </c>
      <c r="I29" s="10">
        <v>277659000</v>
      </c>
      <c r="J29" s="10"/>
      <c r="K29" s="10"/>
      <c r="L29" s="10">
        <v>37324000</v>
      </c>
      <c r="M29" s="10">
        <v>2.46</v>
      </c>
      <c r="N29" s="10">
        <v>91883000</v>
      </c>
      <c r="O29" s="10">
        <v>104803000</v>
      </c>
      <c r="P29" s="10">
        <v>153574000</v>
      </c>
      <c r="Q29" s="10"/>
      <c r="R29" s="10"/>
      <c r="S29" s="10">
        <v>-3303000</v>
      </c>
      <c r="T29" s="10">
        <v>130758000</v>
      </c>
      <c r="U29" s="10">
        <v>495756000</v>
      </c>
      <c r="V29" s="10">
        <v>67000</v>
      </c>
      <c r="W29" s="10">
        <v>67000</v>
      </c>
      <c r="X29" s="10">
        <v>137000</v>
      </c>
      <c r="Y29" s="10">
        <v>137000</v>
      </c>
      <c r="Z29" s="10"/>
      <c r="AA29" s="10">
        <v>91883000</v>
      </c>
      <c r="AB29" s="10">
        <v>91883000</v>
      </c>
      <c r="AC29" s="10">
        <v>91883000</v>
      </c>
      <c r="AD29" s="10">
        <v>91883000</v>
      </c>
      <c r="AE29" s="10">
        <v>91883000</v>
      </c>
      <c r="AF29" s="10">
        <v>91883000</v>
      </c>
      <c r="AG29" s="10">
        <v>-67000</v>
      </c>
      <c r="AH29" s="10">
        <v>-67000</v>
      </c>
      <c r="AI29" s="10">
        <v>156877000</v>
      </c>
      <c r="AJ29" s="10">
        <v>94779731</v>
      </c>
      <c r="AK29" s="10">
        <v>387650000</v>
      </c>
      <c r="AL29" s="10">
        <v>108106000</v>
      </c>
      <c r="AM29" s="10">
        <v>773415000</v>
      </c>
      <c r="AN29" s="10">
        <v>130758000</v>
      </c>
      <c r="AO29" s="10">
        <v>-3303000</v>
      </c>
      <c r="AP29" s="10">
        <v>-204000</v>
      </c>
      <c r="AQ29" s="10"/>
      <c r="AR29" s="10"/>
      <c r="AS29" s="10">
        <v>104736000</v>
      </c>
      <c r="AT29" s="10">
        <v>277659000</v>
      </c>
      <c r="AU29" s="10">
        <v>48771000</v>
      </c>
      <c r="AV29" s="10">
        <v>52014000</v>
      </c>
      <c r="AW29" s="10">
        <v>204878000</v>
      </c>
      <c r="AX29" s="10">
        <v>335636000</v>
      </c>
      <c r="AY29" s="10">
        <v>0</v>
      </c>
      <c r="AZ29" s="10">
        <v>-406269</v>
      </c>
      <c r="BA29" s="10">
        <v>12853000</v>
      </c>
      <c r="BB29" s="10">
        <v>0.123</v>
      </c>
      <c r="BC29" s="41"/>
      <c r="BD29" s="10">
        <v>665309000</v>
      </c>
      <c r="BE29" s="10">
        <v>108106000</v>
      </c>
      <c r="BF29" s="10">
        <v>773415000</v>
      </c>
      <c r="BG29" s="10">
        <v>-3303000</v>
      </c>
      <c r="BH29" s="10">
        <v>-3303000</v>
      </c>
      <c r="BI29" s="10"/>
      <c r="BJ29" s="10"/>
      <c r="BK29" s="41"/>
      <c r="BL29" s="10"/>
      <c r="BM29" s="10">
        <v>0</v>
      </c>
      <c r="BN29" s="41"/>
      <c r="BO29" s="10"/>
      <c r="BP29" s="41">
        <v>2021</v>
      </c>
      <c r="BQ29" s="10"/>
      <c r="BR29" s="10"/>
      <c r="BS29" s="10"/>
      <c r="BT29" s="10"/>
      <c r="BU29" s="10">
        <v>0</v>
      </c>
      <c r="BV29" s="10"/>
      <c r="BW29" s="10"/>
      <c r="BX29" s="10"/>
      <c r="BY29" s="10"/>
      <c r="BZ29" s="10"/>
      <c r="CA29" s="156" t="s">
        <v>654</v>
      </c>
    </row>
    <row r="30" spans="1:79" hidden="1" x14ac:dyDescent="0.35">
      <c r="A30" s="156" t="s">
        <v>653</v>
      </c>
      <c r="B30" s="22">
        <v>44926</v>
      </c>
      <c r="C30">
        <v>2022</v>
      </c>
      <c r="D30" s="156" t="s">
        <v>212</v>
      </c>
      <c r="E30" s="156" t="s">
        <v>213</v>
      </c>
      <c r="F30" s="10"/>
      <c r="G30" s="10">
        <v>36042000</v>
      </c>
      <c r="H30" s="157">
        <v>2.11</v>
      </c>
      <c r="I30" s="10">
        <v>314306000</v>
      </c>
      <c r="J30" s="10"/>
      <c r="K30" s="10"/>
      <c r="L30" s="10">
        <v>36546000</v>
      </c>
      <c r="M30" s="10">
        <v>2.08</v>
      </c>
      <c r="N30" s="10">
        <v>76103000</v>
      </c>
      <c r="O30" s="10">
        <v>92373000</v>
      </c>
      <c r="P30" s="10">
        <v>160843000</v>
      </c>
      <c r="Q30" s="10"/>
      <c r="R30" s="10"/>
      <c r="S30" s="10">
        <v>-1338000</v>
      </c>
      <c r="T30" s="10">
        <v>132644000</v>
      </c>
      <c r="U30" s="10">
        <v>513520000</v>
      </c>
      <c r="V30" s="10">
        <v>1336000</v>
      </c>
      <c r="W30" s="10">
        <v>1336000</v>
      </c>
      <c r="X30" s="10">
        <v>87000</v>
      </c>
      <c r="Y30" s="10">
        <v>87000</v>
      </c>
      <c r="Z30" s="10"/>
      <c r="AA30" s="10">
        <v>76103000</v>
      </c>
      <c r="AB30" s="10">
        <v>76103000</v>
      </c>
      <c r="AC30" s="10">
        <v>76103000</v>
      </c>
      <c r="AD30" s="10">
        <v>76103000</v>
      </c>
      <c r="AE30" s="10">
        <v>76103000</v>
      </c>
      <c r="AF30" s="10">
        <v>76103000</v>
      </c>
      <c r="AG30" s="10">
        <v>-1249000</v>
      </c>
      <c r="AH30" s="10">
        <v>-1249000</v>
      </c>
      <c r="AI30" s="10">
        <v>180845000</v>
      </c>
      <c r="AJ30" s="10">
        <v>92824672</v>
      </c>
      <c r="AK30" s="10">
        <v>401232000</v>
      </c>
      <c r="AL30" s="10">
        <v>112288000</v>
      </c>
      <c r="AM30" s="10">
        <v>827826000</v>
      </c>
      <c r="AN30" s="10">
        <v>132644000</v>
      </c>
      <c r="AO30" s="10">
        <v>-20002000</v>
      </c>
      <c r="AP30" s="10">
        <v>87000</v>
      </c>
      <c r="AQ30" s="10"/>
      <c r="AR30" s="10"/>
      <c r="AS30" s="10">
        <v>91037000</v>
      </c>
      <c r="AT30" s="10">
        <v>314306000</v>
      </c>
      <c r="AU30" s="10">
        <v>68470000</v>
      </c>
      <c r="AV30" s="10">
        <v>65434000</v>
      </c>
      <c r="AW30" s="10">
        <v>203154000</v>
      </c>
      <c r="AX30" s="10">
        <v>335798000</v>
      </c>
      <c r="AY30" s="10">
        <v>-18664000</v>
      </c>
      <c r="AZ30" s="10">
        <v>-3280328</v>
      </c>
      <c r="BA30" s="10">
        <v>14934000</v>
      </c>
      <c r="BB30" s="10">
        <v>0.16400000000000001</v>
      </c>
      <c r="BC30" s="41"/>
      <c r="BD30" s="10">
        <v>715538000</v>
      </c>
      <c r="BE30" s="10">
        <v>93624000</v>
      </c>
      <c r="BF30" s="10">
        <v>827826000</v>
      </c>
      <c r="BG30" s="10">
        <v>-20002000</v>
      </c>
      <c r="BH30" s="10">
        <v>-20002000</v>
      </c>
      <c r="BI30" s="10"/>
      <c r="BJ30" s="10"/>
      <c r="BK30" s="41"/>
      <c r="BL30" s="10"/>
      <c r="BM30" s="10">
        <v>18664000</v>
      </c>
      <c r="BN30" s="41"/>
      <c r="BO30" s="10"/>
      <c r="BP30" s="41">
        <v>2022</v>
      </c>
      <c r="BQ30" s="10"/>
      <c r="BR30" s="10"/>
      <c r="BS30" s="10"/>
      <c r="BT30" s="10"/>
      <c r="BU30" s="10">
        <v>0</v>
      </c>
      <c r="BV30" s="10"/>
      <c r="BW30" s="10"/>
      <c r="BX30" s="10"/>
      <c r="BY30" s="10"/>
      <c r="BZ30" s="10"/>
      <c r="CA30" s="156" t="s">
        <v>654</v>
      </c>
    </row>
    <row r="31" spans="1:79" hidden="1" x14ac:dyDescent="0.35">
      <c r="A31" s="156" t="s">
        <v>653</v>
      </c>
      <c r="B31" s="22">
        <v>45199</v>
      </c>
      <c r="C31">
        <v>2023</v>
      </c>
      <c r="D31" s="156" t="s">
        <v>214</v>
      </c>
      <c r="E31" s="156" t="s">
        <v>213</v>
      </c>
      <c r="F31" s="10"/>
      <c r="G31" s="10">
        <v>35907750</v>
      </c>
      <c r="H31" s="157">
        <v>3.3</v>
      </c>
      <c r="I31" s="10"/>
      <c r="J31" s="10"/>
      <c r="K31" s="10"/>
      <c r="L31" s="10">
        <v>36299250</v>
      </c>
      <c r="M31" s="10">
        <v>3.26</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41"/>
      <c r="BD31" s="10"/>
      <c r="BE31" s="10"/>
      <c r="BF31" s="10"/>
      <c r="BG31" s="10"/>
      <c r="BH31" s="10"/>
      <c r="BI31" s="10"/>
      <c r="BJ31" s="10"/>
      <c r="BK31" s="41"/>
      <c r="BL31" s="10"/>
      <c r="BM31" s="10"/>
      <c r="BN31" s="41"/>
      <c r="BO31" s="10"/>
      <c r="BP31" s="41">
        <v>2023</v>
      </c>
      <c r="BQ31" s="10"/>
      <c r="BR31" s="10"/>
      <c r="BS31" s="10"/>
      <c r="BT31" s="10"/>
      <c r="BU31" s="10"/>
      <c r="BV31" s="10"/>
      <c r="BW31" s="10"/>
      <c r="BX31" s="10"/>
      <c r="BY31" s="10"/>
      <c r="BZ31" s="10"/>
      <c r="CA31" s="156" t="s">
        <v>654</v>
      </c>
    </row>
    <row r="32" spans="1:79" hidden="1" x14ac:dyDescent="0.35">
      <c r="A32" s="156" t="s">
        <v>653</v>
      </c>
      <c r="B32" s="22">
        <v>45291</v>
      </c>
      <c r="C32">
        <v>2023</v>
      </c>
      <c r="D32" s="156" t="s">
        <v>212</v>
      </c>
      <c r="E32" s="156" t="s">
        <v>213</v>
      </c>
      <c r="F32" s="10"/>
      <c r="G32" s="10">
        <v>35878000</v>
      </c>
      <c r="H32" s="157">
        <v>3.07</v>
      </c>
      <c r="I32" s="10">
        <v>352630000</v>
      </c>
      <c r="J32" s="10"/>
      <c r="K32" s="10"/>
      <c r="L32" s="10">
        <v>36242000</v>
      </c>
      <c r="M32" s="10">
        <v>3.04</v>
      </c>
      <c r="N32" s="10">
        <v>110269000</v>
      </c>
      <c r="O32" s="10">
        <v>124324000</v>
      </c>
      <c r="P32" s="10">
        <v>204053000</v>
      </c>
      <c r="Q32" s="10"/>
      <c r="R32" s="10"/>
      <c r="S32" s="10">
        <v>879000</v>
      </c>
      <c r="T32" s="10">
        <v>142646000</v>
      </c>
      <c r="U32" s="10">
        <v>521957000</v>
      </c>
      <c r="V32" s="10">
        <v>1856000</v>
      </c>
      <c r="W32" s="10">
        <v>1856000</v>
      </c>
      <c r="X32" s="10">
        <v>4784000</v>
      </c>
      <c r="Y32" s="10">
        <v>4784000</v>
      </c>
      <c r="Z32" s="10"/>
      <c r="AA32" s="10">
        <v>110269000</v>
      </c>
      <c r="AB32" s="10">
        <v>110269000</v>
      </c>
      <c r="AC32" s="10">
        <v>110269000</v>
      </c>
      <c r="AD32" s="10">
        <v>110269000</v>
      </c>
      <c r="AE32" s="10">
        <v>110269000</v>
      </c>
      <c r="AF32" s="10">
        <v>110269000</v>
      </c>
      <c r="AG32" s="10">
        <v>2928000</v>
      </c>
      <c r="AH32" s="10">
        <v>2928000</v>
      </c>
      <c r="AI32" s="10">
        <v>152913000</v>
      </c>
      <c r="AJ32" s="10">
        <v>64243000</v>
      </c>
      <c r="AK32" s="10">
        <v>453557000</v>
      </c>
      <c r="AL32" s="10">
        <v>68400000</v>
      </c>
      <c r="AM32" s="10">
        <v>874587000</v>
      </c>
      <c r="AN32" s="10">
        <v>142646000</v>
      </c>
      <c r="AO32" s="10">
        <v>51140000</v>
      </c>
      <c r="AP32" s="10"/>
      <c r="AQ32" s="10"/>
      <c r="AR32" s="10"/>
      <c r="AS32" s="10">
        <v>122468000</v>
      </c>
      <c r="AT32" s="10">
        <v>352630000</v>
      </c>
      <c r="AU32" s="10">
        <v>79729000</v>
      </c>
      <c r="AV32" s="10">
        <v>96162000</v>
      </c>
      <c r="AW32" s="10">
        <v>214749000</v>
      </c>
      <c r="AX32" s="10">
        <v>357395000</v>
      </c>
      <c r="AY32" s="10">
        <v>50261000</v>
      </c>
      <c r="AZ32" s="10">
        <v>5114000</v>
      </c>
      <c r="BA32" s="10">
        <v>12199000</v>
      </c>
      <c r="BB32" s="10">
        <v>0.1</v>
      </c>
      <c r="BC32" s="41"/>
      <c r="BD32" s="10">
        <v>806187000</v>
      </c>
      <c r="BE32" s="10">
        <v>68400000</v>
      </c>
      <c r="BF32" s="10">
        <v>874587000</v>
      </c>
      <c r="BG32" s="10">
        <v>51140000</v>
      </c>
      <c r="BH32" s="10">
        <v>51140000</v>
      </c>
      <c r="BI32" s="10"/>
      <c r="BJ32" s="10"/>
      <c r="BK32" s="41"/>
      <c r="BL32" s="10"/>
      <c r="BM32" s="10">
        <v>0</v>
      </c>
      <c r="BN32" s="41"/>
      <c r="BO32" s="10"/>
      <c r="BP32" s="41">
        <v>2023</v>
      </c>
      <c r="BQ32" s="10"/>
      <c r="BR32" s="10"/>
      <c r="BS32" s="10"/>
      <c r="BT32" s="10"/>
      <c r="BU32" s="10">
        <v>-50261000</v>
      </c>
      <c r="BV32" s="10"/>
      <c r="BW32" s="10"/>
      <c r="BX32" s="10"/>
      <c r="BY32" s="10"/>
      <c r="BZ32" s="10"/>
      <c r="CA32" s="156" t="s">
        <v>654</v>
      </c>
    </row>
    <row r="33" spans="1:79" hidden="1" x14ac:dyDescent="0.35">
      <c r="A33" s="156" t="s">
        <v>653</v>
      </c>
      <c r="B33" s="22">
        <v>45291</v>
      </c>
      <c r="C33">
        <v>2023</v>
      </c>
      <c r="D33" s="156" t="s">
        <v>214</v>
      </c>
      <c r="E33" s="156" t="s">
        <v>213</v>
      </c>
      <c r="F33" s="10"/>
      <c r="G33" s="10">
        <v>35878000</v>
      </c>
      <c r="H33" s="157">
        <v>3.07</v>
      </c>
      <c r="I33" s="10"/>
      <c r="J33" s="10"/>
      <c r="K33" s="10"/>
      <c r="L33" s="10">
        <v>36242000</v>
      </c>
      <c r="M33" s="10">
        <v>3.04</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41"/>
      <c r="BD33" s="10"/>
      <c r="BE33" s="10"/>
      <c r="BF33" s="10"/>
      <c r="BG33" s="10"/>
      <c r="BH33" s="10"/>
      <c r="BI33" s="10"/>
      <c r="BJ33" s="10"/>
      <c r="BK33" s="41"/>
      <c r="BL33" s="10"/>
      <c r="BM33" s="10"/>
      <c r="BN33" s="41"/>
      <c r="BO33" s="10"/>
      <c r="BP33" s="41">
        <v>2023</v>
      </c>
      <c r="BQ33" s="10"/>
      <c r="BR33" s="10"/>
      <c r="BS33" s="10"/>
      <c r="BT33" s="10"/>
      <c r="BU33" s="10"/>
      <c r="BV33" s="10"/>
      <c r="BW33" s="10"/>
      <c r="BX33" s="10"/>
      <c r="BY33" s="10"/>
      <c r="BZ33" s="10"/>
      <c r="CA33" s="156" t="s">
        <v>654</v>
      </c>
    </row>
    <row r="34" spans="1:79" hidden="1" x14ac:dyDescent="0.35">
      <c r="A34" s="156" t="s">
        <v>653</v>
      </c>
      <c r="B34" s="22">
        <v>45382</v>
      </c>
      <c r="C34">
        <v>2024</v>
      </c>
      <c r="D34" s="156" t="s">
        <v>214</v>
      </c>
      <c r="E34" s="156" t="s">
        <v>213</v>
      </c>
      <c r="F34" s="10"/>
      <c r="G34" s="10">
        <v>35811750</v>
      </c>
      <c r="H34" s="157">
        <v>2.6</v>
      </c>
      <c r="I34" s="10"/>
      <c r="J34" s="10"/>
      <c r="K34" s="10"/>
      <c r="L34" s="10">
        <v>36114750</v>
      </c>
      <c r="M34" s="10">
        <v>2.59</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41"/>
      <c r="BD34" s="10"/>
      <c r="BE34" s="10"/>
      <c r="BF34" s="10"/>
      <c r="BG34" s="10"/>
      <c r="BH34" s="10"/>
      <c r="BI34" s="10"/>
      <c r="BJ34" s="10"/>
      <c r="BK34" s="41"/>
      <c r="BL34" s="10"/>
      <c r="BM34" s="10"/>
      <c r="BN34" s="41"/>
      <c r="BO34" s="10"/>
      <c r="BP34" s="41">
        <v>2024</v>
      </c>
      <c r="BQ34" s="10"/>
      <c r="BR34" s="10"/>
      <c r="BS34" s="10"/>
      <c r="BT34" s="10"/>
      <c r="BU34" s="10"/>
      <c r="BV34" s="10"/>
      <c r="BW34" s="10"/>
      <c r="BX34" s="10"/>
      <c r="BY34" s="10"/>
      <c r="BZ34" s="10"/>
      <c r="CA34" s="156" t="s">
        <v>654</v>
      </c>
    </row>
    <row r="35" spans="1:79" hidden="1" x14ac:dyDescent="0.35">
      <c r="A35" s="156" t="s">
        <v>653</v>
      </c>
      <c r="B35" s="22">
        <v>45473</v>
      </c>
      <c r="C35">
        <v>2024</v>
      </c>
      <c r="D35" s="156" t="s">
        <v>214</v>
      </c>
      <c r="E35" s="156" t="s">
        <v>213</v>
      </c>
      <c r="F35" s="10"/>
      <c r="G35" s="10">
        <v>35724000</v>
      </c>
      <c r="H35" s="157">
        <v>1.31</v>
      </c>
      <c r="I35" s="10">
        <v>369509000</v>
      </c>
      <c r="J35" s="10"/>
      <c r="K35" s="10"/>
      <c r="L35" s="10">
        <v>36008500</v>
      </c>
      <c r="M35" s="10">
        <v>1.31</v>
      </c>
      <c r="N35" s="10">
        <v>47159000</v>
      </c>
      <c r="O35" s="10">
        <v>68878000</v>
      </c>
      <c r="P35" s="10">
        <v>153201000</v>
      </c>
      <c r="Q35" s="10"/>
      <c r="R35" s="10"/>
      <c r="S35" s="10">
        <v>-2643000</v>
      </c>
      <c r="T35" s="10">
        <v>139203000</v>
      </c>
      <c r="U35" s="10">
        <v>515326000</v>
      </c>
      <c r="V35" s="10">
        <v>2255000</v>
      </c>
      <c r="W35" s="10">
        <v>2255000</v>
      </c>
      <c r="X35" s="10">
        <v>6472000</v>
      </c>
      <c r="Y35" s="10">
        <v>6472000</v>
      </c>
      <c r="Z35" s="10"/>
      <c r="AA35" s="10">
        <v>47159000</v>
      </c>
      <c r="AB35" s="10">
        <v>47159000</v>
      </c>
      <c r="AC35" s="10">
        <v>47159000</v>
      </c>
      <c r="AD35" s="10">
        <v>47159000</v>
      </c>
      <c r="AE35" s="10">
        <v>47159000</v>
      </c>
      <c r="AF35" s="10">
        <v>47159000</v>
      </c>
      <c r="AG35" s="10">
        <v>4217000</v>
      </c>
      <c r="AH35" s="10">
        <v>4217000</v>
      </c>
      <c r="AI35" s="10">
        <v>147523000</v>
      </c>
      <c r="AJ35" s="10">
        <v>43139835.417198002</v>
      </c>
      <c r="AK35" s="10">
        <v>458598000</v>
      </c>
      <c r="AL35" s="10">
        <v>56728000</v>
      </c>
      <c r="AM35" s="10">
        <v>884835000</v>
      </c>
      <c r="AN35" s="10">
        <v>139203000</v>
      </c>
      <c r="AO35" s="10">
        <v>5678000</v>
      </c>
      <c r="AP35" s="10"/>
      <c r="AQ35" s="10"/>
      <c r="AR35" s="10"/>
      <c r="AS35" s="10">
        <v>66623000</v>
      </c>
      <c r="AT35" s="10">
        <v>369509000</v>
      </c>
      <c r="AU35" s="10">
        <v>84323000</v>
      </c>
      <c r="AV35" s="10">
        <v>92448000</v>
      </c>
      <c r="AW35" s="10">
        <v>226947000</v>
      </c>
      <c r="AX35" s="10">
        <v>366150000</v>
      </c>
      <c r="AY35" s="10">
        <v>8321000</v>
      </c>
      <c r="AZ35" s="10">
        <v>1658835.417198</v>
      </c>
      <c r="BA35" s="10">
        <v>19464000</v>
      </c>
      <c r="BB35" s="10">
        <v>0.29215099999999999</v>
      </c>
      <c r="BC35" s="41"/>
      <c r="BD35" s="10">
        <v>828107000</v>
      </c>
      <c r="BE35" s="10">
        <v>56728000</v>
      </c>
      <c r="BF35" s="10">
        <v>884835000</v>
      </c>
      <c r="BG35" s="10">
        <v>5678000</v>
      </c>
      <c r="BH35" s="10">
        <v>5678000</v>
      </c>
      <c r="BI35" s="10"/>
      <c r="BJ35" s="10"/>
      <c r="BK35" s="41"/>
      <c r="BL35" s="10"/>
      <c r="BM35" s="10"/>
      <c r="BN35" s="41"/>
      <c r="BO35" s="10"/>
      <c r="BP35" s="41">
        <v>2024</v>
      </c>
      <c r="BQ35" s="10"/>
      <c r="BR35" s="10"/>
      <c r="BS35" s="10"/>
      <c r="BT35" s="10"/>
      <c r="BU35" s="10">
        <v>-8321000</v>
      </c>
      <c r="BV35" s="10"/>
      <c r="BW35" s="10"/>
      <c r="BX35" s="10"/>
      <c r="BY35" s="10"/>
      <c r="BZ35" s="10"/>
      <c r="CA35" s="156" t="s">
        <v>654</v>
      </c>
    </row>
    <row r="36" spans="1:79" hidden="1" x14ac:dyDescent="0.35">
      <c r="A36" s="156" t="s">
        <v>655</v>
      </c>
      <c r="B36" s="22">
        <v>44196</v>
      </c>
      <c r="C36">
        <v>2020</v>
      </c>
      <c r="D36" s="156" t="s">
        <v>212</v>
      </c>
      <c r="E36" s="156" t="s">
        <v>213</v>
      </c>
      <c r="F36" s="10"/>
      <c r="G36" s="10">
        <v>72387581</v>
      </c>
      <c r="H36" s="157">
        <v>1.1299999999999999</v>
      </c>
      <c r="I36" s="10"/>
      <c r="J36" s="10"/>
      <c r="K36" s="10"/>
      <c r="L36" s="10">
        <v>74373169</v>
      </c>
      <c r="M36" s="10">
        <v>1.1000000000000001</v>
      </c>
      <c r="N36" s="10">
        <v>82416000</v>
      </c>
      <c r="O36" s="10"/>
      <c r="P36" s="10"/>
      <c r="Q36" s="10"/>
      <c r="R36" s="10"/>
      <c r="S36" s="10">
        <v>49887000</v>
      </c>
      <c r="T36" s="10">
        <v>14846000</v>
      </c>
      <c r="U36" s="10"/>
      <c r="V36" s="10">
        <v>92182000</v>
      </c>
      <c r="W36" s="10"/>
      <c r="X36" s="10">
        <v>95559000</v>
      </c>
      <c r="Y36" s="10"/>
      <c r="Z36" s="10">
        <v>-343000</v>
      </c>
      <c r="AA36" s="10">
        <v>82416000</v>
      </c>
      <c r="AB36" s="10">
        <v>82416000</v>
      </c>
      <c r="AC36" s="10">
        <v>82759000</v>
      </c>
      <c r="AD36" s="10">
        <v>82416000</v>
      </c>
      <c r="AE36" s="10">
        <v>82416000</v>
      </c>
      <c r="AF36" s="10">
        <v>82759000</v>
      </c>
      <c r="AG36" s="10">
        <v>3377000</v>
      </c>
      <c r="AH36" s="10"/>
      <c r="AI36" s="10"/>
      <c r="AJ36" s="10">
        <v>82416000</v>
      </c>
      <c r="AK36" s="10">
        <v>62708000</v>
      </c>
      <c r="AL36" s="10"/>
      <c r="AM36" s="10">
        <v>142688000</v>
      </c>
      <c r="AN36" s="10"/>
      <c r="AO36" s="10"/>
      <c r="AP36" s="10"/>
      <c r="AQ36" s="10">
        <v>10096000</v>
      </c>
      <c r="AR36" s="10"/>
      <c r="AS36" s="10">
        <v>79980000</v>
      </c>
      <c r="AT36" s="10"/>
      <c r="AU36" s="10">
        <v>3580000</v>
      </c>
      <c r="AV36" s="10"/>
      <c r="AW36" s="10"/>
      <c r="AX36" s="10">
        <v>14846000</v>
      </c>
      <c r="AY36" s="10"/>
      <c r="AZ36" s="10">
        <v>0</v>
      </c>
      <c r="BA36" s="10">
        <v>-2779000</v>
      </c>
      <c r="BB36" s="10">
        <v>0.27</v>
      </c>
      <c r="BC36" s="41"/>
      <c r="BD36" s="10"/>
      <c r="BE36" s="10"/>
      <c r="BF36" s="10">
        <v>142688000</v>
      </c>
      <c r="BG36" s="10"/>
      <c r="BH36" s="10"/>
      <c r="BI36" s="10"/>
      <c r="BJ36" s="10"/>
      <c r="BK36" s="41"/>
      <c r="BL36" s="10"/>
      <c r="BM36" s="10"/>
      <c r="BN36" s="41"/>
      <c r="BO36" s="10"/>
      <c r="BP36" s="41">
        <v>2020</v>
      </c>
      <c r="BQ36" s="10"/>
      <c r="BR36" s="10"/>
      <c r="BS36" s="10"/>
      <c r="BT36" s="10"/>
      <c r="BU36" s="10"/>
      <c r="BV36" s="10"/>
      <c r="BW36" s="10"/>
      <c r="BX36" s="10"/>
      <c r="BY36" s="10"/>
      <c r="BZ36" s="10"/>
      <c r="CA36" s="156" t="s">
        <v>656</v>
      </c>
    </row>
    <row r="37" spans="1:79" hidden="1" x14ac:dyDescent="0.35">
      <c r="A37" s="156" t="s">
        <v>655</v>
      </c>
      <c r="B37" s="22">
        <v>44561</v>
      </c>
      <c r="C37">
        <v>2021</v>
      </c>
      <c r="D37" s="156" t="s">
        <v>212</v>
      </c>
      <c r="E37" s="156" t="s">
        <v>213</v>
      </c>
      <c r="F37" s="10"/>
      <c r="G37" s="10">
        <v>79992922</v>
      </c>
      <c r="H37" s="157">
        <v>1.57</v>
      </c>
      <c r="I37" s="10"/>
      <c r="J37" s="10"/>
      <c r="K37" s="10"/>
      <c r="L37" s="10">
        <v>87671641</v>
      </c>
      <c r="M37" s="10">
        <v>1.51</v>
      </c>
      <c r="N37" s="10">
        <v>126579000</v>
      </c>
      <c r="O37" s="10"/>
      <c r="P37" s="10"/>
      <c r="Q37" s="10"/>
      <c r="R37" s="10"/>
      <c r="S37" s="10">
        <v>68333000</v>
      </c>
      <c r="T37" s="10">
        <v>19907000</v>
      </c>
      <c r="U37" s="10"/>
      <c r="V37" s="10">
        <v>121705000</v>
      </c>
      <c r="W37" s="10"/>
      <c r="X37" s="10">
        <v>116581000</v>
      </c>
      <c r="Y37" s="10"/>
      <c r="Z37" s="10">
        <v>-767000</v>
      </c>
      <c r="AA37" s="10">
        <v>126579000</v>
      </c>
      <c r="AB37" s="10">
        <v>126579000</v>
      </c>
      <c r="AC37" s="10">
        <v>127346000</v>
      </c>
      <c r="AD37" s="10">
        <v>126579000</v>
      </c>
      <c r="AE37" s="10">
        <v>126579000</v>
      </c>
      <c r="AF37" s="10">
        <v>127346000</v>
      </c>
      <c r="AG37" s="10">
        <v>-5124000</v>
      </c>
      <c r="AH37" s="10"/>
      <c r="AI37" s="10"/>
      <c r="AJ37" s="10">
        <v>126579000</v>
      </c>
      <c r="AK37" s="10">
        <v>73378000</v>
      </c>
      <c r="AL37" s="10"/>
      <c r="AM37" s="10">
        <v>217882000</v>
      </c>
      <c r="AN37" s="10"/>
      <c r="AO37" s="10"/>
      <c r="AP37" s="10"/>
      <c r="AQ37" s="10">
        <v>496000</v>
      </c>
      <c r="AR37" s="10"/>
      <c r="AS37" s="10">
        <v>144504000</v>
      </c>
      <c r="AT37" s="10"/>
      <c r="AU37" s="10">
        <v>3801000</v>
      </c>
      <c r="AV37" s="10"/>
      <c r="AW37" s="10"/>
      <c r="AX37" s="10">
        <v>19907000</v>
      </c>
      <c r="AY37" s="10"/>
      <c r="AZ37" s="10">
        <v>0</v>
      </c>
      <c r="BA37" s="10">
        <v>17158000</v>
      </c>
      <c r="BB37" s="10">
        <v>0.12</v>
      </c>
      <c r="BC37" s="41"/>
      <c r="BD37" s="10"/>
      <c r="BE37" s="10"/>
      <c r="BF37" s="10">
        <v>217882000</v>
      </c>
      <c r="BG37" s="10"/>
      <c r="BH37" s="10"/>
      <c r="BI37" s="10"/>
      <c r="BJ37" s="10"/>
      <c r="BK37" s="41"/>
      <c r="BL37" s="10"/>
      <c r="BM37" s="10"/>
      <c r="BN37" s="41"/>
      <c r="BO37" s="10"/>
      <c r="BP37" s="41">
        <v>2021</v>
      </c>
      <c r="BQ37" s="10"/>
      <c r="BR37" s="10"/>
      <c r="BS37" s="10"/>
      <c r="BT37" s="10"/>
      <c r="BU37" s="10"/>
      <c r="BV37" s="10"/>
      <c r="BW37" s="10"/>
      <c r="BX37" s="10"/>
      <c r="BY37" s="10"/>
      <c r="BZ37" s="10"/>
      <c r="CA37" s="156" t="s">
        <v>656</v>
      </c>
    </row>
    <row r="38" spans="1:79" hidden="1" x14ac:dyDescent="0.35">
      <c r="A38" s="156" t="s">
        <v>655</v>
      </c>
      <c r="B38" s="22">
        <v>44926</v>
      </c>
      <c r="C38">
        <v>2022</v>
      </c>
      <c r="D38" s="156" t="s">
        <v>212</v>
      </c>
      <c r="E38" s="156" t="s">
        <v>213</v>
      </c>
      <c r="F38" s="10"/>
      <c r="G38" s="10">
        <v>87500799</v>
      </c>
      <c r="H38" s="157">
        <v>0.47</v>
      </c>
      <c r="I38" s="10"/>
      <c r="J38" s="10"/>
      <c r="K38" s="10"/>
      <c r="L38" s="10">
        <v>90609329</v>
      </c>
      <c r="M38" s="10">
        <v>0.47</v>
      </c>
      <c r="N38" s="10">
        <v>41502000</v>
      </c>
      <c r="O38" s="10"/>
      <c r="P38" s="10"/>
      <c r="Q38" s="10"/>
      <c r="R38" s="10"/>
      <c r="S38" s="10">
        <v>57187000</v>
      </c>
      <c r="T38" s="10">
        <v>29934000</v>
      </c>
      <c r="U38" s="10"/>
      <c r="V38" s="10">
        <v>115559000</v>
      </c>
      <c r="W38" s="10"/>
      <c r="X38" s="10">
        <v>152561000</v>
      </c>
      <c r="Y38" s="10"/>
      <c r="Z38" s="10">
        <v>-409000</v>
      </c>
      <c r="AA38" s="10">
        <v>41502000</v>
      </c>
      <c r="AB38" s="10">
        <v>41502000</v>
      </c>
      <c r="AC38" s="10">
        <v>41911000</v>
      </c>
      <c r="AD38" s="10">
        <v>41502000</v>
      </c>
      <c r="AE38" s="10">
        <v>41502000</v>
      </c>
      <c r="AF38" s="10">
        <v>41911000</v>
      </c>
      <c r="AG38" s="10">
        <v>37002000</v>
      </c>
      <c r="AH38" s="10"/>
      <c r="AI38" s="10"/>
      <c r="AJ38" s="10">
        <v>41502000</v>
      </c>
      <c r="AK38" s="10">
        <v>106177000</v>
      </c>
      <c r="AL38" s="10"/>
      <c r="AM38" s="10">
        <v>155469000</v>
      </c>
      <c r="AN38" s="10"/>
      <c r="AO38" s="10"/>
      <c r="AP38" s="10"/>
      <c r="AQ38" s="10">
        <v>12798000</v>
      </c>
      <c r="AR38" s="10"/>
      <c r="AS38" s="10">
        <v>49292000</v>
      </c>
      <c r="AT38" s="10"/>
      <c r="AU38" s="10">
        <v>3993000</v>
      </c>
      <c r="AV38" s="10"/>
      <c r="AW38" s="10"/>
      <c r="AX38" s="10">
        <v>29934000</v>
      </c>
      <c r="AY38" s="10"/>
      <c r="AZ38" s="10">
        <v>0</v>
      </c>
      <c r="BA38" s="10">
        <v>7381000</v>
      </c>
      <c r="BB38" s="10">
        <v>0.15</v>
      </c>
      <c r="BC38" s="41"/>
      <c r="BD38" s="10"/>
      <c r="BE38" s="10"/>
      <c r="BF38" s="10">
        <v>155469000</v>
      </c>
      <c r="BG38" s="10"/>
      <c r="BH38" s="10"/>
      <c r="BI38" s="10"/>
      <c r="BJ38" s="10"/>
      <c r="BK38" s="41"/>
      <c r="BL38" s="10"/>
      <c r="BM38" s="10"/>
      <c r="BN38" s="41"/>
      <c r="BO38" s="10"/>
      <c r="BP38" s="41">
        <v>2022</v>
      </c>
      <c r="BQ38" s="10"/>
      <c r="BR38" s="10"/>
      <c r="BS38" s="10"/>
      <c r="BT38" s="10"/>
      <c r="BU38" s="10"/>
      <c r="BV38" s="10"/>
      <c r="BW38" s="10"/>
      <c r="BX38" s="10"/>
      <c r="BY38" s="10"/>
      <c r="BZ38" s="10"/>
      <c r="CA38" s="156" t="s">
        <v>656</v>
      </c>
    </row>
    <row r="39" spans="1:79" hidden="1" x14ac:dyDescent="0.35">
      <c r="A39" s="156" t="s">
        <v>655</v>
      </c>
      <c r="B39" s="22">
        <v>45199</v>
      </c>
      <c r="C39">
        <v>2023</v>
      </c>
      <c r="D39" s="156" t="s">
        <v>214</v>
      </c>
      <c r="E39" s="156" t="s">
        <v>213</v>
      </c>
      <c r="F39" s="10"/>
      <c r="G39" s="10">
        <v>96411326</v>
      </c>
      <c r="H39" s="157">
        <v>0.36</v>
      </c>
      <c r="I39" s="10"/>
      <c r="J39" s="10"/>
      <c r="K39" s="10"/>
      <c r="L39" s="10">
        <v>99019860</v>
      </c>
      <c r="M39" s="10">
        <v>0.36</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41"/>
      <c r="BD39" s="10"/>
      <c r="BE39" s="10"/>
      <c r="BF39" s="10"/>
      <c r="BG39" s="10"/>
      <c r="BH39" s="10"/>
      <c r="BI39" s="10"/>
      <c r="BJ39" s="10"/>
      <c r="BK39" s="41"/>
      <c r="BL39" s="10"/>
      <c r="BM39" s="10"/>
      <c r="BN39" s="41"/>
      <c r="BO39" s="10"/>
      <c r="BP39" s="41">
        <v>2023</v>
      </c>
      <c r="BQ39" s="10"/>
      <c r="BR39" s="10"/>
      <c r="BS39" s="10"/>
      <c r="BT39" s="10"/>
      <c r="BU39" s="10"/>
      <c r="BV39" s="10"/>
      <c r="BW39" s="10"/>
      <c r="BX39" s="10"/>
      <c r="BY39" s="10"/>
      <c r="BZ39" s="10"/>
      <c r="CA39" s="156" t="s">
        <v>656</v>
      </c>
    </row>
    <row r="40" spans="1:79" hidden="1" x14ac:dyDescent="0.35">
      <c r="A40" s="156" t="s">
        <v>655</v>
      </c>
      <c r="B40" s="22">
        <v>45291</v>
      </c>
      <c r="C40">
        <v>2023</v>
      </c>
      <c r="D40" s="156" t="s">
        <v>212</v>
      </c>
      <c r="E40" s="156" t="s">
        <v>213</v>
      </c>
      <c r="F40" s="10"/>
      <c r="G40" s="10">
        <v>101844551</v>
      </c>
      <c r="H40" s="157">
        <v>1.45</v>
      </c>
      <c r="I40" s="10"/>
      <c r="J40" s="10"/>
      <c r="K40" s="10"/>
      <c r="L40" s="10">
        <v>109467554</v>
      </c>
      <c r="M40" s="10">
        <v>1.42</v>
      </c>
      <c r="N40" s="10">
        <v>148836000</v>
      </c>
      <c r="O40" s="10"/>
      <c r="P40" s="10"/>
      <c r="Q40" s="10"/>
      <c r="R40" s="10"/>
      <c r="S40" s="10">
        <v>68637000</v>
      </c>
      <c r="T40" s="10">
        <v>31283000</v>
      </c>
      <c r="U40" s="10"/>
      <c r="V40" s="10">
        <v>171008000</v>
      </c>
      <c r="W40" s="10"/>
      <c r="X40" s="10">
        <v>227053000</v>
      </c>
      <c r="Y40" s="10"/>
      <c r="Z40" s="10">
        <v>-1921000</v>
      </c>
      <c r="AA40" s="10">
        <v>148836000</v>
      </c>
      <c r="AB40" s="10">
        <v>148836000</v>
      </c>
      <c r="AC40" s="10">
        <v>150757000</v>
      </c>
      <c r="AD40" s="10">
        <v>148836000</v>
      </c>
      <c r="AE40" s="10">
        <v>148836000</v>
      </c>
      <c r="AF40" s="10">
        <v>150757000</v>
      </c>
      <c r="AG40" s="10">
        <v>56045000</v>
      </c>
      <c r="AH40" s="10"/>
      <c r="AI40" s="10"/>
      <c r="AJ40" s="10">
        <v>148836000</v>
      </c>
      <c r="AK40" s="10">
        <v>107459000</v>
      </c>
      <c r="AL40" s="10"/>
      <c r="AM40" s="10">
        <v>289837000</v>
      </c>
      <c r="AN40" s="10"/>
      <c r="AO40" s="10"/>
      <c r="AP40" s="10"/>
      <c r="AQ40" s="10">
        <v>11832000</v>
      </c>
      <c r="AR40" s="10"/>
      <c r="AS40" s="10">
        <v>182378000</v>
      </c>
      <c r="AT40" s="10"/>
      <c r="AU40" s="10">
        <v>3127000</v>
      </c>
      <c r="AV40" s="10"/>
      <c r="AW40" s="10"/>
      <c r="AX40" s="10">
        <v>31283000</v>
      </c>
      <c r="AY40" s="10"/>
      <c r="AZ40" s="10">
        <v>0</v>
      </c>
      <c r="BA40" s="10">
        <v>31621000</v>
      </c>
      <c r="BB40" s="10">
        <v>0.17</v>
      </c>
      <c r="BC40" s="41"/>
      <c r="BD40" s="10"/>
      <c r="BE40" s="10"/>
      <c r="BF40" s="10">
        <v>289837000</v>
      </c>
      <c r="BG40" s="10"/>
      <c r="BH40" s="10"/>
      <c r="BI40" s="10"/>
      <c r="BJ40" s="10"/>
      <c r="BK40" s="41"/>
      <c r="BL40" s="10"/>
      <c r="BM40" s="10"/>
      <c r="BN40" s="41"/>
      <c r="BO40" s="10"/>
      <c r="BP40" s="41">
        <v>2023</v>
      </c>
      <c r="BQ40" s="10"/>
      <c r="BR40" s="10"/>
      <c r="BS40" s="10"/>
      <c r="BT40" s="10"/>
      <c r="BU40" s="10"/>
      <c r="BV40" s="10"/>
      <c r="BW40" s="10"/>
      <c r="BX40" s="10"/>
      <c r="BY40" s="10"/>
      <c r="BZ40" s="10"/>
      <c r="CA40" s="156" t="s">
        <v>656</v>
      </c>
    </row>
    <row r="41" spans="1:79" hidden="1" x14ac:dyDescent="0.35">
      <c r="A41" s="156" t="s">
        <v>655</v>
      </c>
      <c r="B41" s="22">
        <v>45291</v>
      </c>
      <c r="C41">
        <v>2023</v>
      </c>
      <c r="D41" s="156" t="s">
        <v>214</v>
      </c>
      <c r="E41" s="156" t="s">
        <v>213</v>
      </c>
      <c r="F41" s="10"/>
      <c r="G41" s="10">
        <v>101844551</v>
      </c>
      <c r="H41" s="157">
        <v>1.45</v>
      </c>
      <c r="I41" s="10"/>
      <c r="J41" s="10"/>
      <c r="K41" s="10"/>
      <c r="L41" s="10">
        <v>109467554</v>
      </c>
      <c r="M41" s="10">
        <v>1.42</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41"/>
      <c r="BD41" s="10"/>
      <c r="BE41" s="10"/>
      <c r="BF41" s="10"/>
      <c r="BG41" s="10"/>
      <c r="BH41" s="10"/>
      <c r="BI41" s="10"/>
      <c r="BJ41" s="10"/>
      <c r="BK41" s="41"/>
      <c r="BL41" s="10"/>
      <c r="BM41" s="10"/>
      <c r="BN41" s="41"/>
      <c r="BO41" s="10"/>
      <c r="BP41" s="41">
        <v>2023</v>
      </c>
      <c r="BQ41" s="10"/>
      <c r="BR41" s="10"/>
      <c r="BS41" s="10"/>
      <c r="BT41" s="10"/>
      <c r="BU41" s="10"/>
      <c r="BV41" s="10"/>
      <c r="BW41" s="10"/>
      <c r="BX41" s="10"/>
      <c r="BY41" s="10"/>
      <c r="BZ41" s="10"/>
      <c r="CA41" s="156" t="s">
        <v>656</v>
      </c>
    </row>
    <row r="42" spans="1:79" hidden="1" x14ac:dyDescent="0.35">
      <c r="A42" s="156" t="s">
        <v>655</v>
      </c>
      <c r="B42" s="22">
        <v>45382</v>
      </c>
      <c r="C42">
        <v>2024</v>
      </c>
      <c r="D42" s="156" t="s">
        <v>214</v>
      </c>
      <c r="E42" s="156" t="s">
        <v>213</v>
      </c>
      <c r="F42" s="10"/>
      <c r="G42" s="10">
        <v>107223410</v>
      </c>
      <c r="H42" s="157">
        <v>2.27</v>
      </c>
      <c r="I42" s="10"/>
      <c r="J42" s="10"/>
      <c r="K42" s="10"/>
      <c r="L42" s="10">
        <v>118684954</v>
      </c>
      <c r="M42" s="10">
        <v>2.14</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41"/>
      <c r="BD42" s="10"/>
      <c r="BE42" s="10"/>
      <c r="BF42" s="10"/>
      <c r="BG42" s="10"/>
      <c r="BH42" s="10"/>
      <c r="BI42" s="10"/>
      <c r="BJ42" s="10"/>
      <c r="BK42" s="41"/>
      <c r="BL42" s="10"/>
      <c r="BM42" s="10"/>
      <c r="BN42" s="41"/>
      <c r="BO42" s="10"/>
      <c r="BP42" s="41">
        <v>2024</v>
      </c>
      <c r="BQ42" s="10"/>
      <c r="BR42" s="10"/>
      <c r="BS42" s="10"/>
      <c r="BT42" s="10"/>
      <c r="BU42" s="10"/>
      <c r="BV42" s="10"/>
      <c r="BW42" s="10"/>
      <c r="BX42" s="10"/>
      <c r="BY42" s="10"/>
      <c r="BZ42" s="10"/>
      <c r="CA42" s="156" t="s">
        <v>656</v>
      </c>
    </row>
    <row r="43" spans="1:79" hidden="1" x14ac:dyDescent="0.35">
      <c r="A43" s="156" t="s">
        <v>655</v>
      </c>
      <c r="B43" s="22">
        <v>45473</v>
      </c>
      <c r="C43">
        <v>2024</v>
      </c>
      <c r="D43" s="156" t="s">
        <v>214</v>
      </c>
      <c r="E43" s="156" t="s">
        <v>213</v>
      </c>
      <c r="F43" s="10"/>
      <c r="G43" s="10">
        <v>111548490</v>
      </c>
      <c r="H43" s="157">
        <v>2.37</v>
      </c>
      <c r="I43" s="10"/>
      <c r="J43" s="10"/>
      <c r="K43" s="10"/>
      <c r="L43" s="10">
        <v>126891142</v>
      </c>
      <c r="M43" s="10">
        <v>2.25</v>
      </c>
      <c r="N43" s="10">
        <v>272274000</v>
      </c>
      <c r="O43" s="10"/>
      <c r="P43" s="10"/>
      <c r="Q43" s="10"/>
      <c r="R43" s="10"/>
      <c r="S43" s="10">
        <v>92532000</v>
      </c>
      <c r="T43" s="10">
        <v>30173000</v>
      </c>
      <c r="U43" s="10"/>
      <c r="V43" s="10">
        <v>215293000</v>
      </c>
      <c r="W43" s="10"/>
      <c r="X43" s="10">
        <v>269548000</v>
      </c>
      <c r="Y43" s="10"/>
      <c r="Z43" s="10">
        <v>-3355000</v>
      </c>
      <c r="AA43" s="10">
        <v>260774000</v>
      </c>
      <c r="AB43" s="10">
        <v>260074000</v>
      </c>
      <c r="AC43" s="10">
        <v>264129000</v>
      </c>
      <c r="AD43" s="10">
        <v>260774000</v>
      </c>
      <c r="AE43" s="10">
        <v>260774000</v>
      </c>
      <c r="AF43" s="10">
        <v>264129000</v>
      </c>
      <c r="AG43" s="10">
        <v>54255000</v>
      </c>
      <c r="AH43" s="10"/>
      <c r="AI43" s="10"/>
      <c r="AJ43" s="10">
        <v>260774000</v>
      </c>
      <c r="AK43" s="10">
        <v>110741000</v>
      </c>
      <c r="AL43" s="10"/>
      <c r="AM43" s="10">
        <v>463203000</v>
      </c>
      <c r="AN43" s="10"/>
      <c r="AO43" s="10"/>
      <c r="AP43" s="10"/>
      <c r="AQ43" s="10">
        <v>6966000</v>
      </c>
      <c r="AR43" s="10"/>
      <c r="AS43" s="10">
        <v>352462000</v>
      </c>
      <c r="AT43" s="10"/>
      <c r="AU43" s="10">
        <v>1780000</v>
      </c>
      <c r="AV43" s="10"/>
      <c r="AW43" s="10"/>
      <c r="AX43" s="10">
        <v>30173000</v>
      </c>
      <c r="AY43" s="10"/>
      <c r="AZ43" s="10">
        <v>0</v>
      </c>
      <c r="BA43" s="10">
        <v>88333000</v>
      </c>
      <c r="BB43" s="10">
        <v>0.25061699999999998</v>
      </c>
      <c r="BC43" s="41"/>
      <c r="BD43" s="10"/>
      <c r="BE43" s="10"/>
      <c r="BF43" s="10">
        <v>463203000</v>
      </c>
      <c r="BG43" s="10"/>
      <c r="BH43" s="10"/>
      <c r="BI43" s="10"/>
      <c r="BJ43" s="10"/>
      <c r="BK43" s="41"/>
      <c r="BL43" s="10"/>
      <c r="BM43" s="10"/>
      <c r="BN43" s="41"/>
      <c r="BO43" s="10"/>
      <c r="BP43" s="41">
        <v>2024</v>
      </c>
      <c r="BQ43" s="10"/>
      <c r="BR43" s="10"/>
      <c r="BS43" s="10"/>
      <c r="BT43" s="10"/>
      <c r="BU43" s="10"/>
      <c r="BV43" s="10"/>
      <c r="BW43" s="10"/>
      <c r="BX43" s="10"/>
      <c r="BY43" s="10"/>
      <c r="BZ43" s="10"/>
      <c r="CA43" s="156" t="s">
        <v>656</v>
      </c>
    </row>
    <row r="44" spans="1:79" hidden="1" x14ac:dyDescent="0.35">
      <c r="A44" s="156" t="s">
        <v>657</v>
      </c>
      <c r="B44" s="22">
        <v>43830</v>
      </c>
      <c r="C44">
        <v>2019</v>
      </c>
      <c r="D44" s="156" t="s">
        <v>212</v>
      </c>
      <c r="E44" s="156" t="s">
        <v>213</v>
      </c>
      <c r="F44" s="10"/>
      <c r="G44" s="10"/>
      <c r="H44" s="157"/>
      <c r="I44" s="10"/>
      <c r="J44" s="10"/>
      <c r="K44" s="10"/>
      <c r="L44" s="10"/>
      <c r="M44" s="10"/>
      <c r="N44" s="10"/>
      <c r="O44" s="10"/>
      <c r="P44" s="10"/>
      <c r="Q44" s="10"/>
      <c r="R44" s="10"/>
      <c r="S44" s="10">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41"/>
      <c r="BD44" s="10"/>
      <c r="BE44" s="10"/>
      <c r="BF44" s="10"/>
      <c r="BG44" s="10"/>
      <c r="BH44" s="10"/>
      <c r="BI44" s="10"/>
      <c r="BJ44" s="10"/>
      <c r="BK44" s="41"/>
      <c r="BL44" s="10"/>
      <c r="BM44" s="10"/>
      <c r="BN44" s="41"/>
      <c r="BO44" s="10"/>
      <c r="BP44" s="41">
        <v>2019</v>
      </c>
      <c r="BQ44" s="10"/>
      <c r="BR44" s="10"/>
      <c r="BS44" s="10"/>
      <c r="BT44" s="10"/>
      <c r="BU44" s="10"/>
      <c r="BV44" s="10"/>
      <c r="BW44" s="10"/>
      <c r="BX44" s="10"/>
      <c r="BY44" s="10"/>
      <c r="BZ44" s="10"/>
      <c r="CA44" s="156" t="s">
        <v>658</v>
      </c>
    </row>
    <row r="45" spans="1:79" hidden="1" x14ac:dyDescent="0.35">
      <c r="A45" s="156" t="s">
        <v>657</v>
      </c>
      <c r="B45" s="22">
        <v>44196</v>
      </c>
      <c r="C45">
        <v>2020</v>
      </c>
      <c r="D45" s="156" t="s">
        <v>212</v>
      </c>
      <c r="E45" s="156" t="s">
        <v>213</v>
      </c>
      <c r="F45" s="10"/>
      <c r="G45" s="10">
        <v>22611000</v>
      </c>
      <c r="H45" s="157">
        <v>0.96</v>
      </c>
      <c r="I45" s="10"/>
      <c r="J45" s="10">
        <v>1784000</v>
      </c>
      <c r="K45" s="10">
        <v>1784000</v>
      </c>
      <c r="L45" s="10">
        <v>24003000</v>
      </c>
      <c r="M45" s="10">
        <v>0.9</v>
      </c>
      <c r="N45" s="10">
        <v>21677000</v>
      </c>
      <c r="O45" s="10"/>
      <c r="P45" s="10"/>
      <c r="Q45" s="10"/>
      <c r="R45" s="10"/>
      <c r="S45" s="10">
        <v>-29528000</v>
      </c>
      <c r="T45" s="10">
        <v>112179000</v>
      </c>
      <c r="U45" s="10"/>
      <c r="V45" s="10">
        <v>101338000</v>
      </c>
      <c r="W45" s="10"/>
      <c r="X45" s="10">
        <v>265454000</v>
      </c>
      <c r="Y45" s="10"/>
      <c r="Z45" s="10"/>
      <c r="AA45" s="10">
        <v>21677000</v>
      </c>
      <c r="AB45" s="10">
        <v>21677000</v>
      </c>
      <c r="AC45" s="10">
        <v>21677000</v>
      </c>
      <c r="AD45" s="10">
        <v>21677000</v>
      </c>
      <c r="AE45" s="10">
        <v>21677000</v>
      </c>
      <c r="AF45" s="10">
        <v>21677000</v>
      </c>
      <c r="AG45" s="10">
        <v>164116000</v>
      </c>
      <c r="AH45" s="10"/>
      <c r="AI45" s="10"/>
      <c r="AJ45" s="10">
        <v>21677000</v>
      </c>
      <c r="AK45" s="10"/>
      <c r="AL45" s="10"/>
      <c r="AM45" s="10">
        <v>169823000</v>
      </c>
      <c r="AN45" s="10">
        <v>31981000</v>
      </c>
      <c r="AO45" s="10"/>
      <c r="AP45" s="10"/>
      <c r="AQ45" s="10"/>
      <c r="AR45" s="10"/>
      <c r="AS45" s="10">
        <v>20120000</v>
      </c>
      <c r="AT45" s="10"/>
      <c r="AU45" s="10">
        <v>1784000</v>
      </c>
      <c r="AV45" s="10"/>
      <c r="AW45" s="10">
        <v>14206000</v>
      </c>
      <c r="AX45" s="10">
        <v>126385000</v>
      </c>
      <c r="AY45" s="10"/>
      <c r="AZ45" s="10">
        <v>0</v>
      </c>
      <c r="BA45" s="10">
        <v>-1557000</v>
      </c>
      <c r="BB45" s="10">
        <v>0.36</v>
      </c>
      <c r="BC45" s="41"/>
      <c r="BD45" s="10"/>
      <c r="BE45" s="10"/>
      <c r="BF45" s="10">
        <v>169823000</v>
      </c>
      <c r="BG45" s="10"/>
      <c r="BH45" s="10"/>
      <c r="BI45" s="10"/>
      <c r="BJ45" s="10"/>
      <c r="BK45" s="41"/>
      <c r="BL45" s="10"/>
      <c r="BM45" s="10"/>
      <c r="BN45" s="41"/>
      <c r="BO45" s="10"/>
      <c r="BP45" s="41">
        <v>2020</v>
      </c>
      <c r="BQ45" s="10"/>
      <c r="BR45" s="10"/>
      <c r="BS45" s="10"/>
      <c r="BT45" s="10"/>
      <c r="BU45" s="10"/>
      <c r="BV45" s="10"/>
      <c r="BW45" s="10"/>
      <c r="BX45" s="10">
        <v>80198000</v>
      </c>
      <c r="BY45" s="10"/>
      <c r="BZ45" s="10"/>
      <c r="CA45" s="156" t="s">
        <v>658</v>
      </c>
    </row>
    <row r="46" spans="1:79" hidden="1" x14ac:dyDescent="0.35">
      <c r="A46" s="156" t="s">
        <v>657</v>
      </c>
      <c r="B46" s="22">
        <v>44561</v>
      </c>
      <c r="C46">
        <v>2021</v>
      </c>
      <c r="D46" s="156" t="s">
        <v>212</v>
      </c>
      <c r="E46" s="156" t="s">
        <v>213</v>
      </c>
      <c r="F46" s="10"/>
      <c r="G46" s="10">
        <v>22562000</v>
      </c>
      <c r="H46" s="157">
        <v>2.11</v>
      </c>
      <c r="I46" s="10"/>
      <c r="J46" s="10">
        <v>1675000</v>
      </c>
      <c r="K46" s="10">
        <v>1675000</v>
      </c>
      <c r="L46" s="10">
        <v>25780000</v>
      </c>
      <c r="M46" s="10">
        <v>1.84</v>
      </c>
      <c r="N46" s="10">
        <v>47524000</v>
      </c>
      <c r="O46" s="10"/>
      <c r="P46" s="10"/>
      <c r="Q46" s="10"/>
      <c r="R46" s="10"/>
      <c r="S46" s="10"/>
      <c r="T46" s="10">
        <v>115150000</v>
      </c>
      <c r="U46" s="10"/>
      <c r="V46" s="10">
        <v>75239000</v>
      </c>
      <c r="W46" s="10"/>
      <c r="X46" s="10">
        <v>261849000</v>
      </c>
      <c r="Y46" s="10"/>
      <c r="Z46" s="10"/>
      <c r="AA46" s="10">
        <v>47524000</v>
      </c>
      <c r="AB46" s="10">
        <v>47524000</v>
      </c>
      <c r="AC46" s="10">
        <v>47524000</v>
      </c>
      <c r="AD46" s="10">
        <v>47524000</v>
      </c>
      <c r="AE46" s="10">
        <v>47524000</v>
      </c>
      <c r="AF46" s="10">
        <v>47524000</v>
      </c>
      <c r="AG46" s="10">
        <v>186610000</v>
      </c>
      <c r="AH46" s="10"/>
      <c r="AI46" s="10"/>
      <c r="AJ46" s="10">
        <v>47524000</v>
      </c>
      <c r="AK46" s="10"/>
      <c r="AL46" s="10"/>
      <c r="AM46" s="10">
        <v>192572000</v>
      </c>
      <c r="AN46" s="10">
        <v>34616000</v>
      </c>
      <c r="AO46" s="10"/>
      <c r="AP46" s="10"/>
      <c r="AQ46" s="10"/>
      <c r="AR46" s="10"/>
      <c r="AS46" s="10">
        <v>65746000</v>
      </c>
      <c r="AT46" s="10"/>
      <c r="AU46" s="10">
        <v>1675000</v>
      </c>
      <c r="AV46" s="10"/>
      <c r="AW46" s="10">
        <v>16876000</v>
      </c>
      <c r="AX46" s="10">
        <v>132026000</v>
      </c>
      <c r="AY46" s="10"/>
      <c r="AZ46" s="10">
        <v>0</v>
      </c>
      <c r="BA46" s="10">
        <v>18222000</v>
      </c>
      <c r="BB46" s="10">
        <v>0.28000000000000003</v>
      </c>
      <c r="BC46" s="41"/>
      <c r="BD46" s="10"/>
      <c r="BE46" s="10"/>
      <c r="BF46" s="10">
        <v>192572000</v>
      </c>
      <c r="BG46" s="10"/>
      <c r="BH46" s="10"/>
      <c r="BI46" s="10"/>
      <c r="BJ46" s="10"/>
      <c r="BK46" s="41"/>
      <c r="BL46" s="10"/>
      <c r="BM46" s="10"/>
      <c r="BN46" s="41"/>
      <c r="BO46" s="10"/>
      <c r="BP46" s="41">
        <v>2021</v>
      </c>
      <c r="BQ46" s="10"/>
      <c r="BR46" s="10"/>
      <c r="BS46" s="10"/>
      <c r="BT46" s="10"/>
      <c r="BU46" s="10"/>
      <c r="BV46" s="10"/>
      <c r="BW46" s="10"/>
      <c r="BX46" s="10">
        <v>80534000</v>
      </c>
      <c r="BY46" s="10"/>
      <c r="BZ46" s="10"/>
      <c r="CA46" s="156" t="s">
        <v>658</v>
      </c>
    </row>
    <row r="47" spans="1:79" hidden="1" x14ac:dyDescent="0.35">
      <c r="A47" s="156" t="s">
        <v>657</v>
      </c>
      <c r="B47" s="22">
        <v>44561</v>
      </c>
      <c r="C47">
        <v>2021</v>
      </c>
      <c r="D47" s="156" t="s">
        <v>214</v>
      </c>
      <c r="E47" s="156" t="s">
        <v>213</v>
      </c>
      <c r="F47" s="10"/>
      <c r="G47" s="10">
        <v>22562000</v>
      </c>
      <c r="H47" s="157">
        <v>2.11</v>
      </c>
      <c r="I47" s="10"/>
      <c r="J47" s="10"/>
      <c r="K47" s="10"/>
      <c r="L47" s="10">
        <v>25780000</v>
      </c>
      <c r="M47" s="10">
        <v>1.84</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41"/>
      <c r="BD47" s="10"/>
      <c r="BE47" s="10"/>
      <c r="BF47" s="10"/>
      <c r="BG47" s="10"/>
      <c r="BH47" s="10"/>
      <c r="BI47" s="10"/>
      <c r="BJ47" s="10"/>
      <c r="BK47" s="41"/>
      <c r="BL47" s="10"/>
      <c r="BM47" s="10"/>
      <c r="BN47" s="41"/>
      <c r="BO47" s="10"/>
      <c r="BP47" s="41">
        <v>2021</v>
      </c>
      <c r="BQ47" s="10"/>
      <c r="BR47" s="10"/>
      <c r="BS47" s="10"/>
      <c r="BT47" s="10"/>
      <c r="BU47" s="10"/>
      <c r="BV47" s="10"/>
      <c r="BW47" s="10"/>
      <c r="BX47" s="10"/>
      <c r="BY47" s="10"/>
      <c r="BZ47" s="10"/>
      <c r="CA47" s="156" t="s">
        <v>658</v>
      </c>
    </row>
    <row r="48" spans="1:79" hidden="1" x14ac:dyDescent="0.35">
      <c r="A48" s="156" t="s">
        <v>657</v>
      </c>
      <c r="B48" s="22">
        <v>44834</v>
      </c>
      <c r="C48">
        <v>2022</v>
      </c>
      <c r="D48" s="156" t="s">
        <v>214</v>
      </c>
      <c r="E48" s="156" t="s">
        <v>213</v>
      </c>
      <c r="F48" s="10"/>
      <c r="G48" s="10"/>
      <c r="H48" s="157"/>
      <c r="I48" s="10"/>
      <c r="J48" s="10">
        <v>1628000</v>
      </c>
      <c r="K48" s="10">
        <v>1628000</v>
      </c>
      <c r="L48" s="10"/>
      <c r="M48" s="10"/>
      <c r="N48" s="10">
        <v>90813000</v>
      </c>
      <c r="O48" s="10"/>
      <c r="P48" s="10"/>
      <c r="Q48" s="10"/>
      <c r="R48" s="10"/>
      <c r="S48" s="10"/>
      <c r="T48" s="10">
        <v>123673000</v>
      </c>
      <c r="U48" s="10"/>
      <c r="V48" s="10">
        <v>75633000</v>
      </c>
      <c r="W48" s="10"/>
      <c r="X48" s="10">
        <v>308545000</v>
      </c>
      <c r="Y48" s="10"/>
      <c r="Z48" s="10"/>
      <c r="AA48" s="10">
        <v>90813000</v>
      </c>
      <c r="AB48" s="10">
        <v>90813000</v>
      </c>
      <c r="AC48" s="10">
        <v>90813000</v>
      </c>
      <c r="AD48" s="10">
        <v>90813000</v>
      </c>
      <c r="AE48" s="10">
        <v>90813000</v>
      </c>
      <c r="AF48" s="10">
        <v>90813000</v>
      </c>
      <c r="AG48" s="10">
        <v>232912000</v>
      </c>
      <c r="AH48" s="10"/>
      <c r="AI48" s="10"/>
      <c r="AJ48" s="10">
        <v>90813000</v>
      </c>
      <c r="AK48" s="10"/>
      <c r="AL48" s="10"/>
      <c r="AM48" s="10">
        <v>240421000</v>
      </c>
      <c r="AN48" s="10">
        <v>37502000</v>
      </c>
      <c r="AO48" s="10"/>
      <c r="AP48" s="10"/>
      <c r="AQ48" s="10"/>
      <c r="AR48" s="10"/>
      <c r="AS48" s="10">
        <v>122268000</v>
      </c>
      <c r="AT48" s="10"/>
      <c r="AU48" s="10">
        <v>1628000</v>
      </c>
      <c r="AV48" s="10"/>
      <c r="AW48" s="10">
        <v>21587000</v>
      </c>
      <c r="AX48" s="10">
        <v>145260000</v>
      </c>
      <c r="AY48" s="10"/>
      <c r="AZ48" s="10">
        <v>0</v>
      </c>
      <c r="BA48" s="10">
        <v>31455000</v>
      </c>
      <c r="BB48" s="10">
        <v>0.25726300000000002</v>
      </c>
      <c r="BC48" s="41"/>
      <c r="BD48" s="10"/>
      <c r="BE48" s="10"/>
      <c r="BF48" s="10">
        <v>240421000</v>
      </c>
      <c r="BG48" s="10"/>
      <c r="BH48" s="10"/>
      <c r="BI48" s="10"/>
      <c r="BJ48" s="10"/>
      <c r="BK48" s="41"/>
      <c r="BL48" s="10"/>
      <c r="BM48" s="10"/>
      <c r="BN48" s="41"/>
      <c r="BO48" s="10"/>
      <c r="BP48" s="41">
        <v>2022</v>
      </c>
      <c r="BQ48" s="10"/>
      <c r="BR48" s="10"/>
      <c r="BS48" s="10"/>
      <c r="BT48" s="10"/>
      <c r="BU48" s="10"/>
      <c r="BV48" s="10"/>
      <c r="BW48" s="10"/>
      <c r="BX48" s="10">
        <v>86171000</v>
      </c>
      <c r="BY48" s="10"/>
      <c r="BZ48" s="10"/>
      <c r="CA48" s="156" t="s">
        <v>658</v>
      </c>
    </row>
    <row r="49" spans="1:79" hidden="1" x14ac:dyDescent="0.35">
      <c r="A49" s="156" t="s">
        <v>657</v>
      </c>
      <c r="B49" s="22">
        <v>44926</v>
      </c>
      <c r="C49">
        <v>2022</v>
      </c>
      <c r="D49" s="156" t="s">
        <v>212</v>
      </c>
      <c r="E49" s="156" t="s">
        <v>213</v>
      </c>
      <c r="F49" s="10"/>
      <c r="G49" s="10">
        <v>20958000</v>
      </c>
      <c r="H49" s="157">
        <v>4.0999999999999996</v>
      </c>
      <c r="I49" s="10"/>
      <c r="J49" s="10">
        <v>1618000</v>
      </c>
      <c r="K49" s="10">
        <v>1618000</v>
      </c>
      <c r="L49" s="10">
        <v>26589000</v>
      </c>
      <c r="M49" s="10">
        <v>3.23</v>
      </c>
      <c r="N49" s="10">
        <v>85983000</v>
      </c>
      <c r="O49" s="10"/>
      <c r="P49" s="10"/>
      <c r="Q49" s="10"/>
      <c r="R49" s="10"/>
      <c r="S49" s="10"/>
      <c r="T49" s="10">
        <v>121900000</v>
      </c>
      <c r="U49" s="10"/>
      <c r="V49" s="10">
        <v>87524000</v>
      </c>
      <c r="W49" s="10"/>
      <c r="X49" s="10">
        <v>320520000</v>
      </c>
      <c r="Y49" s="10"/>
      <c r="Z49" s="10"/>
      <c r="AA49" s="10">
        <v>85983000</v>
      </c>
      <c r="AB49" s="10">
        <v>85983000</v>
      </c>
      <c r="AC49" s="10">
        <v>85983000</v>
      </c>
      <c r="AD49" s="10">
        <v>85983000</v>
      </c>
      <c r="AE49" s="10">
        <v>85983000</v>
      </c>
      <c r="AF49" s="10">
        <v>85983000</v>
      </c>
      <c r="AG49" s="10">
        <v>232996000</v>
      </c>
      <c r="AH49" s="10"/>
      <c r="AI49" s="10"/>
      <c r="AJ49" s="10">
        <v>85983000</v>
      </c>
      <c r="AK49" s="10"/>
      <c r="AL49" s="10"/>
      <c r="AM49" s="10">
        <v>242185000</v>
      </c>
      <c r="AN49" s="10">
        <v>37618000</v>
      </c>
      <c r="AO49" s="10"/>
      <c r="AP49" s="10"/>
      <c r="AQ49" s="10"/>
      <c r="AR49" s="10"/>
      <c r="AS49" s="10">
        <v>116193000</v>
      </c>
      <c r="AT49" s="10"/>
      <c r="AU49" s="10">
        <v>1618000</v>
      </c>
      <c r="AV49" s="10"/>
      <c r="AW49" s="10">
        <v>23039000</v>
      </c>
      <c r="AX49" s="10">
        <v>144939000</v>
      </c>
      <c r="AY49" s="10"/>
      <c r="AZ49" s="10">
        <v>0</v>
      </c>
      <c r="BA49" s="10">
        <v>30210000</v>
      </c>
      <c r="BB49" s="10">
        <v>0.26</v>
      </c>
      <c r="BC49" s="41"/>
      <c r="BD49" s="10"/>
      <c r="BE49" s="10"/>
      <c r="BF49" s="10">
        <v>242185000</v>
      </c>
      <c r="BG49" s="10"/>
      <c r="BH49" s="10"/>
      <c r="BI49" s="10"/>
      <c r="BJ49" s="10"/>
      <c r="BK49" s="41"/>
      <c r="BL49" s="10"/>
      <c r="BM49" s="10"/>
      <c r="BN49" s="41"/>
      <c r="BO49" s="10"/>
      <c r="BP49" s="41">
        <v>2022</v>
      </c>
      <c r="BQ49" s="10"/>
      <c r="BR49" s="10"/>
      <c r="BS49" s="10"/>
      <c r="BT49" s="10"/>
      <c r="BU49" s="10"/>
      <c r="BV49" s="10"/>
      <c r="BW49" s="10"/>
      <c r="BX49" s="10">
        <v>84282000</v>
      </c>
      <c r="BY49" s="10"/>
      <c r="BZ49" s="10"/>
      <c r="CA49" s="156" t="s">
        <v>658</v>
      </c>
    </row>
    <row r="50" spans="1:79" hidden="1" x14ac:dyDescent="0.35">
      <c r="A50" s="156" t="s">
        <v>657</v>
      </c>
      <c r="B50" s="22">
        <v>45199</v>
      </c>
      <c r="C50">
        <v>2023</v>
      </c>
      <c r="D50" s="156" t="s">
        <v>214</v>
      </c>
      <c r="E50" s="156" t="s">
        <v>213</v>
      </c>
      <c r="F50" s="10"/>
      <c r="G50" s="10">
        <v>20694750</v>
      </c>
      <c r="H50" s="157">
        <v>2.54</v>
      </c>
      <c r="I50" s="10"/>
      <c r="J50" s="10"/>
      <c r="K50" s="10"/>
      <c r="L50" s="10">
        <v>24953250</v>
      </c>
      <c r="M50" s="10">
        <v>2.13</v>
      </c>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41"/>
      <c r="BD50" s="10"/>
      <c r="BE50" s="10"/>
      <c r="BF50" s="10"/>
      <c r="BG50" s="10"/>
      <c r="BH50" s="10"/>
      <c r="BI50" s="10"/>
      <c r="BJ50" s="10"/>
      <c r="BK50" s="41"/>
      <c r="BL50" s="10"/>
      <c r="BM50" s="10"/>
      <c r="BN50" s="41"/>
      <c r="BO50" s="10"/>
      <c r="BP50" s="41">
        <v>2023</v>
      </c>
      <c r="BQ50" s="10"/>
      <c r="BR50" s="10"/>
      <c r="BS50" s="10"/>
      <c r="BT50" s="10"/>
      <c r="BU50" s="10"/>
      <c r="BV50" s="10"/>
      <c r="BW50" s="10"/>
      <c r="BX50" s="10"/>
      <c r="BY50" s="10"/>
      <c r="BZ50" s="10"/>
      <c r="CA50" s="156" t="s">
        <v>658</v>
      </c>
    </row>
    <row r="51" spans="1:79" hidden="1" x14ac:dyDescent="0.35">
      <c r="A51" s="156" t="s">
        <v>657</v>
      </c>
      <c r="B51" s="22">
        <v>45291</v>
      </c>
      <c r="C51">
        <v>2023</v>
      </c>
      <c r="D51" s="156" t="s">
        <v>212</v>
      </c>
      <c r="E51" s="156" t="s">
        <v>213</v>
      </c>
      <c r="F51" s="10"/>
      <c r="G51" s="10">
        <v>20896000</v>
      </c>
      <c r="H51" s="157">
        <v>2.17</v>
      </c>
      <c r="I51" s="10"/>
      <c r="J51" s="10">
        <v>847000</v>
      </c>
      <c r="K51" s="10">
        <v>847000</v>
      </c>
      <c r="L51" s="10">
        <v>25218000</v>
      </c>
      <c r="M51" s="10">
        <v>1.8</v>
      </c>
      <c r="N51" s="10">
        <v>45343000</v>
      </c>
      <c r="O51" s="10"/>
      <c r="P51" s="10"/>
      <c r="Q51" s="10"/>
      <c r="R51" s="10"/>
      <c r="S51" s="10"/>
      <c r="T51" s="10">
        <v>138149000</v>
      </c>
      <c r="U51" s="10"/>
      <c r="V51" s="10">
        <v>146631000</v>
      </c>
      <c r="W51" s="10"/>
      <c r="X51" s="10">
        <v>341219000</v>
      </c>
      <c r="Y51" s="10"/>
      <c r="Z51" s="10"/>
      <c r="AA51" s="10">
        <v>45343000</v>
      </c>
      <c r="AB51" s="10">
        <v>45343000</v>
      </c>
      <c r="AC51" s="10">
        <v>45343000</v>
      </c>
      <c r="AD51" s="10">
        <v>45343000</v>
      </c>
      <c r="AE51" s="10">
        <v>45343000</v>
      </c>
      <c r="AF51" s="10">
        <v>45343000</v>
      </c>
      <c r="AG51" s="10">
        <v>194588000</v>
      </c>
      <c r="AH51" s="10"/>
      <c r="AI51" s="10"/>
      <c r="AJ51" s="10">
        <v>45343000</v>
      </c>
      <c r="AK51" s="10"/>
      <c r="AL51" s="10"/>
      <c r="AM51" s="10">
        <v>205383000</v>
      </c>
      <c r="AN51" s="10">
        <v>50001000</v>
      </c>
      <c r="AO51" s="10"/>
      <c r="AP51" s="10"/>
      <c r="AQ51" s="10"/>
      <c r="AR51" s="10"/>
      <c r="AS51" s="10">
        <v>61097000</v>
      </c>
      <c r="AT51" s="10"/>
      <c r="AU51" s="10">
        <v>847000</v>
      </c>
      <c r="AV51" s="10"/>
      <c r="AW51" s="10">
        <v>21216000</v>
      </c>
      <c r="AX51" s="10">
        <v>159365000</v>
      </c>
      <c r="AY51" s="10"/>
      <c r="AZ51" s="10">
        <v>0</v>
      </c>
      <c r="BA51" s="10">
        <v>15754000</v>
      </c>
      <c r="BB51" s="10">
        <v>0.26</v>
      </c>
      <c r="BC51" s="41"/>
      <c r="BD51" s="10"/>
      <c r="BE51" s="10"/>
      <c r="BF51" s="10">
        <v>205383000</v>
      </c>
      <c r="BG51" s="10"/>
      <c r="BH51" s="10"/>
      <c r="BI51" s="10"/>
      <c r="BJ51" s="10"/>
      <c r="BK51" s="41"/>
      <c r="BL51" s="10"/>
      <c r="BM51" s="10"/>
      <c r="BN51" s="41"/>
      <c r="BO51" s="10"/>
      <c r="BP51" s="41">
        <v>2023</v>
      </c>
      <c r="BQ51" s="10"/>
      <c r="BR51" s="10"/>
      <c r="BS51" s="10"/>
      <c r="BT51" s="10"/>
      <c r="BU51" s="10"/>
      <c r="BV51" s="10"/>
      <c r="BW51" s="10"/>
      <c r="BX51" s="10">
        <v>88148000</v>
      </c>
      <c r="BY51" s="10"/>
      <c r="BZ51" s="10"/>
      <c r="CA51" s="156" t="s">
        <v>658</v>
      </c>
    </row>
    <row r="52" spans="1:79" hidden="1" x14ac:dyDescent="0.35">
      <c r="A52" s="156" t="s">
        <v>657</v>
      </c>
      <c r="B52" s="22">
        <v>45291</v>
      </c>
      <c r="C52">
        <v>2023</v>
      </c>
      <c r="D52" s="156" t="s">
        <v>214</v>
      </c>
      <c r="E52" s="156" t="s">
        <v>213</v>
      </c>
      <c r="F52" s="10"/>
      <c r="G52" s="10">
        <v>20896000</v>
      </c>
      <c r="H52" s="157">
        <v>2.17</v>
      </c>
      <c r="I52" s="10"/>
      <c r="J52" s="10"/>
      <c r="K52" s="10"/>
      <c r="L52" s="10">
        <v>25218000</v>
      </c>
      <c r="M52" s="10">
        <v>1.8</v>
      </c>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41"/>
      <c r="BD52" s="10"/>
      <c r="BE52" s="10"/>
      <c r="BF52" s="10"/>
      <c r="BG52" s="10"/>
      <c r="BH52" s="10"/>
      <c r="BI52" s="10"/>
      <c r="BJ52" s="10"/>
      <c r="BK52" s="41"/>
      <c r="BL52" s="10"/>
      <c r="BM52" s="10"/>
      <c r="BN52" s="41"/>
      <c r="BO52" s="10"/>
      <c r="BP52" s="41">
        <v>2023</v>
      </c>
      <c r="BQ52" s="10"/>
      <c r="BR52" s="10"/>
      <c r="BS52" s="10"/>
      <c r="BT52" s="10"/>
      <c r="BU52" s="10"/>
      <c r="BV52" s="10"/>
      <c r="BW52" s="10"/>
      <c r="BX52" s="10"/>
      <c r="BY52" s="10"/>
      <c r="BZ52" s="10"/>
      <c r="CA52" s="156" t="s">
        <v>658</v>
      </c>
    </row>
    <row r="53" spans="1:79" hidden="1" x14ac:dyDescent="0.35">
      <c r="A53" s="156" t="s">
        <v>657</v>
      </c>
      <c r="B53" s="22">
        <v>45382</v>
      </c>
      <c r="C53">
        <v>2024</v>
      </c>
      <c r="D53" s="156" t="s">
        <v>214</v>
      </c>
      <c r="E53" s="156" t="s">
        <v>213</v>
      </c>
      <c r="F53" s="10"/>
      <c r="G53" s="10">
        <v>21077250</v>
      </c>
      <c r="H53" s="157">
        <v>1.71</v>
      </c>
      <c r="I53" s="10"/>
      <c r="J53" s="10"/>
      <c r="K53" s="10"/>
      <c r="L53" s="10">
        <v>25020500</v>
      </c>
      <c r="M53" s="10">
        <v>1.45</v>
      </c>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41"/>
      <c r="BD53" s="10"/>
      <c r="BE53" s="10"/>
      <c r="BF53" s="10"/>
      <c r="BG53" s="10"/>
      <c r="BH53" s="10"/>
      <c r="BI53" s="10"/>
      <c r="BJ53" s="10"/>
      <c r="BK53" s="41"/>
      <c r="BL53" s="10"/>
      <c r="BM53" s="10"/>
      <c r="BN53" s="41"/>
      <c r="BO53" s="10"/>
      <c r="BP53" s="41">
        <v>2024</v>
      </c>
      <c r="BQ53" s="10"/>
      <c r="BR53" s="10"/>
      <c r="BS53" s="10"/>
      <c r="BT53" s="10"/>
      <c r="BU53" s="10"/>
      <c r="BV53" s="10"/>
      <c r="BW53" s="10"/>
      <c r="BX53" s="10"/>
      <c r="BY53" s="10"/>
      <c r="BZ53" s="10"/>
      <c r="CA53" s="156" t="s">
        <v>658</v>
      </c>
    </row>
    <row r="54" spans="1:79" hidden="1" x14ac:dyDescent="0.35">
      <c r="A54" s="156" t="s">
        <v>657</v>
      </c>
      <c r="B54" s="22">
        <v>45473</v>
      </c>
      <c r="C54">
        <v>2024</v>
      </c>
      <c r="D54" s="156" t="s">
        <v>214</v>
      </c>
      <c r="E54" s="156" t="s">
        <v>213</v>
      </c>
      <c r="F54" s="10"/>
      <c r="G54" s="10">
        <v>21176000</v>
      </c>
      <c r="H54" s="157">
        <v>1.26</v>
      </c>
      <c r="I54" s="10"/>
      <c r="J54" s="10">
        <v>841000</v>
      </c>
      <c r="K54" s="10">
        <v>841000</v>
      </c>
      <c r="L54" s="10">
        <v>24742500</v>
      </c>
      <c r="M54" s="10">
        <v>1.0900000000000001</v>
      </c>
      <c r="N54" s="10">
        <v>26828000</v>
      </c>
      <c r="O54" s="10"/>
      <c r="P54" s="10"/>
      <c r="Q54" s="10"/>
      <c r="R54" s="10"/>
      <c r="S54" s="10"/>
      <c r="T54" s="10">
        <v>146943000</v>
      </c>
      <c r="U54" s="10"/>
      <c r="V54" s="10">
        <v>166844000</v>
      </c>
      <c r="W54" s="10"/>
      <c r="X54" s="10">
        <v>361675000</v>
      </c>
      <c r="Y54" s="10"/>
      <c r="Z54" s="10"/>
      <c r="AA54" s="10">
        <v>26828000</v>
      </c>
      <c r="AB54" s="10">
        <v>26828000</v>
      </c>
      <c r="AC54" s="10">
        <v>26828000</v>
      </c>
      <c r="AD54" s="10">
        <v>26828000</v>
      </c>
      <c r="AE54" s="10">
        <v>26828000</v>
      </c>
      <c r="AF54" s="10">
        <v>26828000</v>
      </c>
      <c r="AG54" s="10">
        <v>194831000</v>
      </c>
      <c r="AH54" s="10"/>
      <c r="AI54" s="10"/>
      <c r="AJ54" s="10">
        <v>26828000</v>
      </c>
      <c r="AK54" s="10"/>
      <c r="AL54" s="10"/>
      <c r="AM54" s="10">
        <v>204836000</v>
      </c>
      <c r="AN54" s="10">
        <v>53834000</v>
      </c>
      <c r="AO54" s="10"/>
      <c r="AP54" s="10"/>
      <c r="AQ54" s="10"/>
      <c r="AR54" s="10"/>
      <c r="AS54" s="10">
        <v>37291000</v>
      </c>
      <c r="AT54" s="10"/>
      <c r="AU54" s="10">
        <v>841000</v>
      </c>
      <c r="AV54" s="10"/>
      <c r="AW54" s="10">
        <v>20783000</v>
      </c>
      <c r="AX54" s="10">
        <v>167726000</v>
      </c>
      <c r="AY54" s="10"/>
      <c r="AZ54" s="10">
        <v>0</v>
      </c>
      <c r="BA54" s="10">
        <v>10463000</v>
      </c>
      <c r="BB54" s="10">
        <v>0.28057700000000002</v>
      </c>
      <c r="BC54" s="41"/>
      <c r="BD54" s="10"/>
      <c r="BE54" s="10"/>
      <c r="BF54" s="10">
        <v>204836000</v>
      </c>
      <c r="BG54" s="10"/>
      <c r="BH54" s="10"/>
      <c r="BI54" s="10"/>
      <c r="BJ54" s="10"/>
      <c r="BK54" s="41"/>
      <c r="BL54" s="10"/>
      <c r="BM54" s="10"/>
      <c r="BN54" s="41"/>
      <c r="BO54" s="10"/>
      <c r="BP54" s="41">
        <v>2024</v>
      </c>
      <c r="BQ54" s="10"/>
      <c r="BR54" s="10"/>
      <c r="BS54" s="10"/>
      <c r="BT54" s="10"/>
      <c r="BU54" s="10"/>
      <c r="BV54" s="10"/>
      <c r="BW54" s="10"/>
      <c r="BX54" s="10">
        <v>93109000</v>
      </c>
      <c r="BY54" s="10"/>
      <c r="BZ54" s="10"/>
      <c r="CA54" s="156" t="s">
        <v>658</v>
      </c>
    </row>
    <row r="55" spans="1:79" hidden="1" x14ac:dyDescent="0.35">
      <c r="A55" s="156" t="s">
        <v>659</v>
      </c>
      <c r="B55" s="22">
        <v>43830</v>
      </c>
      <c r="C55">
        <v>2019</v>
      </c>
      <c r="D55" s="156" t="s">
        <v>212</v>
      </c>
      <c r="E55" s="156" t="s">
        <v>213</v>
      </c>
      <c r="F55" s="10"/>
      <c r="G55" s="10"/>
      <c r="H55" s="157"/>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41"/>
      <c r="BD55" s="10"/>
      <c r="BE55" s="10"/>
      <c r="BF55" s="10"/>
      <c r="BG55" s="10"/>
      <c r="BH55" s="10"/>
      <c r="BI55" s="10"/>
      <c r="BJ55" s="10"/>
      <c r="BK55" s="41">
        <v>8353000</v>
      </c>
      <c r="BL55" s="10"/>
      <c r="BM55" s="10"/>
      <c r="BN55" s="41"/>
      <c r="BO55" s="10"/>
      <c r="BP55" s="41">
        <v>2019</v>
      </c>
      <c r="BQ55" s="10"/>
      <c r="BR55" s="10"/>
      <c r="BS55" s="10"/>
      <c r="BT55" s="10"/>
      <c r="BU55" s="10"/>
      <c r="BV55" s="10"/>
      <c r="BW55" s="10"/>
      <c r="BX55" s="10"/>
      <c r="BY55" s="10"/>
      <c r="BZ55" s="10"/>
      <c r="CA55" s="156" t="s">
        <v>660</v>
      </c>
    </row>
    <row r="56" spans="1:79" hidden="1" x14ac:dyDescent="0.35">
      <c r="A56" s="156" t="s">
        <v>659</v>
      </c>
      <c r="B56" s="22">
        <v>43830</v>
      </c>
      <c r="C56">
        <v>2019</v>
      </c>
      <c r="D56" s="156" t="s">
        <v>214</v>
      </c>
      <c r="E56" s="156" t="s">
        <v>213</v>
      </c>
      <c r="F56" s="10"/>
      <c r="G56" s="10">
        <v>21516620</v>
      </c>
      <c r="H56" s="157">
        <v>0.1</v>
      </c>
      <c r="I56" s="10"/>
      <c r="J56" s="10"/>
      <c r="K56" s="10"/>
      <c r="L56" s="10">
        <v>21531594</v>
      </c>
      <c r="M56" s="10">
        <v>0.1</v>
      </c>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41"/>
      <c r="BD56" s="10"/>
      <c r="BE56" s="10"/>
      <c r="BF56" s="10"/>
      <c r="BG56" s="10"/>
      <c r="BH56" s="10"/>
      <c r="BI56" s="10"/>
      <c r="BJ56" s="10"/>
      <c r="BK56" s="41">
        <v>8353000</v>
      </c>
      <c r="BL56" s="10"/>
      <c r="BM56" s="10"/>
      <c r="BN56" s="41"/>
      <c r="BO56" s="10"/>
      <c r="BP56" s="41">
        <v>2019</v>
      </c>
      <c r="BQ56" s="10"/>
      <c r="BR56" s="10"/>
      <c r="BS56" s="10"/>
      <c r="BT56" s="10"/>
      <c r="BU56" s="10"/>
      <c r="BV56" s="10"/>
      <c r="BW56" s="10"/>
      <c r="BX56" s="10"/>
      <c r="BY56" s="10"/>
      <c r="BZ56" s="10"/>
      <c r="CA56" s="156" t="s">
        <v>660</v>
      </c>
    </row>
    <row r="57" spans="1:79" hidden="1" x14ac:dyDescent="0.35">
      <c r="A57" s="156" t="s">
        <v>659</v>
      </c>
      <c r="B57" s="22">
        <v>44196</v>
      </c>
      <c r="C57">
        <v>2020</v>
      </c>
      <c r="D57" s="156" t="s">
        <v>212</v>
      </c>
      <c r="E57" s="156" t="s">
        <v>213</v>
      </c>
      <c r="F57" s="10"/>
      <c r="G57" s="10">
        <v>22518636</v>
      </c>
      <c r="H57" s="157">
        <v>0.05</v>
      </c>
      <c r="I57" s="10">
        <v>9539000</v>
      </c>
      <c r="J57" s="10">
        <v>9031000</v>
      </c>
      <c r="K57" s="10">
        <v>9031000</v>
      </c>
      <c r="L57" s="10">
        <v>22574093</v>
      </c>
      <c r="M57" s="10">
        <v>0.05</v>
      </c>
      <c r="N57" s="10">
        <v>1105000</v>
      </c>
      <c r="O57" s="10">
        <v>7253000</v>
      </c>
      <c r="P57" s="10">
        <v>16284000</v>
      </c>
      <c r="Q57" s="10"/>
      <c r="R57" s="10"/>
      <c r="S57" s="10"/>
      <c r="T57" s="10">
        <v>12722000</v>
      </c>
      <c r="U57" s="10">
        <v>29088000</v>
      </c>
      <c r="V57" s="10">
        <v>5377000</v>
      </c>
      <c r="W57" s="10">
        <v>5377000</v>
      </c>
      <c r="X57" s="10">
        <v>93000</v>
      </c>
      <c r="Y57" s="10">
        <v>93000</v>
      </c>
      <c r="Z57" s="10"/>
      <c r="AA57" s="10">
        <v>1105000</v>
      </c>
      <c r="AB57" s="10">
        <v>1105000</v>
      </c>
      <c r="AC57" s="10">
        <v>1105000</v>
      </c>
      <c r="AD57" s="10">
        <v>1105000</v>
      </c>
      <c r="AE57" s="10">
        <v>1105000</v>
      </c>
      <c r="AF57" s="10">
        <v>1105000</v>
      </c>
      <c r="AG57" s="10">
        <v>-5284000</v>
      </c>
      <c r="AH57" s="10">
        <v>-5284000</v>
      </c>
      <c r="AI57" s="10">
        <v>16284000</v>
      </c>
      <c r="AJ57" s="10">
        <v>1105000</v>
      </c>
      <c r="AK57" s="10">
        <v>21753000</v>
      </c>
      <c r="AL57" s="10">
        <v>7335000</v>
      </c>
      <c r="AM57" s="10">
        <v>38627000</v>
      </c>
      <c r="AN57" s="10">
        <v>12722000</v>
      </c>
      <c r="AO57" s="10">
        <v>-175000</v>
      </c>
      <c r="AP57" s="10">
        <v>-175000</v>
      </c>
      <c r="AQ57" s="10"/>
      <c r="AR57" s="10"/>
      <c r="AS57" s="10">
        <v>1876000</v>
      </c>
      <c r="AT57" s="10">
        <v>9539000</v>
      </c>
      <c r="AU57" s="10">
        <v>9031000</v>
      </c>
      <c r="AV57" s="10"/>
      <c r="AW57" s="10"/>
      <c r="AX57" s="10">
        <v>12722000</v>
      </c>
      <c r="AY57" s="10"/>
      <c r="AZ57" s="10">
        <v>0</v>
      </c>
      <c r="BA57" s="10">
        <v>771000</v>
      </c>
      <c r="BB57" s="10">
        <v>0.27</v>
      </c>
      <c r="BC57" s="41"/>
      <c r="BD57" s="10">
        <v>31292000</v>
      </c>
      <c r="BE57" s="10">
        <v>7335000</v>
      </c>
      <c r="BF57" s="10">
        <v>38627000</v>
      </c>
      <c r="BG57" s="10"/>
      <c r="BH57" s="10"/>
      <c r="BI57" s="10"/>
      <c r="BJ57" s="10"/>
      <c r="BK57" s="41"/>
      <c r="BL57" s="10"/>
      <c r="BM57" s="10"/>
      <c r="BN57" s="41"/>
      <c r="BO57" s="10"/>
      <c r="BP57" s="41">
        <v>2020</v>
      </c>
      <c r="BQ57" s="10"/>
      <c r="BR57" s="10"/>
      <c r="BS57" s="10"/>
      <c r="BT57" s="10"/>
      <c r="BU57" s="10"/>
      <c r="BV57" s="10"/>
      <c r="BW57" s="10"/>
      <c r="BX57" s="10"/>
      <c r="BY57" s="10"/>
      <c r="BZ57" s="10"/>
      <c r="CA57" s="156" t="s">
        <v>660</v>
      </c>
    </row>
    <row r="58" spans="1:79" hidden="1" x14ac:dyDescent="0.35">
      <c r="A58" s="156" t="s">
        <v>659</v>
      </c>
      <c r="B58" s="22">
        <v>44561</v>
      </c>
      <c r="C58">
        <v>2021</v>
      </c>
      <c r="D58" s="156" t="s">
        <v>212</v>
      </c>
      <c r="E58" s="156" t="s">
        <v>213</v>
      </c>
      <c r="F58" s="10"/>
      <c r="G58" s="10">
        <v>22619469</v>
      </c>
      <c r="H58" s="157">
        <v>0.16</v>
      </c>
      <c r="I58" s="10">
        <v>10299000</v>
      </c>
      <c r="J58" s="10">
        <v>9490000</v>
      </c>
      <c r="K58" s="10">
        <v>9490000</v>
      </c>
      <c r="L58" s="10">
        <v>22902970</v>
      </c>
      <c r="M58" s="10">
        <v>0.16</v>
      </c>
      <c r="N58" s="10">
        <v>3609000</v>
      </c>
      <c r="O58" s="10">
        <v>9960000</v>
      </c>
      <c r="P58" s="10">
        <v>19450000</v>
      </c>
      <c r="Q58" s="10"/>
      <c r="R58" s="10"/>
      <c r="S58" s="10"/>
      <c r="T58" s="10">
        <v>15146000</v>
      </c>
      <c r="U58" s="10">
        <v>31615000</v>
      </c>
      <c r="V58" s="10">
        <v>5201000</v>
      </c>
      <c r="W58" s="10">
        <v>5201000</v>
      </c>
      <c r="X58" s="10">
        <v>19000</v>
      </c>
      <c r="Y58" s="10">
        <v>19000</v>
      </c>
      <c r="Z58" s="10"/>
      <c r="AA58" s="10">
        <v>3609000</v>
      </c>
      <c r="AB58" s="10">
        <v>3609000</v>
      </c>
      <c r="AC58" s="10">
        <v>3609000</v>
      </c>
      <c r="AD58" s="10">
        <v>3609000</v>
      </c>
      <c r="AE58" s="10">
        <v>3609000</v>
      </c>
      <c r="AF58" s="10">
        <v>3609000</v>
      </c>
      <c r="AG58" s="10">
        <v>-5182000</v>
      </c>
      <c r="AH58" s="10">
        <v>-5182000</v>
      </c>
      <c r="AI58" s="10">
        <v>19450000</v>
      </c>
      <c r="AJ58" s="10">
        <v>3609000</v>
      </c>
      <c r="AK58" s="10">
        <v>24636000</v>
      </c>
      <c r="AL58" s="10">
        <v>6979000</v>
      </c>
      <c r="AM58" s="10">
        <v>41914000</v>
      </c>
      <c r="AN58" s="10">
        <v>15146000</v>
      </c>
      <c r="AO58" s="10">
        <v>2962000</v>
      </c>
      <c r="AP58" s="10">
        <v>2962000</v>
      </c>
      <c r="AQ58" s="10"/>
      <c r="AR58" s="10"/>
      <c r="AS58" s="10">
        <v>4759000</v>
      </c>
      <c r="AT58" s="10">
        <v>10299000</v>
      </c>
      <c r="AU58" s="10">
        <v>9490000</v>
      </c>
      <c r="AV58" s="10"/>
      <c r="AW58" s="10"/>
      <c r="AX58" s="10">
        <v>15146000</v>
      </c>
      <c r="AY58" s="10"/>
      <c r="AZ58" s="10">
        <v>0</v>
      </c>
      <c r="BA58" s="10">
        <v>1150000</v>
      </c>
      <c r="BB58" s="10">
        <v>0.24199999999999999</v>
      </c>
      <c r="BC58" s="41"/>
      <c r="BD58" s="10">
        <v>34935000</v>
      </c>
      <c r="BE58" s="10">
        <v>6979000</v>
      </c>
      <c r="BF58" s="10">
        <v>41914000</v>
      </c>
      <c r="BG58" s="10"/>
      <c r="BH58" s="10"/>
      <c r="BI58" s="10"/>
      <c r="BJ58" s="10"/>
      <c r="BK58" s="41"/>
      <c r="BL58" s="10"/>
      <c r="BM58" s="10"/>
      <c r="BN58" s="41"/>
      <c r="BO58" s="10"/>
      <c r="BP58" s="41">
        <v>2021</v>
      </c>
      <c r="BQ58" s="10"/>
      <c r="BR58" s="10"/>
      <c r="BS58" s="10"/>
      <c r="BT58" s="10"/>
      <c r="BU58" s="10"/>
      <c r="BV58" s="10"/>
      <c r="BW58" s="10"/>
      <c r="BX58" s="10"/>
      <c r="BY58" s="10"/>
      <c r="BZ58" s="10"/>
      <c r="CA58" s="156" t="s">
        <v>660</v>
      </c>
    </row>
    <row r="59" spans="1:79" hidden="1" x14ac:dyDescent="0.35">
      <c r="A59" s="156" t="s">
        <v>659</v>
      </c>
      <c r="B59" s="22">
        <v>44926</v>
      </c>
      <c r="C59">
        <v>2022</v>
      </c>
      <c r="D59" s="156" t="s">
        <v>212</v>
      </c>
      <c r="E59" s="156" t="s">
        <v>213</v>
      </c>
      <c r="F59" s="10"/>
      <c r="G59" s="10">
        <v>23172733</v>
      </c>
      <c r="H59" s="157">
        <v>0.24</v>
      </c>
      <c r="I59" s="10">
        <v>10889000</v>
      </c>
      <c r="J59" s="10">
        <v>9890000</v>
      </c>
      <c r="K59" s="10">
        <v>9890000</v>
      </c>
      <c r="L59" s="10">
        <v>23332356</v>
      </c>
      <c r="M59" s="10">
        <v>0.24</v>
      </c>
      <c r="N59" s="10">
        <v>5506000</v>
      </c>
      <c r="O59" s="10">
        <v>11199000</v>
      </c>
      <c r="P59" s="10">
        <v>21270000</v>
      </c>
      <c r="Q59" s="10"/>
      <c r="R59" s="10"/>
      <c r="S59" s="10"/>
      <c r="T59" s="10">
        <v>16130000</v>
      </c>
      <c r="U59" s="10">
        <v>33839000</v>
      </c>
      <c r="V59" s="10">
        <v>4759000</v>
      </c>
      <c r="W59" s="10">
        <v>4759000</v>
      </c>
      <c r="X59" s="10">
        <v>65000</v>
      </c>
      <c r="Y59" s="10">
        <v>65000</v>
      </c>
      <c r="Z59" s="10"/>
      <c r="AA59" s="10">
        <v>5506000</v>
      </c>
      <c r="AB59" s="10">
        <v>5506000</v>
      </c>
      <c r="AC59" s="10">
        <v>5506000</v>
      </c>
      <c r="AD59" s="10">
        <v>5506000</v>
      </c>
      <c r="AE59" s="10">
        <v>5506000</v>
      </c>
      <c r="AF59" s="10">
        <v>5506000</v>
      </c>
      <c r="AG59" s="10">
        <v>-4694000</v>
      </c>
      <c r="AH59" s="10">
        <v>-4694000</v>
      </c>
      <c r="AI59" s="10">
        <v>20547000</v>
      </c>
      <c r="AJ59" s="10">
        <v>4886389</v>
      </c>
      <c r="AK59" s="10">
        <v>26020000</v>
      </c>
      <c r="AL59" s="10">
        <v>7819000</v>
      </c>
      <c r="AM59" s="10">
        <v>44728000</v>
      </c>
      <c r="AN59" s="10">
        <v>16130000</v>
      </c>
      <c r="AO59" s="10">
        <v>3315000</v>
      </c>
      <c r="AP59" s="10">
        <v>2592000</v>
      </c>
      <c r="AQ59" s="10"/>
      <c r="AR59" s="10"/>
      <c r="AS59" s="10">
        <v>6440000</v>
      </c>
      <c r="AT59" s="10">
        <v>10708000</v>
      </c>
      <c r="AU59" s="10">
        <v>10071000</v>
      </c>
      <c r="AV59" s="10"/>
      <c r="AW59" s="10"/>
      <c r="AX59" s="10">
        <v>16130000</v>
      </c>
      <c r="AY59" s="10">
        <v>723000</v>
      </c>
      <c r="AZ59" s="10">
        <v>103389</v>
      </c>
      <c r="BA59" s="10">
        <v>934000</v>
      </c>
      <c r="BB59" s="10">
        <v>0.14299999999999999</v>
      </c>
      <c r="BC59" s="41"/>
      <c r="BD59" s="10">
        <v>36909000</v>
      </c>
      <c r="BE59" s="10">
        <v>7819000</v>
      </c>
      <c r="BF59" s="10">
        <v>44728000</v>
      </c>
      <c r="BG59" s="10">
        <v>723000</v>
      </c>
      <c r="BH59" s="10">
        <v>723000</v>
      </c>
      <c r="BI59" s="10"/>
      <c r="BJ59" s="10"/>
      <c r="BK59" s="41"/>
      <c r="BL59" s="10"/>
      <c r="BM59" s="10"/>
      <c r="BN59" s="41"/>
      <c r="BO59" s="10"/>
      <c r="BP59" s="41">
        <v>2022</v>
      </c>
      <c r="BQ59" s="10"/>
      <c r="BR59" s="10"/>
      <c r="BS59" s="10">
        <v>-723000</v>
      </c>
      <c r="BT59" s="10"/>
      <c r="BU59" s="10"/>
      <c r="BV59" s="10"/>
      <c r="BW59" s="10"/>
      <c r="BX59" s="10"/>
      <c r="BY59" s="10"/>
      <c r="BZ59" s="10"/>
      <c r="CA59" s="156" t="s">
        <v>660</v>
      </c>
    </row>
    <row r="60" spans="1:79" hidden="1" x14ac:dyDescent="0.35">
      <c r="A60" s="156" t="s">
        <v>659</v>
      </c>
      <c r="B60" s="22">
        <v>45199</v>
      </c>
      <c r="C60">
        <v>2023</v>
      </c>
      <c r="D60" s="156" t="s">
        <v>214</v>
      </c>
      <c r="E60" s="156" t="s">
        <v>213</v>
      </c>
      <c r="F60" s="10"/>
      <c r="G60" s="10">
        <v>24004654</v>
      </c>
      <c r="H60" s="157">
        <v>0.32</v>
      </c>
      <c r="I60" s="10"/>
      <c r="J60" s="10"/>
      <c r="K60" s="10"/>
      <c r="L60" s="10">
        <v>24106733</v>
      </c>
      <c r="M60" s="10">
        <v>0.32</v>
      </c>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1"/>
      <c r="BD60" s="10"/>
      <c r="BE60" s="10"/>
      <c r="BF60" s="10"/>
      <c r="BG60" s="10"/>
      <c r="BH60" s="10"/>
      <c r="BI60" s="10"/>
      <c r="BJ60" s="10"/>
      <c r="BK60" s="41"/>
      <c r="BL60" s="10"/>
      <c r="BM60" s="10"/>
      <c r="BN60" s="41"/>
      <c r="BO60" s="10"/>
      <c r="BP60" s="41">
        <v>2023</v>
      </c>
      <c r="BQ60" s="10"/>
      <c r="BR60" s="10"/>
      <c r="BS60" s="10"/>
      <c r="BT60" s="10"/>
      <c r="BU60" s="10"/>
      <c r="BV60" s="10"/>
      <c r="BW60" s="10"/>
      <c r="BX60" s="10"/>
      <c r="BY60" s="10"/>
      <c r="BZ60" s="10"/>
      <c r="CA60" s="156" t="s">
        <v>660</v>
      </c>
    </row>
    <row r="61" spans="1:79" hidden="1" x14ac:dyDescent="0.35">
      <c r="A61" s="156" t="s">
        <v>659</v>
      </c>
      <c r="B61" s="22">
        <v>45291</v>
      </c>
      <c r="C61">
        <v>2023</v>
      </c>
      <c r="D61" s="156" t="s">
        <v>212</v>
      </c>
      <c r="E61" s="156" t="s">
        <v>213</v>
      </c>
      <c r="F61" s="10"/>
      <c r="G61" s="10">
        <v>24044950</v>
      </c>
      <c r="H61" s="157">
        <v>0.33</v>
      </c>
      <c r="I61" s="10">
        <v>12669000</v>
      </c>
      <c r="J61" s="10">
        <v>11437000</v>
      </c>
      <c r="K61" s="10">
        <v>11437000</v>
      </c>
      <c r="L61" s="10">
        <v>24129542</v>
      </c>
      <c r="M61" s="10">
        <v>0.33</v>
      </c>
      <c r="N61" s="10">
        <v>7982000</v>
      </c>
      <c r="O61" s="10">
        <v>15736000</v>
      </c>
      <c r="P61" s="10">
        <v>27497000</v>
      </c>
      <c r="Q61" s="10"/>
      <c r="R61" s="10"/>
      <c r="S61" s="10"/>
      <c r="T61" s="10">
        <v>16636000</v>
      </c>
      <c r="U61" s="10">
        <v>40359000</v>
      </c>
      <c r="V61" s="10">
        <v>4882000</v>
      </c>
      <c r="W61" s="10">
        <v>4882000</v>
      </c>
      <c r="X61" s="10">
        <v>52000</v>
      </c>
      <c r="Y61" s="10">
        <v>52000</v>
      </c>
      <c r="Z61" s="10"/>
      <c r="AA61" s="10">
        <v>7982000</v>
      </c>
      <c r="AB61" s="10">
        <v>7982000</v>
      </c>
      <c r="AC61" s="10">
        <v>7982000</v>
      </c>
      <c r="AD61" s="10">
        <v>7982000</v>
      </c>
      <c r="AE61" s="10">
        <v>7982000</v>
      </c>
      <c r="AF61" s="10">
        <v>7982000</v>
      </c>
      <c r="AG61" s="10">
        <v>-4830000</v>
      </c>
      <c r="AH61" s="10">
        <v>-4830000</v>
      </c>
      <c r="AI61" s="10">
        <v>26516000</v>
      </c>
      <c r="AJ61" s="10">
        <v>7260965</v>
      </c>
      <c r="AK61" s="10">
        <v>28073000</v>
      </c>
      <c r="AL61" s="10">
        <v>12286000</v>
      </c>
      <c r="AM61" s="10">
        <v>53028000</v>
      </c>
      <c r="AN61" s="10">
        <v>16636000</v>
      </c>
      <c r="AO61" s="10">
        <v>3398000</v>
      </c>
      <c r="AP61" s="10">
        <v>2417000</v>
      </c>
      <c r="AQ61" s="10"/>
      <c r="AR61" s="10"/>
      <c r="AS61" s="10">
        <v>10854000</v>
      </c>
      <c r="AT61" s="10">
        <v>12345000</v>
      </c>
      <c r="AU61" s="10">
        <v>11761000</v>
      </c>
      <c r="AV61" s="10"/>
      <c r="AW61" s="10"/>
      <c r="AX61" s="10">
        <v>16636000</v>
      </c>
      <c r="AY61" s="10">
        <v>981000</v>
      </c>
      <c r="AZ61" s="10">
        <v>259965</v>
      </c>
      <c r="BA61" s="10">
        <v>2872000</v>
      </c>
      <c r="BB61" s="10">
        <v>0.26500000000000001</v>
      </c>
      <c r="BC61" s="41"/>
      <c r="BD61" s="10">
        <v>40742000</v>
      </c>
      <c r="BE61" s="10">
        <v>12286000</v>
      </c>
      <c r="BF61" s="10">
        <v>53028000</v>
      </c>
      <c r="BG61" s="10">
        <v>981000</v>
      </c>
      <c r="BH61" s="10">
        <v>981000</v>
      </c>
      <c r="BI61" s="10"/>
      <c r="BJ61" s="10"/>
      <c r="BK61" s="41"/>
      <c r="BL61" s="10"/>
      <c r="BM61" s="10"/>
      <c r="BN61" s="41"/>
      <c r="BO61" s="10"/>
      <c r="BP61" s="41">
        <v>2023</v>
      </c>
      <c r="BQ61" s="10"/>
      <c r="BR61" s="10"/>
      <c r="BS61" s="10">
        <v>-981000</v>
      </c>
      <c r="BT61" s="10"/>
      <c r="BU61" s="10"/>
      <c r="BV61" s="10"/>
      <c r="BW61" s="10"/>
      <c r="BX61" s="10"/>
      <c r="BY61" s="10"/>
      <c r="BZ61" s="10"/>
      <c r="CA61" s="156" t="s">
        <v>660</v>
      </c>
    </row>
    <row r="62" spans="1:79" hidden="1" x14ac:dyDescent="0.35">
      <c r="A62" s="156" t="s">
        <v>659</v>
      </c>
      <c r="B62" s="22">
        <v>45291</v>
      </c>
      <c r="C62">
        <v>2023</v>
      </c>
      <c r="D62" s="156" t="s">
        <v>214</v>
      </c>
      <c r="E62" s="156" t="s">
        <v>213</v>
      </c>
      <c r="F62" s="10"/>
      <c r="G62" s="10">
        <v>24044950</v>
      </c>
      <c r="H62" s="157">
        <v>0.33</v>
      </c>
      <c r="I62" s="10"/>
      <c r="J62" s="10"/>
      <c r="K62" s="10"/>
      <c r="L62" s="10">
        <v>24129542</v>
      </c>
      <c r="M62" s="10">
        <v>0.33</v>
      </c>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41"/>
      <c r="BD62" s="10"/>
      <c r="BE62" s="10"/>
      <c r="BF62" s="10"/>
      <c r="BG62" s="10"/>
      <c r="BH62" s="10"/>
      <c r="BI62" s="10"/>
      <c r="BJ62" s="10"/>
      <c r="BK62" s="41"/>
      <c r="BL62" s="10"/>
      <c r="BM62" s="10"/>
      <c r="BN62" s="41"/>
      <c r="BO62" s="10"/>
      <c r="BP62" s="41">
        <v>2023</v>
      </c>
      <c r="BQ62" s="10"/>
      <c r="BR62" s="10"/>
      <c r="BS62" s="10"/>
      <c r="BT62" s="10"/>
      <c r="BU62" s="10"/>
      <c r="BV62" s="10"/>
      <c r="BW62" s="10"/>
      <c r="BX62" s="10"/>
      <c r="BY62" s="10"/>
      <c r="BZ62" s="10"/>
      <c r="CA62" s="156" t="s">
        <v>660</v>
      </c>
    </row>
    <row r="63" spans="1:79" hidden="1" x14ac:dyDescent="0.35">
      <c r="A63" s="156" t="s">
        <v>659</v>
      </c>
      <c r="B63" s="22">
        <v>45382</v>
      </c>
      <c r="C63">
        <v>2024</v>
      </c>
      <c r="D63" s="156" t="s">
        <v>214</v>
      </c>
      <c r="E63" s="156" t="s">
        <v>213</v>
      </c>
      <c r="F63" s="10"/>
      <c r="G63" s="10">
        <v>24121113</v>
      </c>
      <c r="H63" s="157">
        <v>0.26</v>
      </c>
      <c r="I63" s="10"/>
      <c r="J63" s="10"/>
      <c r="K63" s="10"/>
      <c r="L63" s="10">
        <v>24196654</v>
      </c>
      <c r="M63" s="10">
        <v>0.26</v>
      </c>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41"/>
      <c r="BD63" s="10"/>
      <c r="BE63" s="10"/>
      <c r="BF63" s="10"/>
      <c r="BG63" s="10"/>
      <c r="BH63" s="10"/>
      <c r="BI63" s="10"/>
      <c r="BJ63" s="10"/>
      <c r="BK63" s="41"/>
      <c r="BL63" s="10"/>
      <c r="BM63" s="10"/>
      <c r="BN63" s="41"/>
      <c r="BO63" s="10"/>
      <c r="BP63" s="41">
        <v>2024</v>
      </c>
      <c r="BQ63" s="10"/>
      <c r="BR63" s="10"/>
      <c r="BS63" s="10"/>
      <c r="BT63" s="10"/>
      <c r="BU63" s="10"/>
      <c r="BV63" s="10"/>
      <c r="BW63" s="10"/>
      <c r="BX63" s="10"/>
      <c r="BY63" s="10"/>
      <c r="BZ63" s="10"/>
      <c r="CA63" s="156" t="s">
        <v>660</v>
      </c>
    </row>
    <row r="64" spans="1:79" hidden="1" x14ac:dyDescent="0.35">
      <c r="A64" s="156" t="s">
        <v>659</v>
      </c>
      <c r="B64" s="22">
        <v>45473</v>
      </c>
      <c r="C64">
        <v>2024</v>
      </c>
      <c r="D64" s="156" t="s">
        <v>214</v>
      </c>
      <c r="E64" s="156" t="s">
        <v>213</v>
      </c>
      <c r="F64" s="10"/>
      <c r="G64" s="10">
        <v>24181310</v>
      </c>
      <c r="H64" s="157">
        <v>0.25</v>
      </c>
      <c r="I64" s="10">
        <v>13468000</v>
      </c>
      <c r="J64" s="10">
        <v>12007000</v>
      </c>
      <c r="K64" s="10">
        <v>12007000</v>
      </c>
      <c r="L64" s="10">
        <v>24265703</v>
      </c>
      <c r="M64" s="10">
        <v>0.25</v>
      </c>
      <c r="N64" s="10">
        <v>6198000</v>
      </c>
      <c r="O64" s="10">
        <v>13828000</v>
      </c>
      <c r="P64" s="10">
        <v>26181000</v>
      </c>
      <c r="Q64" s="10"/>
      <c r="R64" s="10"/>
      <c r="S64" s="10"/>
      <c r="T64" s="10">
        <v>16982000</v>
      </c>
      <c r="U64" s="10">
        <v>38552000</v>
      </c>
      <c r="V64" s="10">
        <v>5506000</v>
      </c>
      <c r="W64" s="10">
        <v>5506000</v>
      </c>
      <c r="X64" s="10">
        <v>549000</v>
      </c>
      <c r="Y64" s="10">
        <v>549000</v>
      </c>
      <c r="Z64" s="10"/>
      <c r="AA64" s="10">
        <v>6198000</v>
      </c>
      <c r="AB64" s="10">
        <v>6198000</v>
      </c>
      <c r="AC64" s="10">
        <v>6198000</v>
      </c>
      <c r="AD64" s="10">
        <v>6198000</v>
      </c>
      <c r="AE64" s="10">
        <v>6198000</v>
      </c>
      <c r="AF64" s="10">
        <v>6198000</v>
      </c>
      <c r="AG64" s="10">
        <v>-4957000</v>
      </c>
      <c r="AH64" s="10">
        <v>-4957000</v>
      </c>
      <c r="AI64" s="10">
        <v>25271000</v>
      </c>
      <c r="AJ64" s="10">
        <v>5520256.6690699998</v>
      </c>
      <c r="AK64" s="10">
        <v>28989000</v>
      </c>
      <c r="AL64" s="10">
        <v>9563000</v>
      </c>
      <c r="AM64" s="10">
        <v>52020000</v>
      </c>
      <c r="AN64" s="10">
        <v>16982000</v>
      </c>
      <c r="AO64" s="10">
        <v>3716000</v>
      </c>
      <c r="AP64" s="10">
        <v>2806000</v>
      </c>
      <c r="AQ64" s="10"/>
      <c r="AR64" s="10"/>
      <c r="AS64" s="10">
        <v>8322000</v>
      </c>
      <c r="AT64" s="10">
        <v>13122000</v>
      </c>
      <c r="AU64" s="10">
        <v>12353000</v>
      </c>
      <c r="AV64" s="10"/>
      <c r="AW64" s="10"/>
      <c r="AX64" s="10">
        <v>16982000</v>
      </c>
      <c r="AY64" s="10">
        <v>910000</v>
      </c>
      <c r="AZ64" s="10">
        <v>232256.66907</v>
      </c>
      <c r="BA64" s="10">
        <v>2124000</v>
      </c>
      <c r="BB64" s="10">
        <v>0.25522699999999998</v>
      </c>
      <c r="BC64" s="41"/>
      <c r="BD64" s="10">
        <v>42457000</v>
      </c>
      <c r="BE64" s="10">
        <v>9563000</v>
      </c>
      <c r="BF64" s="10">
        <v>52020000</v>
      </c>
      <c r="BG64" s="10">
        <v>910000</v>
      </c>
      <c r="BH64" s="10">
        <v>910000</v>
      </c>
      <c r="BI64" s="10"/>
      <c r="BJ64" s="10"/>
      <c r="BK64" s="41"/>
      <c r="BL64" s="10"/>
      <c r="BM64" s="10"/>
      <c r="BN64" s="41"/>
      <c r="BO64" s="10"/>
      <c r="BP64" s="41">
        <v>2024</v>
      </c>
      <c r="BQ64" s="10"/>
      <c r="BR64" s="10"/>
      <c r="BS64" s="10">
        <v>-910000</v>
      </c>
      <c r="BT64" s="10"/>
      <c r="BU64" s="10"/>
      <c r="BV64" s="10"/>
      <c r="BW64" s="10"/>
      <c r="BX64" s="10"/>
      <c r="BY64" s="10"/>
      <c r="BZ64" s="10"/>
      <c r="CA64" s="156" t="s">
        <v>660</v>
      </c>
    </row>
    <row r="65" spans="1:79" hidden="1" x14ac:dyDescent="0.35">
      <c r="A65" s="156" t="s">
        <v>661</v>
      </c>
      <c r="B65" s="22">
        <v>43830</v>
      </c>
      <c r="C65">
        <v>2019</v>
      </c>
      <c r="D65" s="156" t="s">
        <v>212</v>
      </c>
      <c r="E65" s="156" t="s">
        <v>213</v>
      </c>
      <c r="F65" s="10"/>
      <c r="G65" s="10"/>
      <c r="H65" s="157"/>
      <c r="I65" s="10"/>
      <c r="J65" s="10"/>
      <c r="K65" s="10"/>
      <c r="L65" s="10"/>
      <c r="M65" s="10"/>
      <c r="N65" s="10"/>
      <c r="O65" s="10"/>
      <c r="P65" s="10"/>
      <c r="Q65" s="10"/>
      <c r="R65" s="10"/>
      <c r="S65" s="10"/>
      <c r="T65" s="10"/>
      <c r="U65" s="10"/>
      <c r="V65" s="10">
        <v>6910000</v>
      </c>
      <c r="W65" s="10">
        <v>6910000</v>
      </c>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41"/>
      <c r="BD65" s="10"/>
      <c r="BE65" s="10"/>
      <c r="BF65" s="10"/>
      <c r="BG65" s="10"/>
      <c r="BH65" s="10"/>
      <c r="BI65" s="10"/>
      <c r="BJ65" s="10"/>
      <c r="BK65" s="41"/>
      <c r="BL65" s="10"/>
      <c r="BM65" s="10"/>
      <c r="BN65" s="41"/>
      <c r="BO65" s="10"/>
      <c r="BP65" s="41">
        <v>2019</v>
      </c>
      <c r="BQ65" s="10"/>
      <c r="BR65" s="10"/>
      <c r="BS65" s="10"/>
      <c r="BT65" s="10"/>
      <c r="BU65" s="10"/>
      <c r="BV65" s="10"/>
      <c r="BW65" s="10"/>
      <c r="BX65" s="10"/>
      <c r="BY65" s="10"/>
      <c r="BZ65" s="10"/>
      <c r="CA65" s="156" t="s">
        <v>662</v>
      </c>
    </row>
    <row r="66" spans="1:79" hidden="1" x14ac:dyDescent="0.35">
      <c r="A66" s="156" t="s">
        <v>661</v>
      </c>
      <c r="B66" s="22">
        <v>44196</v>
      </c>
      <c r="C66">
        <v>2020</v>
      </c>
      <c r="D66" s="156" t="s">
        <v>212</v>
      </c>
      <c r="E66" s="156" t="s">
        <v>213</v>
      </c>
      <c r="F66" s="10"/>
      <c r="G66" s="10">
        <v>102785817</v>
      </c>
      <c r="H66" s="157">
        <v>0.30397200000000002</v>
      </c>
      <c r="I66" s="10">
        <v>734493000</v>
      </c>
      <c r="J66" s="10">
        <v>1843000</v>
      </c>
      <c r="K66" s="10">
        <v>1843000</v>
      </c>
      <c r="L66" s="10">
        <v>102785817</v>
      </c>
      <c r="M66" s="10">
        <v>0.30397200000000002</v>
      </c>
      <c r="N66" s="10">
        <v>31244000</v>
      </c>
      <c r="O66" s="10">
        <v>25380000</v>
      </c>
      <c r="P66" s="10">
        <v>27223000</v>
      </c>
      <c r="Q66" s="10"/>
      <c r="R66" s="10"/>
      <c r="S66" s="10"/>
      <c r="T66" s="10">
        <v>44016000</v>
      </c>
      <c r="U66" s="10">
        <v>82582000</v>
      </c>
      <c r="V66" s="10">
        <v>1917000</v>
      </c>
      <c r="W66" s="10">
        <v>1917000</v>
      </c>
      <c r="X66" s="10"/>
      <c r="Y66" s="10"/>
      <c r="Z66" s="10">
        <v>340000</v>
      </c>
      <c r="AA66" s="10">
        <v>31244000</v>
      </c>
      <c r="AB66" s="10">
        <v>31244000</v>
      </c>
      <c r="AC66" s="10">
        <v>30904000</v>
      </c>
      <c r="AD66" s="10">
        <v>31244000</v>
      </c>
      <c r="AE66" s="10">
        <v>31244000</v>
      </c>
      <c r="AF66" s="10">
        <v>30904000</v>
      </c>
      <c r="AG66" s="10">
        <v>-1917000</v>
      </c>
      <c r="AH66" s="10">
        <v>-1917000</v>
      </c>
      <c r="AI66" s="10">
        <v>27223000</v>
      </c>
      <c r="AJ66" s="10">
        <v>31244000</v>
      </c>
      <c r="AK66" s="10">
        <v>57202000</v>
      </c>
      <c r="AL66" s="10">
        <v>25380000</v>
      </c>
      <c r="AM66" s="10">
        <v>798772000</v>
      </c>
      <c r="AN66" s="10">
        <v>44016000</v>
      </c>
      <c r="AO66" s="10"/>
      <c r="AP66" s="10"/>
      <c r="AQ66" s="10"/>
      <c r="AR66" s="10"/>
      <c r="AS66" s="10">
        <v>23463000</v>
      </c>
      <c r="AT66" s="10">
        <v>734506000</v>
      </c>
      <c r="AU66" s="10">
        <v>1830000</v>
      </c>
      <c r="AV66" s="10"/>
      <c r="AW66" s="10">
        <v>11343000</v>
      </c>
      <c r="AX66" s="10">
        <v>55359000</v>
      </c>
      <c r="AY66" s="10"/>
      <c r="AZ66" s="10">
        <v>0</v>
      </c>
      <c r="BA66" s="10">
        <v>-7441000</v>
      </c>
      <c r="BB66" s="10">
        <v>0.27</v>
      </c>
      <c r="BC66" s="41"/>
      <c r="BD66" s="10">
        <v>791695000</v>
      </c>
      <c r="BE66" s="10">
        <v>25380000</v>
      </c>
      <c r="BF66" s="10">
        <v>817075000</v>
      </c>
      <c r="BG66" s="10"/>
      <c r="BH66" s="10"/>
      <c r="BI66" s="10"/>
      <c r="BJ66" s="10"/>
      <c r="BK66" s="41"/>
      <c r="BL66" s="10"/>
      <c r="BM66" s="10"/>
      <c r="BN66" s="41"/>
      <c r="BO66" s="10"/>
      <c r="BP66" s="41">
        <v>2020</v>
      </c>
      <c r="BQ66" s="10"/>
      <c r="BR66" s="10"/>
      <c r="BS66" s="10"/>
      <c r="BT66" s="10"/>
      <c r="BU66" s="10"/>
      <c r="BV66" s="10"/>
      <c r="BW66" s="10"/>
      <c r="BX66" s="10"/>
      <c r="BY66" s="10"/>
      <c r="BZ66" s="10"/>
      <c r="CA66" s="156" t="s">
        <v>662</v>
      </c>
    </row>
    <row r="67" spans="1:79" hidden="1" x14ac:dyDescent="0.35">
      <c r="A67" s="156" t="s">
        <v>661</v>
      </c>
      <c r="B67" s="22">
        <v>44561</v>
      </c>
      <c r="C67">
        <v>2021</v>
      </c>
      <c r="D67" s="156" t="s">
        <v>212</v>
      </c>
      <c r="E67" s="156" t="s">
        <v>213</v>
      </c>
      <c r="F67" s="10"/>
      <c r="G67" s="10">
        <v>102952370</v>
      </c>
      <c r="H67" s="157">
        <v>-1.83</v>
      </c>
      <c r="I67" s="10">
        <v>902558000</v>
      </c>
      <c r="J67" s="10">
        <v>2464000</v>
      </c>
      <c r="K67" s="10">
        <v>2464000</v>
      </c>
      <c r="L67" s="10">
        <v>102952370</v>
      </c>
      <c r="M67" s="10">
        <v>-1.83</v>
      </c>
      <c r="N67" s="10">
        <v>-188230000</v>
      </c>
      <c r="O67" s="10">
        <v>-217436000</v>
      </c>
      <c r="P67" s="10">
        <v>-214972000</v>
      </c>
      <c r="Q67" s="10"/>
      <c r="R67" s="10"/>
      <c r="S67" s="10"/>
      <c r="T67" s="10">
        <v>255884000</v>
      </c>
      <c r="U67" s="10">
        <v>63662000</v>
      </c>
      <c r="V67" s="10">
        <v>1070000</v>
      </c>
      <c r="W67" s="10">
        <v>1070000</v>
      </c>
      <c r="X67" s="10"/>
      <c r="Y67" s="10"/>
      <c r="Z67" s="10">
        <v>2419000</v>
      </c>
      <c r="AA67" s="10">
        <v>-188230000</v>
      </c>
      <c r="AB67" s="10">
        <v>-188230000</v>
      </c>
      <c r="AC67" s="10">
        <v>-190649000</v>
      </c>
      <c r="AD67" s="10">
        <v>-188230000</v>
      </c>
      <c r="AE67" s="10">
        <v>-188230000</v>
      </c>
      <c r="AF67" s="10">
        <v>-190649000</v>
      </c>
      <c r="AG67" s="10">
        <v>-1070000</v>
      </c>
      <c r="AH67" s="10">
        <v>-1070000</v>
      </c>
      <c r="AI67" s="10">
        <v>-214972000</v>
      </c>
      <c r="AJ67" s="10">
        <v>-188230000</v>
      </c>
      <c r="AK67" s="10">
        <v>281098000</v>
      </c>
      <c r="AL67" s="10">
        <v>-217436000</v>
      </c>
      <c r="AM67" s="10">
        <v>960806000</v>
      </c>
      <c r="AN67" s="10">
        <v>255884000</v>
      </c>
      <c r="AO67" s="10"/>
      <c r="AP67" s="10"/>
      <c r="AQ67" s="10"/>
      <c r="AR67" s="10"/>
      <c r="AS67" s="10">
        <v>-218506000</v>
      </c>
      <c r="AT67" s="10">
        <v>902558000</v>
      </c>
      <c r="AU67" s="10">
        <v>2464000</v>
      </c>
      <c r="AV67" s="10"/>
      <c r="AW67" s="10">
        <v>22750000</v>
      </c>
      <c r="AX67" s="10">
        <v>278634000</v>
      </c>
      <c r="AY67" s="10"/>
      <c r="AZ67" s="10">
        <v>0</v>
      </c>
      <c r="BA67" s="10">
        <v>-27857000</v>
      </c>
      <c r="BB67" s="10">
        <v>0.128</v>
      </c>
      <c r="BC67" s="41">
        <v>1070000</v>
      </c>
      <c r="BD67" s="10">
        <v>1183656000</v>
      </c>
      <c r="BE67" s="10">
        <v>-217436000</v>
      </c>
      <c r="BF67" s="10">
        <v>966220000</v>
      </c>
      <c r="BG67" s="10"/>
      <c r="BH67" s="10"/>
      <c r="BI67" s="10"/>
      <c r="BJ67" s="10"/>
      <c r="BK67" s="41"/>
      <c r="BL67" s="10"/>
      <c r="BM67" s="10"/>
      <c r="BN67" s="41"/>
      <c r="BO67" s="10"/>
      <c r="BP67" s="41">
        <v>2021</v>
      </c>
      <c r="BQ67" s="10"/>
      <c r="BR67" s="10"/>
      <c r="BS67" s="10"/>
      <c r="BT67" s="10"/>
      <c r="BU67" s="10"/>
      <c r="BV67" s="10"/>
      <c r="BW67" s="10"/>
      <c r="BX67" s="10"/>
      <c r="BY67" s="10"/>
      <c r="BZ67" s="10"/>
      <c r="CA67" s="156" t="s">
        <v>662</v>
      </c>
    </row>
    <row r="68" spans="1:79" hidden="1" x14ac:dyDescent="0.35">
      <c r="A68" s="156" t="s">
        <v>661</v>
      </c>
      <c r="B68" s="22">
        <v>44926</v>
      </c>
      <c r="C68">
        <v>2022</v>
      </c>
      <c r="D68" s="156" t="s">
        <v>212</v>
      </c>
      <c r="E68" s="156" t="s">
        <v>213</v>
      </c>
      <c r="F68" s="10"/>
      <c r="G68" s="10">
        <v>110695266</v>
      </c>
      <c r="H68" s="157">
        <v>-0.08</v>
      </c>
      <c r="I68" s="10">
        <v>1221878000</v>
      </c>
      <c r="J68" s="10">
        <v>4571000</v>
      </c>
      <c r="K68" s="10">
        <v>4571000</v>
      </c>
      <c r="L68" s="10">
        <v>110695266</v>
      </c>
      <c r="M68" s="10">
        <v>-0.08</v>
      </c>
      <c r="N68" s="10">
        <v>-8585000</v>
      </c>
      <c r="O68" s="10">
        <v>-19122000</v>
      </c>
      <c r="P68" s="10">
        <v>-14551000</v>
      </c>
      <c r="Q68" s="10"/>
      <c r="R68" s="10"/>
      <c r="S68" s="10"/>
      <c r="T68" s="10">
        <v>129592000</v>
      </c>
      <c r="U68" s="10">
        <v>134782000</v>
      </c>
      <c r="V68" s="10"/>
      <c r="W68" s="10"/>
      <c r="X68" s="10"/>
      <c r="Y68" s="10"/>
      <c r="Z68" s="10">
        <v>3479000</v>
      </c>
      <c r="AA68" s="10">
        <v>-8585000</v>
      </c>
      <c r="AB68" s="10">
        <v>-8585000</v>
      </c>
      <c r="AC68" s="10">
        <v>-12064000</v>
      </c>
      <c r="AD68" s="10">
        <v>-8585000</v>
      </c>
      <c r="AE68" s="10">
        <v>-8585000</v>
      </c>
      <c r="AF68" s="10">
        <v>-12064000</v>
      </c>
      <c r="AG68" s="10">
        <v>542000</v>
      </c>
      <c r="AH68" s="10">
        <v>542000</v>
      </c>
      <c r="AI68" s="10">
        <v>-14551000</v>
      </c>
      <c r="AJ68" s="10">
        <v>-8585000</v>
      </c>
      <c r="AK68" s="10">
        <v>153904000</v>
      </c>
      <c r="AL68" s="10">
        <v>-19122000</v>
      </c>
      <c r="AM68" s="10">
        <v>1350713000</v>
      </c>
      <c r="AN68" s="10">
        <v>129592000</v>
      </c>
      <c r="AO68" s="10"/>
      <c r="AP68" s="10"/>
      <c r="AQ68" s="10"/>
      <c r="AR68" s="10"/>
      <c r="AS68" s="10">
        <v>-18580000</v>
      </c>
      <c r="AT68" s="10">
        <v>1221878000</v>
      </c>
      <c r="AU68" s="10">
        <v>4571000</v>
      </c>
      <c r="AV68" s="10"/>
      <c r="AW68" s="10">
        <v>19741000</v>
      </c>
      <c r="AX68" s="10">
        <v>149333000</v>
      </c>
      <c r="AY68" s="10"/>
      <c r="AZ68" s="10">
        <v>0</v>
      </c>
      <c r="BA68" s="10">
        <v>-6516000</v>
      </c>
      <c r="BB68" s="10">
        <v>0.35099999999999998</v>
      </c>
      <c r="BC68" s="41">
        <v>-542000</v>
      </c>
      <c r="BD68" s="10">
        <v>1375782000</v>
      </c>
      <c r="BE68" s="10">
        <v>-19122000</v>
      </c>
      <c r="BF68" s="10">
        <v>1356660000</v>
      </c>
      <c r="BG68" s="10"/>
      <c r="BH68" s="10"/>
      <c r="BI68" s="10"/>
      <c r="BJ68" s="10"/>
      <c r="BK68" s="41"/>
      <c r="BL68" s="10"/>
      <c r="BM68" s="10"/>
      <c r="BN68" s="41"/>
      <c r="BO68" s="10"/>
      <c r="BP68" s="41">
        <v>2022</v>
      </c>
      <c r="BQ68" s="10"/>
      <c r="BR68" s="10"/>
      <c r="BS68" s="10"/>
      <c r="BT68" s="10"/>
      <c r="BU68" s="10"/>
      <c r="BV68" s="10"/>
      <c r="BW68" s="10"/>
      <c r="BX68" s="10"/>
      <c r="BY68" s="10"/>
      <c r="BZ68" s="10"/>
      <c r="CA68" s="156" t="s">
        <v>662</v>
      </c>
    </row>
    <row r="69" spans="1:79" hidden="1" x14ac:dyDescent="0.35">
      <c r="A69" s="156" t="s">
        <v>661</v>
      </c>
      <c r="B69" s="22">
        <v>44926</v>
      </c>
      <c r="C69">
        <v>2022</v>
      </c>
      <c r="D69" s="156" t="s">
        <v>214</v>
      </c>
      <c r="E69" s="156" t="s">
        <v>213</v>
      </c>
      <c r="F69" s="10"/>
      <c r="G69" s="10">
        <v>110695266</v>
      </c>
      <c r="H69" s="157">
        <v>-0.08</v>
      </c>
      <c r="I69" s="10"/>
      <c r="J69" s="10"/>
      <c r="K69" s="10"/>
      <c r="L69" s="10">
        <v>110695266</v>
      </c>
      <c r="M69" s="10">
        <v>-0.08</v>
      </c>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41"/>
      <c r="BD69" s="10"/>
      <c r="BE69" s="10"/>
      <c r="BF69" s="10"/>
      <c r="BG69" s="10"/>
      <c r="BH69" s="10"/>
      <c r="BI69" s="10"/>
      <c r="BJ69" s="10"/>
      <c r="BK69" s="41"/>
      <c r="BL69" s="10"/>
      <c r="BM69" s="10"/>
      <c r="BN69" s="41"/>
      <c r="BO69" s="10"/>
      <c r="BP69" s="41">
        <v>2022</v>
      </c>
      <c r="BQ69" s="10"/>
      <c r="BR69" s="10"/>
      <c r="BS69" s="10"/>
      <c r="BT69" s="10"/>
      <c r="BU69" s="10"/>
      <c r="BV69" s="10"/>
      <c r="BW69" s="10"/>
      <c r="BX69" s="10"/>
      <c r="BY69" s="10"/>
      <c r="BZ69" s="10"/>
      <c r="CA69" s="156" t="s">
        <v>662</v>
      </c>
    </row>
    <row r="70" spans="1:79" hidden="1" x14ac:dyDescent="0.35">
      <c r="A70" s="156" t="s">
        <v>661</v>
      </c>
      <c r="B70" s="22">
        <v>45199</v>
      </c>
      <c r="C70">
        <v>2023</v>
      </c>
      <c r="D70" s="156" t="s">
        <v>214</v>
      </c>
      <c r="E70" s="156" t="s">
        <v>213</v>
      </c>
      <c r="F70" s="10"/>
      <c r="G70" s="10">
        <v>115801328</v>
      </c>
      <c r="H70" s="157">
        <v>0.33</v>
      </c>
      <c r="I70" s="10"/>
      <c r="J70" s="10"/>
      <c r="K70" s="10"/>
      <c r="L70" s="10">
        <v>122086262</v>
      </c>
      <c r="M70" s="10">
        <v>0.32</v>
      </c>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41"/>
      <c r="BD70" s="10"/>
      <c r="BE70" s="10"/>
      <c r="BF70" s="10"/>
      <c r="BG70" s="10"/>
      <c r="BH70" s="10"/>
      <c r="BI70" s="10"/>
      <c r="BJ70" s="10"/>
      <c r="BK70" s="41"/>
      <c r="BL70" s="10"/>
      <c r="BM70" s="10"/>
      <c r="BN70" s="41"/>
      <c r="BO70" s="10"/>
      <c r="BP70" s="41">
        <v>2023</v>
      </c>
      <c r="BQ70" s="10"/>
      <c r="BR70" s="10"/>
      <c r="BS70" s="10"/>
      <c r="BT70" s="10"/>
      <c r="BU70" s="10"/>
      <c r="BV70" s="10"/>
      <c r="BW70" s="10"/>
      <c r="BX70" s="10"/>
      <c r="BY70" s="10"/>
      <c r="BZ70" s="10"/>
      <c r="CA70" s="156" t="s">
        <v>662</v>
      </c>
    </row>
    <row r="71" spans="1:79" hidden="1" x14ac:dyDescent="0.35">
      <c r="A71" s="156" t="s">
        <v>661</v>
      </c>
      <c r="B71" s="22">
        <v>45291</v>
      </c>
      <c r="C71">
        <v>2023</v>
      </c>
      <c r="D71" s="156" t="s">
        <v>212</v>
      </c>
      <c r="E71" s="156" t="s">
        <v>213</v>
      </c>
      <c r="F71" s="10"/>
      <c r="G71" s="10">
        <v>116731406</v>
      </c>
      <c r="H71" s="157">
        <v>0.2</v>
      </c>
      <c r="I71" s="10">
        <v>1496236000</v>
      </c>
      <c r="J71" s="10">
        <v>6533000</v>
      </c>
      <c r="K71" s="10">
        <v>6533000</v>
      </c>
      <c r="L71" s="10">
        <v>124686067</v>
      </c>
      <c r="M71" s="10">
        <v>0.19</v>
      </c>
      <c r="N71" s="10">
        <v>23079000</v>
      </c>
      <c r="O71" s="10">
        <v>20649000</v>
      </c>
      <c r="P71" s="10">
        <v>27182000</v>
      </c>
      <c r="Q71" s="10"/>
      <c r="R71" s="10"/>
      <c r="S71" s="10"/>
      <c r="T71" s="10">
        <v>109587000</v>
      </c>
      <c r="U71" s="10">
        <v>161501000</v>
      </c>
      <c r="V71" s="10"/>
      <c r="W71" s="10"/>
      <c r="X71" s="10"/>
      <c r="Y71" s="10"/>
      <c r="Z71" s="10">
        <v>2051000</v>
      </c>
      <c r="AA71" s="10">
        <v>23079000</v>
      </c>
      <c r="AB71" s="10">
        <v>23079000</v>
      </c>
      <c r="AC71" s="10">
        <v>21028000</v>
      </c>
      <c r="AD71" s="10">
        <v>23079000</v>
      </c>
      <c r="AE71" s="10">
        <v>23079000</v>
      </c>
      <c r="AF71" s="10">
        <v>21028000</v>
      </c>
      <c r="AG71" s="10">
        <v>8372000</v>
      </c>
      <c r="AH71" s="10">
        <v>8372000</v>
      </c>
      <c r="AI71" s="10">
        <v>27182000</v>
      </c>
      <c r="AJ71" s="10">
        <v>23079000</v>
      </c>
      <c r="AK71" s="10">
        <v>140852000</v>
      </c>
      <c r="AL71" s="10">
        <v>20649000</v>
      </c>
      <c r="AM71" s="10">
        <v>1649233000</v>
      </c>
      <c r="AN71" s="10">
        <v>109587000</v>
      </c>
      <c r="AO71" s="10"/>
      <c r="AP71" s="10"/>
      <c r="AQ71" s="10"/>
      <c r="AR71" s="10"/>
      <c r="AS71" s="10">
        <v>29021000</v>
      </c>
      <c r="AT71" s="10">
        <v>1496236000</v>
      </c>
      <c r="AU71" s="10">
        <v>6533000</v>
      </c>
      <c r="AV71" s="10"/>
      <c r="AW71" s="10">
        <v>24732000</v>
      </c>
      <c r="AX71" s="10">
        <v>134319000</v>
      </c>
      <c r="AY71" s="10"/>
      <c r="AZ71" s="10">
        <v>0</v>
      </c>
      <c r="BA71" s="10">
        <v>7993000</v>
      </c>
      <c r="BB71" s="10">
        <v>0.27500000000000002</v>
      </c>
      <c r="BC71" s="41">
        <v>-8372000</v>
      </c>
      <c r="BD71" s="10">
        <v>1637088000</v>
      </c>
      <c r="BE71" s="10">
        <v>20649000</v>
      </c>
      <c r="BF71" s="10">
        <v>1657737000</v>
      </c>
      <c r="BG71" s="10"/>
      <c r="BH71" s="10"/>
      <c r="BI71" s="10"/>
      <c r="BJ71" s="10"/>
      <c r="BK71" s="41"/>
      <c r="BL71" s="10"/>
      <c r="BM71" s="10"/>
      <c r="BN71" s="41"/>
      <c r="BO71" s="10"/>
      <c r="BP71" s="41">
        <v>2023</v>
      </c>
      <c r="BQ71" s="10"/>
      <c r="BR71" s="10"/>
      <c r="BS71" s="10"/>
      <c r="BT71" s="10"/>
      <c r="BU71" s="10"/>
      <c r="BV71" s="10"/>
      <c r="BW71" s="10"/>
      <c r="BX71" s="10"/>
      <c r="BY71" s="10"/>
      <c r="BZ71" s="10"/>
      <c r="CA71" s="156" t="s">
        <v>662</v>
      </c>
    </row>
    <row r="72" spans="1:79" hidden="1" x14ac:dyDescent="0.35">
      <c r="A72" s="156" t="s">
        <v>661</v>
      </c>
      <c r="B72" s="22">
        <v>45291</v>
      </c>
      <c r="C72">
        <v>2023</v>
      </c>
      <c r="D72" s="156" t="s">
        <v>214</v>
      </c>
      <c r="E72" s="156" t="s">
        <v>213</v>
      </c>
      <c r="F72" s="10"/>
      <c r="G72" s="10">
        <v>116731406</v>
      </c>
      <c r="H72" s="157">
        <v>0.2</v>
      </c>
      <c r="I72" s="10"/>
      <c r="J72" s="10"/>
      <c r="K72" s="10"/>
      <c r="L72" s="10">
        <v>124686067</v>
      </c>
      <c r="M72" s="10">
        <v>0.19</v>
      </c>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41"/>
      <c r="BD72" s="10"/>
      <c r="BE72" s="10"/>
      <c r="BF72" s="10"/>
      <c r="BG72" s="10"/>
      <c r="BH72" s="10"/>
      <c r="BI72" s="10"/>
      <c r="BJ72" s="10"/>
      <c r="BK72" s="41"/>
      <c r="BL72" s="10"/>
      <c r="BM72" s="10"/>
      <c r="BN72" s="41"/>
      <c r="BO72" s="10"/>
      <c r="BP72" s="41">
        <v>2023</v>
      </c>
      <c r="BQ72" s="10"/>
      <c r="BR72" s="10"/>
      <c r="BS72" s="10"/>
      <c r="BT72" s="10"/>
      <c r="BU72" s="10"/>
      <c r="BV72" s="10"/>
      <c r="BW72" s="10"/>
      <c r="BX72" s="10"/>
      <c r="BY72" s="10"/>
      <c r="BZ72" s="10"/>
      <c r="CA72" s="156" t="s">
        <v>662</v>
      </c>
    </row>
    <row r="73" spans="1:79" hidden="1" x14ac:dyDescent="0.35">
      <c r="A73" s="156" t="s">
        <v>661</v>
      </c>
      <c r="B73" s="22">
        <v>45382</v>
      </c>
      <c r="C73">
        <v>2024</v>
      </c>
      <c r="D73" s="156" t="s">
        <v>214</v>
      </c>
      <c r="E73" s="156" t="s">
        <v>213</v>
      </c>
      <c r="F73" s="10"/>
      <c r="G73" s="10">
        <v>117605484</v>
      </c>
      <c r="H73" s="157">
        <v>0.17</v>
      </c>
      <c r="I73" s="10"/>
      <c r="J73" s="10"/>
      <c r="K73" s="10"/>
      <c r="L73" s="10">
        <v>124867177</v>
      </c>
      <c r="M73" s="10">
        <v>0.15</v>
      </c>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41"/>
      <c r="BD73" s="10"/>
      <c r="BE73" s="10"/>
      <c r="BF73" s="10"/>
      <c r="BG73" s="10"/>
      <c r="BH73" s="10"/>
      <c r="BI73" s="10"/>
      <c r="BJ73" s="10"/>
      <c r="BK73" s="41"/>
      <c r="BL73" s="10"/>
      <c r="BM73" s="10"/>
      <c r="BN73" s="41"/>
      <c r="BO73" s="10"/>
      <c r="BP73" s="41">
        <v>2024</v>
      </c>
      <c r="BQ73" s="10"/>
      <c r="BR73" s="10"/>
      <c r="BS73" s="10"/>
      <c r="BT73" s="10"/>
      <c r="BU73" s="10"/>
      <c r="BV73" s="10"/>
      <c r="BW73" s="10"/>
      <c r="BX73" s="10"/>
      <c r="BY73" s="10"/>
      <c r="BZ73" s="10"/>
      <c r="CA73" s="156" t="s">
        <v>662</v>
      </c>
    </row>
    <row r="74" spans="1:79" hidden="1" x14ac:dyDescent="0.35">
      <c r="A74" s="156" t="s">
        <v>661</v>
      </c>
      <c r="B74" s="22">
        <v>45473</v>
      </c>
      <c r="C74">
        <v>2024</v>
      </c>
      <c r="D74" s="156" t="s">
        <v>214</v>
      </c>
      <c r="E74" s="156" t="s">
        <v>213</v>
      </c>
      <c r="F74" s="10"/>
      <c r="G74" s="10">
        <v>118388297</v>
      </c>
      <c r="H74" s="157">
        <v>0.12</v>
      </c>
      <c r="I74" s="10">
        <v>1531368000</v>
      </c>
      <c r="J74" s="10">
        <v>7142000</v>
      </c>
      <c r="K74" s="10">
        <v>7142000</v>
      </c>
      <c r="L74" s="10">
        <v>125110236</v>
      </c>
      <c r="M74" s="10">
        <v>0.12</v>
      </c>
      <c r="N74" s="10">
        <v>14932000</v>
      </c>
      <c r="O74" s="10">
        <v>12877000</v>
      </c>
      <c r="P74" s="10">
        <v>20019000</v>
      </c>
      <c r="Q74" s="10"/>
      <c r="R74" s="10"/>
      <c r="S74" s="10"/>
      <c r="T74" s="10">
        <v>117865000</v>
      </c>
      <c r="U74" s="10">
        <v>164311000</v>
      </c>
      <c r="V74" s="10"/>
      <c r="W74" s="10"/>
      <c r="X74" s="10"/>
      <c r="Y74" s="10"/>
      <c r="Z74" s="10">
        <v>-1033000</v>
      </c>
      <c r="AA74" s="10">
        <v>14932000</v>
      </c>
      <c r="AB74" s="10">
        <v>14932000</v>
      </c>
      <c r="AC74" s="10">
        <v>15965000</v>
      </c>
      <c r="AD74" s="10">
        <v>14932000</v>
      </c>
      <c r="AE74" s="10">
        <v>14932000</v>
      </c>
      <c r="AF74" s="10">
        <v>15965000</v>
      </c>
      <c r="AG74" s="10">
        <v>11692000</v>
      </c>
      <c r="AH74" s="10">
        <v>11692000</v>
      </c>
      <c r="AI74" s="10">
        <v>20019000</v>
      </c>
      <c r="AJ74" s="10">
        <v>14932000</v>
      </c>
      <c r="AK74" s="10">
        <v>151434000</v>
      </c>
      <c r="AL74" s="10">
        <v>12877000</v>
      </c>
      <c r="AM74" s="10">
        <v>1686616000</v>
      </c>
      <c r="AN74" s="10">
        <v>117865000</v>
      </c>
      <c r="AO74" s="10"/>
      <c r="AP74" s="10"/>
      <c r="AQ74" s="10"/>
      <c r="AR74" s="10"/>
      <c r="AS74" s="10">
        <v>24569000</v>
      </c>
      <c r="AT74" s="10">
        <v>1531368000</v>
      </c>
      <c r="AU74" s="10">
        <v>7142000</v>
      </c>
      <c r="AV74" s="10"/>
      <c r="AW74" s="10">
        <v>26427000</v>
      </c>
      <c r="AX74" s="10">
        <v>144292000</v>
      </c>
      <c r="AY74" s="10"/>
      <c r="AZ74" s="10">
        <v>0</v>
      </c>
      <c r="BA74" s="10">
        <v>8604000</v>
      </c>
      <c r="BB74" s="10">
        <v>0.35019699999999998</v>
      </c>
      <c r="BC74" s="41">
        <v>-11692000</v>
      </c>
      <c r="BD74" s="10">
        <v>1682802000</v>
      </c>
      <c r="BE74" s="10">
        <v>12877000</v>
      </c>
      <c r="BF74" s="10">
        <v>1695679000</v>
      </c>
      <c r="BG74" s="10"/>
      <c r="BH74" s="10"/>
      <c r="BI74" s="10"/>
      <c r="BJ74" s="10"/>
      <c r="BK74" s="41"/>
      <c r="BL74" s="10"/>
      <c r="BM74" s="10"/>
      <c r="BN74" s="41"/>
      <c r="BO74" s="10"/>
      <c r="BP74" s="41">
        <v>2024</v>
      </c>
      <c r="BQ74" s="10"/>
      <c r="BR74" s="10"/>
      <c r="BS74" s="10"/>
      <c r="BT74" s="10"/>
      <c r="BU74" s="10"/>
      <c r="BV74" s="10"/>
      <c r="BW74" s="10"/>
      <c r="BX74" s="10"/>
      <c r="BY74" s="10"/>
      <c r="BZ74" s="10"/>
      <c r="CA74" s="156" t="s">
        <v>662</v>
      </c>
    </row>
    <row r="75" spans="1:79" hidden="1" x14ac:dyDescent="0.35">
      <c r="A75" s="156" t="s">
        <v>663</v>
      </c>
      <c r="B75" s="22">
        <v>43830</v>
      </c>
      <c r="C75">
        <v>2019</v>
      </c>
      <c r="D75" s="156" t="s">
        <v>212</v>
      </c>
      <c r="E75" s="156" t="s">
        <v>213</v>
      </c>
      <c r="F75" s="10"/>
      <c r="G75" s="10"/>
      <c r="H75" s="157"/>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v>3599000</v>
      </c>
      <c r="AO75" s="10"/>
      <c r="AP75" s="10"/>
      <c r="AQ75" s="10"/>
      <c r="AR75" s="10"/>
      <c r="AS75" s="10"/>
      <c r="AT75" s="10"/>
      <c r="AU75" s="10"/>
      <c r="AV75" s="10"/>
      <c r="AW75" s="10"/>
      <c r="AX75" s="10"/>
      <c r="AY75" s="10"/>
      <c r="AZ75" s="10"/>
      <c r="BA75" s="10"/>
      <c r="BB75" s="10"/>
      <c r="BC75" s="41"/>
      <c r="BD75" s="10"/>
      <c r="BE75" s="10"/>
      <c r="BF75" s="10"/>
      <c r="BG75" s="10"/>
      <c r="BH75" s="10"/>
      <c r="BI75" s="10">
        <v>615000</v>
      </c>
      <c r="BJ75" s="10"/>
      <c r="BK75" s="41"/>
      <c r="BL75" s="10"/>
      <c r="BM75" s="10"/>
      <c r="BN75" s="41"/>
      <c r="BO75" s="10"/>
      <c r="BP75" s="41">
        <v>2019</v>
      </c>
      <c r="BQ75" s="10"/>
      <c r="BR75" s="10"/>
      <c r="BS75" s="10"/>
      <c r="BT75" s="10"/>
      <c r="BU75" s="10"/>
      <c r="BV75" s="10"/>
      <c r="BW75" s="10"/>
      <c r="BX75" s="10"/>
      <c r="BY75" s="10"/>
      <c r="BZ75" s="10"/>
      <c r="CA75" s="156" t="s">
        <v>664</v>
      </c>
    </row>
    <row r="76" spans="1:79" hidden="1" x14ac:dyDescent="0.35">
      <c r="A76" s="156" t="s">
        <v>663</v>
      </c>
      <c r="B76" s="22">
        <v>44196</v>
      </c>
      <c r="C76">
        <v>2020</v>
      </c>
      <c r="D76" s="156" t="s">
        <v>212</v>
      </c>
      <c r="E76" s="156" t="s">
        <v>213</v>
      </c>
      <c r="F76" s="10"/>
      <c r="G76" s="10">
        <v>10942000</v>
      </c>
      <c r="H76" s="157">
        <v>2.42</v>
      </c>
      <c r="I76" s="10"/>
      <c r="J76" s="10">
        <v>1569000</v>
      </c>
      <c r="K76" s="10">
        <v>1569000</v>
      </c>
      <c r="L76" s="10">
        <v>11034000</v>
      </c>
      <c r="M76" s="10">
        <v>2.4</v>
      </c>
      <c r="N76" s="10">
        <v>26463000</v>
      </c>
      <c r="O76" s="10"/>
      <c r="P76" s="10"/>
      <c r="Q76" s="10"/>
      <c r="R76" s="10"/>
      <c r="S76" s="10">
        <v>-16000</v>
      </c>
      <c r="T76" s="10">
        <v>44957000</v>
      </c>
      <c r="U76" s="10"/>
      <c r="V76" s="10">
        <v>16024000</v>
      </c>
      <c r="W76" s="10"/>
      <c r="X76" s="10">
        <v>99631000</v>
      </c>
      <c r="Y76" s="10"/>
      <c r="Z76" s="10"/>
      <c r="AA76" s="10">
        <v>26463000</v>
      </c>
      <c r="AB76" s="10">
        <v>26463000</v>
      </c>
      <c r="AC76" s="10">
        <v>26463000</v>
      </c>
      <c r="AD76" s="10">
        <v>26463000</v>
      </c>
      <c r="AE76" s="10">
        <v>26463000</v>
      </c>
      <c r="AF76" s="10">
        <v>26463000</v>
      </c>
      <c r="AG76" s="10">
        <v>83607000</v>
      </c>
      <c r="AH76" s="10"/>
      <c r="AI76" s="10"/>
      <c r="AJ76" s="10">
        <v>27133736</v>
      </c>
      <c r="AK76" s="10"/>
      <c r="AL76" s="10"/>
      <c r="AM76" s="10">
        <v>110859000</v>
      </c>
      <c r="AN76" s="10">
        <v>3574000</v>
      </c>
      <c r="AO76" s="10"/>
      <c r="AP76" s="10"/>
      <c r="AQ76" s="10"/>
      <c r="AR76" s="10"/>
      <c r="AS76" s="10">
        <v>32511000</v>
      </c>
      <c r="AT76" s="10"/>
      <c r="AU76" s="10">
        <v>6573000</v>
      </c>
      <c r="AV76" s="10"/>
      <c r="AW76" s="10">
        <v>1660000</v>
      </c>
      <c r="AX76" s="10">
        <v>46617000</v>
      </c>
      <c r="AY76" s="10">
        <v>-824000</v>
      </c>
      <c r="AZ76" s="10">
        <v>-153264</v>
      </c>
      <c r="BA76" s="10">
        <v>6048000</v>
      </c>
      <c r="BB76" s="10">
        <v>0.186</v>
      </c>
      <c r="BC76" s="41"/>
      <c r="BD76" s="10"/>
      <c r="BE76" s="10"/>
      <c r="BF76" s="10">
        <v>110859000</v>
      </c>
      <c r="BG76" s="10">
        <v>-824000</v>
      </c>
      <c r="BH76" s="10">
        <v>-824000</v>
      </c>
      <c r="BI76" s="10">
        <v>-486000</v>
      </c>
      <c r="BJ76" s="10"/>
      <c r="BK76" s="41"/>
      <c r="BL76" s="10"/>
      <c r="BM76" s="10"/>
      <c r="BN76" s="41">
        <v>686000</v>
      </c>
      <c r="BO76" s="10"/>
      <c r="BP76" s="41">
        <v>2020</v>
      </c>
      <c r="BQ76" s="10">
        <v>1569000</v>
      </c>
      <c r="BR76" s="10">
        <v>1569000</v>
      </c>
      <c r="BS76" s="10">
        <v>-486000</v>
      </c>
      <c r="BT76" s="10"/>
      <c r="BU76" s="10">
        <v>1310000</v>
      </c>
      <c r="BV76" s="10"/>
      <c r="BW76" s="10"/>
      <c r="BX76" s="10">
        <v>44271000</v>
      </c>
      <c r="BY76" s="10"/>
      <c r="BZ76" s="10"/>
      <c r="CA76" s="156" t="s">
        <v>664</v>
      </c>
    </row>
    <row r="77" spans="1:79" hidden="1" x14ac:dyDescent="0.35">
      <c r="A77" s="156" t="s">
        <v>663</v>
      </c>
      <c r="B77" s="22">
        <v>44561</v>
      </c>
      <c r="C77">
        <v>2021</v>
      </c>
      <c r="D77" s="156" t="s">
        <v>212</v>
      </c>
      <c r="E77" s="156" t="s">
        <v>213</v>
      </c>
      <c r="F77" s="10"/>
      <c r="G77" s="10">
        <v>10967000</v>
      </c>
      <c r="H77" s="157">
        <v>3</v>
      </c>
      <c r="I77" s="10"/>
      <c r="J77" s="10">
        <v>1275000</v>
      </c>
      <c r="K77" s="10">
        <v>1275000</v>
      </c>
      <c r="L77" s="10">
        <v>11106000</v>
      </c>
      <c r="M77" s="10">
        <v>2.96</v>
      </c>
      <c r="N77" s="10">
        <v>32881000</v>
      </c>
      <c r="O77" s="10"/>
      <c r="P77" s="10"/>
      <c r="Q77" s="10"/>
      <c r="R77" s="10"/>
      <c r="S77" s="10">
        <v>638000</v>
      </c>
      <c r="T77" s="10">
        <v>45683000</v>
      </c>
      <c r="U77" s="10"/>
      <c r="V77" s="10">
        <v>6721000</v>
      </c>
      <c r="W77" s="10"/>
      <c r="X77" s="10">
        <v>93695000</v>
      </c>
      <c r="Y77" s="10"/>
      <c r="Z77" s="10"/>
      <c r="AA77" s="10">
        <v>32881000</v>
      </c>
      <c r="AB77" s="10">
        <v>32881000</v>
      </c>
      <c r="AC77" s="10">
        <v>32881000</v>
      </c>
      <c r="AD77" s="10">
        <v>32881000</v>
      </c>
      <c r="AE77" s="10">
        <v>32881000</v>
      </c>
      <c r="AF77" s="10">
        <v>32881000</v>
      </c>
      <c r="AG77" s="10">
        <v>86974000</v>
      </c>
      <c r="AH77" s="10"/>
      <c r="AI77" s="10"/>
      <c r="AJ77" s="10">
        <v>32881000</v>
      </c>
      <c r="AK77" s="10"/>
      <c r="AL77" s="10"/>
      <c r="AM77" s="10">
        <v>114924000</v>
      </c>
      <c r="AN77" s="10">
        <v>4061000</v>
      </c>
      <c r="AO77" s="10"/>
      <c r="AP77" s="10"/>
      <c r="AQ77" s="10"/>
      <c r="AR77" s="10"/>
      <c r="AS77" s="10">
        <v>40895000</v>
      </c>
      <c r="AT77" s="10"/>
      <c r="AU77" s="10">
        <v>5305000</v>
      </c>
      <c r="AV77" s="10"/>
      <c r="AW77" s="10">
        <v>2178000</v>
      </c>
      <c r="AX77" s="10">
        <v>47861000</v>
      </c>
      <c r="AY77" s="10">
        <v>0</v>
      </c>
      <c r="AZ77" s="10">
        <v>0</v>
      </c>
      <c r="BA77" s="10">
        <v>8014000</v>
      </c>
      <c r="BB77" s="10">
        <v>0.19600000000000001</v>
      </c>
      <c r="BC77" s="41"/>
      <c r="BD77" s="10"/>
      <c r="BE77" s="10"/>
      <c r="BF77" s="10">
        <v>114924000</v>
      </c>
      <c r="BG77" s="10">
        <v>0</v>
      </c>
      <c r="BH77" s="10">
        <v>0</v>
      </c>
      <c r="BI77" s="10">
        <v>0</v>
      </c>
      <c r="BJ77" s="10"/>
      <c r="BK77" s="41"/>
      <c r="BL77" s="10"/>
      <c r="BM77" s="10"/>
      <c r="BN77" s="41">
        <v>816000</v>
      </c>
      <c r="BO77" s="10"/>
      <c r="BP77" s="41">
        <v>2021</v>
      </c>
      <c r="BQ77" s="10">
        <v>1275000</v>
      </c>
      <c r="BR77" s="10">
        <v>1275000</v>
      </c>
      <c r="BS77" s="10"/>
      <c r="BT77" s="10"/>
      <c r="BU77" s="10">
        <v>0</v>
      </c>
      <c r="BV77" s="10"/>
      <c r="BW77" s="10"/>
      <c r="BX77" s="10">
        <v>44867000</v>
      </c>
      <c r="BY77" s="10"/>
      <c r="BZ77" s="10"/>
      <c r="CA77" s="156" t="s">
        <v>664</v>
      </c>
    </row>
    <row r="78" spans="1:79" hidden="1" x14ac:dyDescent="0.35">
      <c r="A78" s="156" t="s">
        <v>663</v>
      </c>
      <c r="B78" s="22">
        <v>44926</v>
      </c>
      <c r="C78">
        <v>2022</v>
      </c>
      <c r="D78" s="156" t="s">
        <v>212</v>
      </c>
      <c r="E78" s="156" t="s">
        <v>213</v>
      </c>
      <c r="F78" s="10"/>
      <c r="G78" s="10">
        <v>10553000</v>
      </c>
      <c r="H78" s="157">
        <v>2.09</v>
      </c>
      <c r="I78" s="10"/>
      <c r="J78" s="10">
        <v>1105000</v>
      </c>
      <c r="K78" s="10">
        <v>1105000</v>
      </c>
      <c r="L78" s="10">
        <v>10706000</v>
      </c>
      <c r="M78" s="10">
        <v>2.06</v>
      </c>
      <c r="N78" s="10">
        <v>22037000</v>
      </c>
      <c r="O78" s="10"/>
      <c r="P78" s="10"/>
      <c r="Q78" s="10"/>
      <c r="R78" s="10"/>
      <c r="S78" s="10">
        <v>-160000</v>
      </c>
      <c r="T78" s="10">
        <v>50025000</v>
      </c>
      <c r="U78" s="10"/>
      <c r="V78" s="10">
        <v>9024000</v>
      </c>
      <c r="W78" s="10"/>
      <c r="X78" s="10">
        <v>108654000</v>
      </c>
      <c r="Y78" s="10"/>
      <c r="Z78" s="10"/>
      <c r="AA78" s="10">
        <v>22037000</v>
      </c>
      <c r="AB78" s="10">
        <v>22037000</v>
      </c>
      <c r="AC78" s="10">
        <v>22037000</v>
      </c>
      <c r="AD78" s="10">
        <v>22037000</v>
      </c>
      <c r="AE78" s="10">
        <v>22037000</v>
      </c>
      <c r="AF78" s="10">
        <v>22037000</v>
      </c>
      <c r="AG78" s="10">
        <v>99630000</v>
      </c>
      <c r="AH78" s="10"/>
      <c r="AI78" s="10"/>
      <c r="AJ78" s="10">
        <v>35413340</v>
      </c>
      <c r="AK78" s="10"/>
      <c r="AL78" s="10"/>
      <c r="AM78" s="10">
        <v>125295000</v>
      </c>
      <c r="AN78" s="10"/>
      <c r="AO78" s="10"/>
      <c r="AP78" s="10"/>
      <c r="AQ78" s="10"/>
      <c r="AR78" s="10"/>
      <c r="AS78" s="10">
        <v>26616000</v>
      </c>
      <c r="AT78" s="10"/>
      <c r="AU78" s="10">
        <v>4620000</v>
      </c>
      <c r="AV78" s="10"/>
      <c r="AW78" s="10">
        <v>2264000</v>
      </c>
      <c r="AX78" s="10">
        <v>52289000</v>
      </c>
      <c r="AY78" s="10">
        <v>-16155000</v>
      </c>
      <c r="AZ78" s="10">
        <v>-2778660</v>
      </c>
      <c r="BA78" s="10">
        <v>4579000</v>
      </c>
      <c r="BB78" s="10">
        <v>0.17199999999999999</v>
      </c>
      <c r="BC78" s="41"/>
      <c r="BD78" s="10"/>
      <c r="BE78" s="10"/>
      <c r="BF78" s="10">
        <v>125295000</v>
      </c>
      <c r="BG78" s="10">
        <v>-16155000</v>
      </c>
      <c r="BH78" s="10">
        <v>-16155000</v>
      </c>
      <c r="BI78" s="10"/>
      <c r="BJ78" s="10"/>
      <c r="BK78" s="41"/>
      <c r="BL78" s="10"/>
      <c r="BM78" s="10"/>
      <c r="BN78" s="41">
        <v>1083000</v>
      </c>
      <c r="BO78" s="10"/>
      <c r="BP78" s="41">
        <v>2022</v>
      </c>
      <c r="BQ78" s="10">
        <v>1105000</v>
      </c>
      <c r="BR78" s="10">
        <v>1105000</v>
      </c>
      <c r="BS78" s="10">
        <v>13000000</v>
      </c>
      <c r="BT78" s="10"/>
      <c r="BU78" s="10">
        <v>3155000</v>
      </c>
      <c r="BV78" s="10"/>
      <c r="BW78" s="10"/>
      <c r="BX78" s="10">
        <v>48942000</v>
      </c>
      <c r="BY78" s="10"/>
      <c r="BZ78" s="10"/>
      <c r="CA78" s="156" t="s">
        <v>664</v>
      </c>
    </row>
    <row r="79" spans="1:79" hidden="1" x14ac:dyDescent="0.35">
      <c r="A79" s="156" t="s">
        <v>663</v>
      </c>
      <c r="B79" s="22">
        <v>44926</v>
      </c>
      <c r="C79">
        <v>2022</v>
      </c>
      <c r="D79" s="156" t="s">
        <v>214</v>
      </c>
      <c r="E79" s="156" t="s">
        <v>213</v>
      </c>
      <c r="F79" s="10"/>
      <c r="G79" s="10">
        <v>10553000</v>
      </c>
      <c r="H79" s="157">
        <v>2.09</v>
      </c>
      <c r="I79" s="10"/>
      <c r="J79" s="10"/>
      <c r="K79" s="10"/>
      <c r="L79" s="10">
        <v>10706000</v>
      </c>
      <c r="M79" s="10">
        <v>2.06</v>
      </c>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41"/>
      <c r="BD79" s="10"/>
      <c r="BE79" s="10"/>
      <c r="BF79" s="10"/>
      <c r="BG79" s="10"/>
      <c r="BH79" s="10"/>
      <c r="BI79" s="10"/>
      <c r="BJ79" s="10"/>
      <c r="BK79" s="41"/>
      <c r="BL79" s="10"/>
      <c r="BM79" s="10"/>
      <c r="BN79" s="41"/>
      <c r="BO79" s="10"/>
      <c r="BP79" s="41">
        <v>2022</v>
      </c>
      <c r="BQ79" s="10"/>
      <c r="BR79" s="10"/>
      <c r="BS79" s="10"/>
      <c r="BT79" s="10"/>
      <c r="BU79" s="10"/>
      <c r="BV79" s="10"/>
      <c r="BW79" s="10"/>
      <c r="BX79" s="10"/>
      <c r="BY79" s="10"/>
      <c r="BZ79" s="10"/>
      <c r="CA79" s="156" t="s">
        <v>664</v>
      </c>
    </row>
    <row r="80" spans="1:79" hidden="1" x14ac:dyDescent="0.35">
      <c r="A80" s="156" t="s">
        <v>663</v>
      </c>
      <c r="B80" s="22">
        <v>45199</v>
      </c>
      <c r="C80">
        <v>2023</v>
      </c>
      <c r="D80" s="156" t="s">
        <v>214</v>
      </c>
      <c r="E80" s="156" t="s">
        <v>213</v>
      </c>
      <c r="F80" s="10"/>
      <c r="G80" s="10">
        <v>10354250</v>
      </c>
      <c r="H80" s="157">
        <v>3.63</v>
      </c>
      <c r="I80" s="10"/>
      <c r="J80" s="10"/>
      <c r="K80" s="10"/>
      <c r="L80" s="10">
        <v>10467500</v>
      </c>
      <c r="M80" s="10">
        <v>3.58</v>
      </c>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41"/>
      <c r="BD80" s="10"/>
      <c r="BE80" s="10"/>
      <c r="BF80" s="10"/>
      <c r="BG80" s="10"/>
      <c r="BH80" s="10"/>
      <c r="BI80" s="10"/>
      <c r="BJ80" s="10"/>
      <c r="BK80" s="41"/>
      <c r="BL80" s="10"/>
      <c r="BM80" s="10"/>
      <c r="BN80" s="41"/>
      <c r="BO80" s="10"/>
      <c r="BP80" s="41">
        <v>2023</v>
      </c>
      <c r="BQ80" s="10"/>
      <c r="BR80" s="10"/>
      <c r="BS80" s="10"/>
      <c r="BT80" s="10"/>
      <c r="BU80" s="10"/>
      <c r="BV80" s="10"/>
      <c r="BW80" s="10"/>
      <c r="BX80" s="10"/>
      <c r="BY80" s="10"/>
      <c r="BZ80" s="10"/>
      <c r="CA80" s="156" t="s">
        <v>664</v>
      </c>
    </row>
    <row r="81" spans="1:79" hidden="1" x14ac:dyDescent="0.35">
      <c r="A81" s="156" t="s">
        <v>663</v>
      </c>
      <c r="B81" s="22">
        <v>45291</v>
      </c>
      <c r="C81">
        <v>2023</v>
      </c>
      <c r="D81" s="156" t="s">
        <v>212</v>
      </c>
      <c r="E81" s="156" t="s">
        <v>213</v>
      </c>
      <c r="F81" s="10"/>
      <c r="G81" s="10">
        <v>10340000</v>
      </c>
      <c r="H81" s="157">
        <v>3.45</v>
      </c>
      <c r="I81" s="10"/>
      <c r="J81" s="10">
        <v>953000</v>
      </c>
      <c r="K81" s="10">
        <v>953000</v>
      </c>
      <c r="L81" s="10">
        <v>10435000</v>
      </c>
      <c r="M81" s="10">
        <v>3.42</v>
      </c>
      <c r="N81" s="10">
        <v>35663000</v>
      </c>
      <c r="O81" s="10"/>
      <c r="P81" s="10"/>
      <c r="Q81" s="10"/>
      <c r="R81" s="10"/>
      <c r="S81" s="10">
        <v>-47000</v>
      </c>
      <c r="T81" s="10">
        <v>53858000</v>
      </c>
      <c r="U81" s="10"/>
      <c r="V81" s="10">
        <v>44991000</v>
      </c>
      <c r="W81" s="10"/>
      <c r="X81" s="10">
        <v>149897000</v>
      </c>
      <c r="Y81" s="10"/>
      <c r="Z81" s="10"/>
      <c r="AA81" s="10">
        <v>35663000</v>
      </c>
      <c r="AB81" s="10">
        <v>35663000</v>
      </c>
      <c r="AC81" s="10">
        <v>35663000</v>
      </c>
      <c r="AD81" s="10">
        <v>35663000</v>
      </c>
      <c r="AE81" s="10">
        <v>35663000</v>
      </c>
      <c r="AF81" s="10">
        <v>35663000</v>
      </c>
      <c r="AG81" s="10">
        <v>104906000</v>
      </c>
      <c r="AH81" s="10"/>
      <c r="AI81" s="10"/>
      <c r="AJ81" s="10">
        <v>36501728</v>
      </c>
      <c r="AK81" s="10"/>
      <c r="AL81" s="10"/>
      <c r="AM81" s="10">
        <v>129306000</v>
      </c>
      <c r="AN81" s="10"/>
      <c r="AO81" s="10"/>
      <c r="AP81" s="10"/>
      <c r="AQ81" s="10"/>
      <c r="AR81" s="10"/>
      <c r="AS81" s="10">
        <v>45033000</v>
      </c>
      <c r="AT81" s="10"/>
      <c r="AU81" s="10">
        <v>4340000</v>
      </c>
      <c r="AV81" s="10"/>
      <c r="AW81" s="10">
        <v>2157000</v>
      </c>
      <c r="AX81" s="10">
        <v>56015000</v>
      </c>
      <c r="AY81" s="10">
        <v>-1059000</v>
      </c>
      <c r="AZ81" s="10">
        <v>-220272</v>
      </c>
      <c r="BA81" s="10">
        <v>9370000</v>
      </c>
      <c r="BB81" s="10">
        <v>0.20799999999999999</v>
      </c>
      <c r="BC81" s="41"/>
      <c r="BD81" s="10"/>
      <c r="BE81" s="10"/>
      <c r="BF81" s="10">
        <v>129306000</v>
      </c>
      <c r="BG81" s="10">
        <v>-1059000</v>
      </c>
      <c r="BH81" s="10">
        <v>-1059000</v>
      </c>
      <c r="BI81" s="10"/>
      <c r="BJ81" s="10"/>
      <c r="BK81" s="41"/>
      <c r="BL81" s="10"/>
      <c r="BM81" s="10"/>
      <c r="BN81" s="41">
        <v>1960000</v>
      </c>
      <c r="BO81" s="10"/>
      <c r="BP81" s="41">
        <v>2023</v>
      </c>
      <c r="BQ81" s="10">
        <v>953000</v>
      </c>
      <c r="BR81" s="10">
        <v>953000</v>
      </c>
      <c r="BS81" s="10"/>
      <c r="BT81" s="10"/>
      <c r="BU81" s="10">
        <v>1059000</v>
      </c>
      <c r="BV81" s="10"/>
      <c r="BW81" s="10"/>
      <c r="BX81" s="10">
        <v>51898000</v>
      </c>
      <c r="BY81" s="10"/>
      <c r="BZ81" s="10"/>
      <c r="CA81" s="156" t="s">
        <v>664</v>
      </c>
    </row>
    <row r="82" spans="1:79" hidden="1" x14ac:dyDescent="0.35">
      <c r="A82" s="156" t="s">
        <v>663</v>
      </c>
      <c r="B82" s="22">
        <v>45291</v>
      </c>
      <c r="C82">
        <v>2023</v>
      </c>
      <c r="D82" s="156" t="s">
        <v>214</v>
      </c>
      <c r="E82" s="156" t="s">
        <v>213</v>
      </c>
      <c r="F82" s="10"/>
      <c r="G82" s="10">
        <v>10340000</v>
      </c>
      <c r="H82" s="157">
        <v>3.45</v>
      </c>
      <c r="I82" s="10"/>
      <c r="J82" s="10"/>
      <c r="K82" s="10"/>
      <c r="L82" s="10">
        <v>10435000</v>
      </c>
      <c r="M82" s="10">
        <v>3.42</v>
      </c>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41"/>
      <c r="BD82" s="10"/>
      <c r="BE82" s="10"/>
      <c r="BF82" s="10"/>
      <c r="BG82" s="10"/>
      <c r="BH82" s="10"/>
      <c r="BI82" s="10"/>
      <c r="BJ82" s="10"/>
      <c r="BK82" s="41"/>
      <c r="BL82" s="10"/>
      <c r="BM82" s="10"/>
      <c r="BN82" s="41"/>
      <c r="BO82" s="10"/>
      <c r="BP82" s="41">
        <v>2023</v>
      </c>
      <c r="BQ82" s="10"/>
      <c r="BR82" s="10"/>
      <c r="BS82" s="10"/>
      <c r="BT82" s="10"/>
      <c r="BU82" s="10"/>
      <c r="BV82" s="10"/>
      <c r="BW82" s="10"/>
      <c r="BX82" s="10"/>
      <c r="BY82" s="10"/>
      <c r="BZ82" s="10"/>
      <c r="CA82" s="156" t="s">
        <v>664</v>
      </c>
    </row>
    <row r="83" spans="1:79" hidden="1" x14ac:dyDescent="0.35">
      <c r="A83" s="156" t="s">
        <v>663</v>
      </c>
      <c r="B83" s="22">
        <v>45382</v>
      </c>
      <c r="C83">
        <v>2024</v>
      </c>
      <c r="D83" s="156" t="s">
        <v>214</v>
      </c>
      <c r="E83" s="156" t="s">
        <v>213</v>
      </c>
      <c r="F83" s="10"/>
      <c r="G83" s="10">
        <v>10331000</v>
      </c>
      <c r="H83" s="157">
        <v>3.39</v>
      </c>
      <c r="I83" s="10"/>
      <c r="J83" s="10"/>
      <c r="K83" s="10"/>
      <c r="L83" s="10">
        <v>10431500</v>
      </c>
      <c r="M83" s="10">
        <v>3.36</v>
      </c>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41"/>
      <c r="BD83" s="10"/>
      <c r="BE83" s="10"/>
      <c r="BF83" s="10"/>
      <c r="BG83" s="10"/>
      <c r="BH83" s="10"/>
      <c r="BI83" s="10"/>
      <c r="BJ83" s="10"/>
      <c r="BK83" s="41"/>
      <c r="BL83" s="10"/>
      <c r="BM83" s="10"/>
      <c r="BN83" s="41"/>
      <c r="BO83" s="10"/>
      <c r="BP83" s="41">
        <v>2024</v>
      </c>
      <c r="BQ83" s="10"/>
      <c r="BR83" s="10"/>
      <c r="BS83" s="10"/>
      <c r="BT83" s="10"/>
      <c r="BU83" s="10"/>
      <c r="BV83" s="10"/>
      <c r="BW83" s="10"/>
      <c r="BX83" s="10"/>
      <c r="BY83" s="10"/>
      <c r="BZ83" s="10"/>
      <c r="CA83" s="156" t="s">
        <v>664</v>
      </c>
    </row>
    <row r="84" spans="1:79" hidden="1" x14ac:dyDescent="0.35">
      <c r="A84" s="156" t="s">
        <v>663</v>
      </c>
      <c r="B84" s="22">
        <v>45473</v>
      </c>
      <c r="C84">
        <v>2024</v>
      </c>
      <c r="D84" s="156" t="s">
        <v>214</v>
      </c>
      <c r="E84" s="156" t="s">
        <v>213</v>
      </c>
      <c r="F84" s="10"/>
      <c r="G84" s="10">
        <v>10345500</v>
      </c>
      <c r="H84" s="157">
        <v>3.19</v>
      </c>
      <c r="I84" s="10"/>
      <c r="J84" s="10">
        <v>904000</v>
      </c>
      <c r="K84" s="10">
        <v>904000</v>
      </c>
      <c r="L84" s="10">
        <v>10464500</v>
      </c>
      <c r="M84" s="10">
        <v>3.15</v>
      </c>
      <c r="N84" s="10">
        <v>32938000</v>
      </c>
      <c r="O84" s="10"/>
      <c r="P84" s="10"/>
      <c r="Q84" s="10"/>
      <c r="R84" s="10"/>
      <c r="S84" s="10">
        <v>-54000</v>
      </c>
      <c r="T84" s="10">
        <v>55447000</v>
      </c>
      <c r="U84" s="10"/>
      <c r="V84" s="10">
        <v>59429000</v>
      </c>
      <c r="W84" s="10"/>
      <c r="X84" s="10">
        <v>164650000</v>
      </c>
      <c r="Y84" s="10"/>
      <c r="Z84" s="10"/>
      <c r="AA84" s="10">
        <v>32938000</v>
      </c>
      <c r="AB84" s="10">
        <v>32938000</v>
      </c>
      <c r="AC84" s="10">
        <v>32938000</v>
      </c>
      <c r="AD84" s="10">
        <v>32938000</v>
      </c>
      <c r="AE84" s="10">
        <v>32938000</v>
      </c>
      <c r="AF84" s="10">
        <v>32938000</v>
      </c>
      <c r="AG84" s="10">
        <v>105221000</v>
      </c>
      <c r="AH84" s="10"/>
      <c r="AI84" s="10"/>
      <c r="AJ84" s="10">
        <v>35194868.796021998</v>
      </c>
      <c r="AK84" s="10"/>
      <c r="AL84" s="10"/>
      <c r="AM84" s="10">
        <v>130101000</v>
      </c>
      <c r="AN84" s="10"/>
      <c r="AO84" s="10"/>
      <c r="AP84" s="10"/>
      <c r="AQ84" s="10"/>
      <c r="AR84" s="10"/>
      <c r="AS84" s="10">
        <v>41828000</v>
      </c>
      <c r="AT84" s="10"/>
      <c r="AU84" s="10">
        <v>4362000</v>
      </c>
      <c r="AV84" s="10"/>
      <c r="AW84" s="10">
        <v>2005000</v>
      </c>
      <c r="AX84" s="10">
        <v>57452000</v>
      </c>
      <c r="AY84" s="10">
        <v>-2866000</v>
      </c>
      <c r="AZ84" s="10">
        <v>-609131.20397799998</v>
      </c>
      <c r="BA84" s="10">
        <v>8890000</v>
      </c>
      <c r="BB84" s="10">
        <v>0.212537</v>
      </c>
      <c r="BC84" s="41"/>
      <c r="BD84" s="10"/>
      <c r="BE84" s="10"/>
      <c r="BF84" s="10">
        <v>130101000</v>
      </c>
      <c r="BG84" s="10">
        <v>-2866000</v>
      </c>
      <c r="BH84" s="10">
        <v>-2866000</v>
      </c>
      <c r="BI84" s="10"/>
      <c r="BJ84" s="10"/>
      <c r="BK84" s="41"/>
      <c r="BL84" s="10"/>
      <c r="BM84" s="10"/>
      <c r="BN84" s="41">
        <v>1797000</v>
      </c>
      <c r="BO84" s="10"/>
      <c r="BP84" s="41">
        <v>2024</v>
      </c>
      <c r="BQ84" s="10">
        <v>904000</v>
      </c>
      <c r="BR84" s="10">
        <v>904000</v>
      </c>
      <c r="BS84" s="10"/>
      <c r="BT84" s="10"/>
      <c r="BU84" s="10">
        <v>2866000</v>
      </c>
      <c r="BV84" s="10"/>
      <c r="BW84" s="10"/>
      <c r="BX84" s="10">
        <v>53650000</v>
      </c>
      <c r="BY84" s="10"/>
      <c r="BZ84" s="10"/>
      <c r="CA84" s="156" t="s">
        <v>664</v>
      </c>
    </row>
    <row r="85" spans="1:79" hidden="1" x14ac:dyDescent="0.35">
      <c r="A85" s="156" t="s">
        <v>665</v>
      </c>
      <c r="B85" s="22">
        <v>43830</v>
      </c>
      <c r="C85">
        <v>2019</v>
      </c>
      <c r="D85" s="156" t="s">
        <v>212</v>
      </c>
      <c r="E85" s="156" t="s">
        <v>213</v>
      </c>
      <c r="F85" s="10"/>
      <c r="G85" s="10"/>
      <c r="H85" s="157"/>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41"/>
      <c r="BD85" s="10"/>
      <c r="BE85" s="10"/>
      <c r="BF85" s="10"/>
      <c r="BG85" s="10"/>
      <c r="BH85" s="10"/>
      <c r="BI85" s="10"/>
      <c r="BJ85" s="10"/>
      <c r="BK85" s="41"/>
      <c r="BL85" s="10"/>
      <c r="BM85" s="10"/>
      <c r="BN85" s="41"/>
      <c r="BO85" s="10"/>
      <c r="BP85" s="41">
        <v>2019</v>
      </c>
      <c r="BQ85" s="10"/>
      <c r="BR85" s="10"/>
      <c r="BS85" s="10">
        <v>5488000</v>
      </c>
      <c r="BT85" s="10"/>
      <c r="BU85" s="10"/>
      <c r="BV85" s="10"/>
      <c r="BW85" s="10"/>
      <c r="BX85" s="10"/>
      <c r="BY85" s="10"/>
      <c r="BZ85" s="10"/>
      <c r="CA85" s="156" t="s">
        <v>666</v>
      </c>
    </row>
    <row r="86" spans="1:79" hidden="1" x14ac:dyDescent="0.35">
      <c r="A86" s="156" t="s">
        <v>665</v>
      </c>
      <c r="B86" s="22">
        <v>43830</v>
      </c>
      <c r="C86">
        <v>2019</v>
      </c>
      <c r="D86" s="156" t="s">
        <v>214</v>
      </c>
      <c r="E86" s="156" t="s">
        <v>213</v>
      </c>
      <c r="F86" s="10"/>
      <c r="G86" s="10"/>
      <c r="H86" s="157"/>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41"/>
      <c r="BD86" s="10"/>
      <c r="BE86" s="10"/>
      <c r="BF86" s="10"/>
      <c r="BG86" s="10"/>
      <c r="BH86" s="10"/>
      <c r="BI86" s="10"/>
      <c r="BJ86" s="10"/>
      <c r="BK86" s="41"/>
      <c r="BL86" s="10"/>
      <c r="BM86" s="10"/>
      <c r="BN86" s="41"/>
      <c r="BO86" s="10"/>
      <c r="BP86" s="41">
        <v>2019</v>
      </c>
      <c r="BQ86" s="10"/>
      <c r="BR86" s="10"/>
      <c r="BS86" s="10">
        <v>5488000</v>
      </c>
      <c r="BT86" s="10"/>
      <c r="BU86" s="10"/>
      <c r="BV86" s="10"/>
      <c r="BW86" s="10"/>
      <c r="BX86" s="10"/>
      <c r="BY86" s="10"/>
      <c r="BZ86" s="10"/>
      <c r="CA86" s="156" t="s">
        <v>666</v>
      </c>
    </row>
    <row r="87" spans="1:79" hidden="1" x14ac:dyDescent="0.35">
      <c r="A87" s="156" t="s">
        <v>665</v>
      </c>
      <c r="B87" s="22">
        <v>44196</v>
      </c>
      <c r="C87">
        <v>2020</v>
      </c>
      <c r="D87" s="156" t="s">
        <v>212</v>
      </c>
      <c r="E87" s="156" t="s">
        <v>213</v>
      </c>
      <c r="F87" s="10"/>
      <c r="G87" s="10">
        <v>30776000</v>
      </c>
      <c r="H87" s="157">
        <v>1.46</v>
      </c>
      <c r="I87" s="10">
        <v>170178000</v>
      </c>
      <c r="J87" s="10"/>
      <c r="K87" s="10"/>
      <c r="L87" s="10">
        <v>31058000</v>
      </c>
      <c r="M87" s="10">
        <v>1.44</v>
      </c>
      <c r="N87" s="10">
        <v>44801000</v>
      </c>
      <c r="O87" s="10">
        <v>72092000</v>
      </c>
      <c r="P87" s="10">
        <v>153133000</v>
      </c>
      <c r="Q87" s="10"/>
      <c r="R87" s="10"/>
      <c r="S87" s="10"/>
      <c r="T87" s="10"/>
      <c r="U87" s="10">
        <v>188813000</v>
      </c>
      <c r="V87" s="10">
        <v>40799000</v>
      </c>
      <c r="W87" s="10">
        <v>40799000</v>
      </c>
      <c r="X87" s="10">
        <v>5661000</v>
      </c>
      <c r="Y87" s="10">
        <v>5661000</v>
      </c>
      <c r="Z87" s="10">
        <v>6860000</v>
      </c>
      <c r="AA87" s="10">
        <v>44801000</v>
      </c>
      <c r="AB87" s="10">
        <v>44801000</v>
      </c>
      <c r="AC87" s="10">
        <v>37941000</v>
      </c>
      <c r="AD87" s="10">
        <v>44801000</v>
      </c>
      <c r="AE87" s="10">
        <v>44801000</v>
      </c>
      <c r="AF87" s="10">
        <v>37941000</v>
      </c>
      <c r="AG87" s="10">
        <v>-35138000</v>
      </c>
      <c r="AH87" s="10">
        <v>-35138000</v>
      </c>
      <c r="AI87" s="10">
        <v>153133000</v>
      </c>
      <c r="AJ87" s="10">
        <v>44801000</v>
      </c>
      <c r="AK87" s="10">
        <v>133645000</v>
      </c>
      <c r="AL87" s="10">
        <v>55168000</v>
      </c>
      <c r="AM87" s="10">
        <v>358991000</v>
      </c>
      <c r="AN87" s="10"/>
      <c r="AO87" s="10">
        <v>11263000</v>
      </c>
      <c r="AP87" s="10">
        <v>11263000</v>
      </c>
      <c r="AQ87" s="10"/>
      <c r="AR87" s="10"/>
      <c r="AS87" s="10">
        <v>31293000</v>
      </c>
      <c r="AT87" s="10">
        <v>170178000</v>
      </c>
      <c r="AU87" s="10">
        <v>81041000</v>
      </c>
      <c r="AV87" s="10">
        <v>84646000</v>
      </c>
      <c r="AW87" s="10"/>
      <c r="AX87" s="10">
        <v>48999000</v>
      </c>
      <c r="AY87" s="10">
        <v>0</v>
      </c>
      <c r="AZ87" s="10">
        <v>0</v>
      </c>
      <c r="BA87" s="10">
        <v>-6648000</v>
      </c>
      <c r="BB87" s="10">
        <v>0.27</v>
      </c>
      <c r="BC87" s="41"/>
      <c r="BD87" s="10">
        <v>303823000</v>
      </c>
      <c r="BE87" s="10">
        <v>55168000</v>
      </c>
      <c r="BF87" s="10">
        <v>358991000</v>
      </c>
      <c r="BG87" s="10">
        <v>0</v>
      </c>
      <c r="BH87" s="10">
        <v>0</v>
      </c>
      <c r="BI87" s="10"/>
      <c r="BJ87" s="10"/>
      <c r="BK87" s="41"/>
      <c r="BL87" s="10"/>
      <c r="BM87" s="10"/>
      <c r="BN87" s="41"/>
      <c r="BO87" s="10"/>
      <c r="BP87" s="41">
        <v>2020</v>
      </c>
      <c r="BQ87" s="10"/>
      <c r="BR87" s="10"/>
      <c r="BS87" s="10"/>
      <c r="BT87" s="10"/>
      <c r="BU87" s="10">
        <v>0</v>
      </c>
      <c r="BV87" s="10"/>
      <c r="BW87" s="10"/>
      <c r="BX87" s="10"/>
      <c r="BY87" s="10"/>
      <c r="BZ87" s="10"/>
      <c r="CA87" s="156" t="s">
        <v>666</v>
      </c>
    </row>
    <row r="88" spans="1:79" hidden="1" x14ac:dyDescent="0.35">
      <c r="A88" s="156" t="s">
        <v>665</v>
      </c>
      <c r="B88" s="22">
        <v>44561</v>
      </c>
      <c r="C88">
        <v>2021</v>
      </c>
      <c r="D88" s="156" t="s">
        <v>212</v>
      </c>
      <c r="E88" s="156" t="s">
        <v>213</v>
      </c>
      <c r="F88" s="10"/>
      <c r="G88" s="10">
        <v>30764000</v>
      </c>
      <c r="H88" s="157">
        <v>1.8</v>
      </c>
      <c r="I88" s="10">
        <v>64625000</v>
      </c>
      <c r="J88" s="10"/>
      <c r="K88" s="10"/>
      <c r="L88" s="10">
        <v>31253000</v>
      </c>
      <c r="M88" s="10">
        <v>1.77</v>
      </c>
      <c r="N88" s="10">
        <v>55295000</v>
      </c>
      <c r="O88" s="10">
        <v>82781000</v>
      </c>
      <c r="P88" s="10">
        <v>160974000</v>
      </c>
      <c r="Q88" s="10"/>
      <c r="R88" s="10"/>
      <c r="S88" s="10"/>
      <c r="T88" s="10">
        <v>61217000</v>
      </c>
      <c r="U88" s="10">
        <v>360784000</v>
      </c>
      <c r="V88" s="10">
        <v>25225000</v>
      </c>
      <c r="W88" s="10">
        <v>25225000</v>
      </c>
      <c r="X88" s="10">
        <v>1690000</v>
      </c>
      <c r="Y88" s="10">
        <v>1690000</v>
      </c>
      <c r="Z88" s="10">
        <v>13107000</v>
      </c>
      <c r="AA88" s="10">
        <v>55295000</v>
      </c>
      <c r="AB88" s="10">
        <v>55295000</v>
      </c>
      <c r="AC88" s="10">
        <v>42188000</v>
      </c>
      <c r="AD88" s="10">
        <v>55295000</v>
      </c>
      <c r="AE88" s="10">
        <v>55295000</v>
      </c>
      <c r="AF88" s="10">
        <v>42188000</v>
      </c>
      <c r="AG88" s="10">
        <v>-23535000</v>
      </c>
      <c r="AH88" s="10">
        <v>-23535000</v>
      </c>
      <c r="AI88" s="10">
        <v>188851000</v>
      </c>
      <c r="AJ88" s="10">
        <v>75645210</v>
      </c>
      <c r="AK88" s="10">
        <v>261701000</v>
      </c>
      <c r="AL88" s="10">
        <v>99083000</v>
      </c>
      <c r="AM88" s="10">
        <v>420528000</v>
      </c>
      <c r="AN88" s="10">
        <v>61217000</v>
      </c>
      <c r="AO88" s="10">
        <v>-17992000</v>
      </c>
      <c r="AP88" s="10">
        <v>9885000</v>
      </c>
      <c r="AQ88" s="10"/>
      <c r="AR88" s="10"/>
      <c r="AS88" s="10">
        <v>57556000</v>
      </c>
      <c r="AT88" s="10">
        <v>64625000</v>
      </c>
      <c r="AU88" s="10">
        <v>78193000</v>
      </c>
      <c r="AV88" s="10">
        <v>200484000</v>
      </c>
      <c r="AW88" s="10"/>
      <c r="AX88" s="10">
        <v>61217000</v>
      </c>
      <c r="AY88" s="10">
        <v>-27877000</v>
      </c>
      <c r="AZ88" s="10">
        <v>-7526790</v>
      </c>
      <c r="BA88" s="10">
        <v>15368000</v>
      </c>
      <c r="BB88" s="10">
        <v>0.27</v>
      </c>
      <c r="BC88" s="41"/>
      <c r="BD88" s="10">
        <v>326326000</v>
      </c>
      <c r="BE88" s="10">
        <v>71206000</v>
      </c>
      <c r="BF88" s="10">
        <v>425409000</v>
      </c>
      <c r="BG88" s="10">
        <v>-27877000</v>
      </c>
      <c r="BH88" s="10">
        <v>-27877000</v>
      </c>
      <c r="BI88" s="10"/>
      <c r="BJ88" s="10"/>
      <c r="BK88" s="41"/>
      <c r="BL88" s="10"/>
      <c r="BM88" s="10">
        <v>13228000</v>
      </c>
      <c r="BN88" s="41"/>
      <c r="BO88" s="10"/>
      <c r="BP88" s="41">
        <v>2021</v>
      </c>
      <c r="BQ88" s="10"/>
      <c r="BR88" s="10"/>
      <c r="BS88" s="10"/>
      <c r="BT88" s="10"/>
      <c r="BU88" s="10">
        <v>14649000</v>
      </c>
      <c r="BV88" s="10"/>
      <c r="BW88" s="10"/>
      <c r="BX88" s="10"/>
      <c r="BY88" s="10"/>
      <c r="BZ88" s="10"/>
      <c r="CA88" s="156" t="s">
        <v>666</v>
      </c>
    </row>
    <row r="89" spans="1:79" hidden="1" x14ac:dyDescent="0.35">
      <c r="A89" s="156" t="s">
        <v>665</v>
      </c>
      <c r="B89" s="22">
        <v>44926</v>
      </c>
      <c r="C89">
        <v>2022</v>
      </c>
      <c r="D89" s="156" t="s">
        <v>212</v>
      </c>
      <c r="E89" s="156" t="s">
        <v>213</v>
      </c>
      <c r="F89" s="10"/>
      <c r="G89" s="10">
        <v>30106000</v>
      </c>
      <c r="H89" s="157">
        <v>3.11</v>
      </c>
      <c r="I89" s="10">
        <v>71419000</v>
      </c>
      <c r="J89" s="10"/>
      <c r="K89" s="10"/>
      <c r="L89" s="10">
        <v>30485000</v>
      </c>
      <c r="M89" s="10">
        <v>3.07</v>
      </c>
      <c r="N89" s="10">
        <v>93693000</v>
      </c>
      <c r="O89" s="10">
        <v>147059000</v>
      </c>
      <c r="P89" s="10">
        <v>225630000</v>
      </c>
      <c r="Q89" s="10"/>
      <c r="R89" s="10"/>
      <c r="S89" s="10"/>
      <c r="T89" s="10">
        <v>47377000</v>
      </c>
      <c r="U89" s="10">
        <v>386375000</v>
      </c>
      <c r="V89" s="10">
        <v>29496000</v>
      </c>
      <c r="W89" s="10">
        <v>29496000</v>
      </c>
      <c r="X89" s="10">
        <v>14452000</v>
      </c>
      <c r="Y89" s="10">
        <v>14452000</v>
      </c>
      <c r="Z89" s="10">
        <v>1632000</v>
      </c>
      <c r="AA89" s="10">
        <v>93693000</v>
      </c>
      <c r="AB89" s="10">
        <v>93693000</v>
      </c>
      <c r="AC89" s="10">
        <v>92061000</v>
      </c>
      <c r="AD89" s="10">
        <v>93693000</v>
      </c>
      <c r="AE89" s="10">
        <v>93693000</v>
      </c>
      <c r="AF89" s="10">
        <v>92061000</v>
      </c>
      <c r="AG89" s="10">
        <v>-15044000</v>
      </c>
      <c r="AH89" s="10">
        <v>-15044000</v>
      </c>
      <c r="AI89" s="10">
        <v>240100000</v>
      </c>
      <c r="AJ89" s="10">
        <v>105023010</v>
      </c>
      <c r="AK89" s="10">
        <v>232579000</v>
      </c>
      <c r="AL89" s="10">
        <v>153796000</v>
      </c>
      <c r="AM89" s="10">
        <v>456687000</v>
      </c>
      <c r="AN89" s="10">
        <v>47377000</v>
      </c>
      <c r="AO89" s="10">
        <v>-21189000</v>
      </c>
      <c r="AP89" s="10">
        <v>-6719000</v>
      </c>
      <c r="AQ89" s="10"/>
      <c r="AR89" s="10"/>
      <c r="AS89" s="10">
        <v>117563000</v>
      </c>
      <c r="AT89" s="10">
        <v>71419000</v>
      </c>
      <c r="AU89" s="10">
        <v>78571000</v>
      </c>
      <c r="AV89" s="10">
        <v>185202000</v>
      </c>
      <c r="AW89" s="10"/>
      <c r="AX89" s="10">
        <v>47377000</v>
      </c>
      <c r="AY89" s="10">
        <v>-14470000</v>
      </c>
      <c r="AZ89" s="10">
        <v>-3139990</v>
      </c>
      <c r="BA89" s="10">
        <v>25502000</v>
      </c>
      <c r="BB89" s="10">
        <v>0.217</v>
      </c>
      <c r="BC89" s="41"/>
      <c r="BD89" s="10">
        <v>303998000</v>
      </c>
      <c r="BE89" s="10">
        <v>150516000</v>
      </c>
      <c r="BF89" s="10">
        <v>457794000</v>
      </c>
      <c r="BG89" s="10">
        <v>-14470000</v>
      </c>
      <c r="BH89" s="10">
        <v>-14470000</v>
      </c>
      <c r="BI89" s="10"/>
      <c r="BJ89" s="10"/>
      <c r="BK89" s="41"/>
      <c r="BL89" s="10"/>
      <c r="BM89" s="10">
        <v>2427000</v>
      </c>
      <c r="BN89" s="41"/>
      <c r="BO89" s="10"/>
      <c r="BP89" s="41">
        <v>2022</v>
      </c>
      <c r="BQ89" s="10"/>
      <c r="BR89" s="10"/>
      <c r="BS89" s="10">
        <v>11190000</v>
      </c>
      <c r="BT89" s="10"/>
      <c r="BU89" s="10">
        <v>853000</v>
      </c>
      <c r="BV89" s="10"/>
      <c r="BW89" s="10"/>
      <c r="BX89" s="10"/>
      <c r="BY89" s="10"/>
      <c r="BZ89" s="10"/>
      <c r="CA89" s="156" t="s">
        <v>666</v>
      </c>
    </row>
    <row r="90" spans="1:79" hidden="1" x14ac:dyDescent="0.35">
      <c r="A90" s="156" t="s">
        <v>665</v>
      </c>
      <c r="B90" s="22">
        <v>45199</v>
      </c>
      <c r="C90">
        <v>2023</v>
      </c>
      <c r="D90" s="156" t="s">
        <v>214</v>
      </c>
      <c r="E90" s="156" t="s">
        <v>213</v>
      </c>
      <c r="F90" s="10"/>
      <c r="G90" s="10">
        <v>27859000</v>
      </c>
      <c r="H90" s="157">
        <v>7.5</v>
      </c>
      <c r="I90" s="10"/>
      <c r="J90" s="10"/>
      <c r="K90" s="10"/>
      <c r="L90" s="10">
        <v>28702250</v>
      </c>
      <c r="M90" s="10">
        <v>7.26</v>
      </c>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41"/>
      <c r="BD90" s="10"/>
      <c r="BE90" s="10"/>
      <c r="BF90" s="10"/>
      <c r="BG90" s="10"/>
      <c r="BH90" s="10"/>
      <c r="BI90" s="10"/>
      <c r="BJ90" s="10"/>
      <c r="BK90" s="41"/>
      <c r="BL90" s="10"/>
      <c r="BM90" s="10"/>
      <c r="BN90" s="41"/>
      <c r="BO90" s="10"/>
      <c r="BP90" s="41">
        <v>2023</v>
      </c>
      <c r="BQ90" s="10"/>
      <c r="BR90" s="10"/>
      <c r="BS90" s="10"/>
      <c r="BT90" s="10"/>
      <c r="BU90" s="10"/>
      <c r="BV90" s="10"/>
      <c r="BW90" s="10"/>
      <c r="BX90" s="10"/>
      <c r="BY90" s="10"/>
      <c r="BZ90" s="10"/>
      <c r="CA90" s="156" t="s">
        <v>666</v>
      </c>
    </row>
    <row r="91" spans="1:79" hidden="1" x14ac:dyDescent="0.35">
      <c r="A91" s="156" t="s">
        <v>665</v>
      </c>
      <c r="B91" s="22">
        <v>45291</v>
      </c>
      <c r="C91">
        <v>2023</v>
      </c>
      <c r="D91" s="156" t="s">
        <v>212</v>
      </c>
      <c r="E91" s="156" t="s">
        <v>213</v>
      </c>
      <c r="F91" s="10"/>
      <c r="G91" s="10">
        <v>26860000</v>
      </c>
      <c r="H91" s="157">
        <v>7.97</v>
      </c>
      <c r="I91" s="10">
        <v>79397000</v>
      </c>
      <c r="J91" s="10"/>
      <c r="K91" s="10"/>
      <c r="L91" s="10">
        <v>28102000</v>
      </c>
      <c r="M91" s="10">
        <v>7.62</v>
      </c>
      <c r="N91" s="10">
        <v>214069000</v>
      </c>
      <c r="O91" s="10">
        <v>279427000</v>
      </c>
      <c r="P91" s="10">
        <v>357219000</v>
      </c>
      <c r="Q91" s="10"/>
      <c r="R91" s="10"/>
      <c r="S91" s="10"/>
      <c r="T91" s="10">
        <v>53291000</v>
      </c>
      <c r="U91" s="10">
        <v>470191000</v>
      </c>
      <c r="V91" s="10">
        <v>44817000</v>
      </c>
      <c r="W91" s="10">
        <v>44817000</v>
      </c>
      <c r="X91" s="10">
        <v>46628000</v>
      </c>
      <c r="Y91" s="10">
        <v>46628000</v>
      </c>
      <c r="Z91" s="10">
        <v>3016000</v>
      </c>
      <c r="AA91" s="10">
        <v>214069000</v>
      </c>
      <c r="AB91" s="10">
        <v>214069000</v>
      </c>
      <c r="AC91" s="10">
        <v>211053000</v>
      </c>
      <c r="AD91" s="10">
        <v>214069000</v>
      </c>
      <c r="AE91" s="10">
        <v>214069000</v>
      </c>
      <c r="AF91" s="10">
        <v>211053000</v>
      </c>
      <c r="AG91" s="10">
        <v>1811000</v>
      </c>
      <c r="AH91" s="10">
        <v>1811000</v>
      </c>
      <c r="AI91" s="10">
        <v>357219000</v>
      </c>
      <c r="AJ91" s="10">
        <v>214069000</v>
      </c>
      <c r="AK91" s="10">
        <v>248576000</v>
      </c>
      <c r="AL91" s="10">
        <v>221615000</v>
      </c>
      <c r="AM91" s="10">
        <v>548178000</v>
      </c>
      <c r="AN91" s="10">
        <v>53291000</v>
      </c>
      <c r="AO91" s="10">
        <v>11184000</v>
      </c>
      <c r="AP91" s="10">
        <v>11184000</v>
      </c>
      <c r="AQ91" s="10"/>
      <c r="AR91" s="10"/>
      <c r="AS91" s="10">
        <v>234610000</v>
      </c>
      <c r="AT91" s="10">
        <v>79397000</v>
      </c>
      <c r="AU91" s="10">
        <v>77792000</v>
      </c>
      <c r="AV91" s="10">
        <v>195285000</v>
      </c>
      <c r="AW91" s="10"/>
      <c r="AX91" s="10">
        <v>53291000</v>
      </c>
      <c r="AY91" s="10">
        <v>0</v>
      </c>
      <c r="AZ91" s="10">
        <v>0</v>
      </c>
      <c r="BA91" s="10">
        <v>23557000</v>
      </c>
      <c r="BB91" s="10">
        <v>0.1</v>
      </c>
      <c r="BC91" s="41"/>
      <c r="BD91" s="10">
        <v>327973000</v>
      </c>
      <c r="BE91" s="10">
        <v>221615000</v>
      </c>
      <c r="BF91" s="10">
        <v>549588000</v>
      </c>
      <c r="BG91" s="10">
        <v>0</v>
      </c>
      <c r="BH91" s="10">
        <v>0</v>
      </c>
      <c r="BI91" s="10"/>
      <c r="BJ91" s="10"/>
      <c r="BK91" s="41"/>
      <c r="BL91" s="10"/>
      <c r="BM91" s="10">
        <v>0</v>
      </c>
      <c r="BN91" s="41"/>
      <c r="BO91" s="10"/>
      <c r="BP91" s="41">
        <v>2023</v>
      </c>
      <c r="BQ91" s="10"/>
      <c r="BR91" s="10"/>
      <c r="BS91" s="10"/>
      <c r="BT91" s="10"/>
      <c r="BU91" s="10">
        <v>0</v>
      </c>
      <c r="BV91" s="10"/>
      <c r="BW91" s="10"/>
      <c r="BX91" s="10"/>
      <c r="BY91" s="10"/>
      <c r="BZ91" s="10"/>
      <c r="CA91" s="156" t="s">
        <v>666</v>
      </c>
    </row>
    <row r="92" spans="1:79" hidden="1" x14ac:dyDescent="0.35">
      <c r="A92" s="156" t="s">
        <v>665</v>
      </c>
      <c r="B92" s="22">
        <v>45382</v>
      </c>
      <c r="C92">
        <v>2024</v>
      </c>
      <c r="D92" s="156" t="s">
        <v>214</v>
      </c>
      <c r="E92" s="156" t="s">
        <v>213</v>
      </c>
      <c r="F92" s="10"/>
      <c r="G92" s="10">
        <v>26042500</v>
      </c>
      <c r="H92" s="157">
        <v>7.51</v>
      </c>
      <c r="I92" s="10"/>
      <c r="J92" s="10"/>
      <c r="K92" s="10"/>
      <c r="L92" s="10">
        <v>27844250</v>
      </c>
      <c r="M92" s="10">
        <v>6.92</v>
      </c>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41"/>
      <c r="BD92" s="10"/>
      <c r="BE92" s="10"/>
      <c r="BF92" s="10"/>
      <c r="BG92" s="10"/>
      <c r="BH92" s="10"/>
      <c r="BI92" s="10"/>
      <c r="BJ92" s="10"/>
      <c r="BK92" s="41"/>
      <c r="BL92" s="10"/>
      <c r="BM92" s="10"/>
      <c r="BN92" s="41"/>
      <c r="BO92" s="10"/>
      <c r="BP92" s="41">
        <v>2024</v>
      </c>
      <c r="BQ92" s="10"/>
      <c r="BR92" s="10"/>
      <c r="BS92" s="10"/>
      <c r="BT92" s="10"/>
      <c r="BU92" s="10"/>
      <c r="BV92" s="10"/>
      <c r="BW92" s="10"/>
      <c r="BX92" s="10"/>
      <c r="BY92" s="10"/>
      <c r="BZ92" s="10"/>
      <c r="CA92" s="156" t="s">
        <v>666</v>
      </c>
    </row>
    <row r="93" spans="1:79" hidden="1" x14ac:dyDescent="0.35">
      <c r="A93" s="156" t="s">
        <v>665</v>
      </c>
      <c r="B93" s="22">
        <v>45473</v>
      </c>
      <c r="C93">
        <v>2024</v>
      </c>
      <c r="D93" s="156" t="s">
        <v>214</v>
      </c>
      <c r="E93" s="156" t="s">
        <v>213</v>
      </c>
      <c r="F93" s="10"/>
      <c r="G93" s="10"/>
      <c r="H93" s="157"/>
      <c r="I93" s="10">
        <v>163130000</v>
      </c>
      <c r="J93" s="10"/>
      <c r="K93" s="10"/>
      <c r="L93" s="10"/>
      <c r="M93" s="10"/>
      <c r="N93" s="10">
        <v>278343000</v>
      </c>
      <c r="O93" s="10">
        <v>367785000</v>
      </c>
      <c r="P93" s="10">
        <v>441022000</v>
      </c>
      <c r="Q93" s="10"/>
      <c r="R93" s="10"/>
      <c r="S93" s="10"/>
      <c r="T93" s="10">
        <v>57409000</v>
      </c>
      <c r="U93" s="10">
        <v>569529000</v>
      </c>
      <c r="V93" s="10">
        <v>43994000</v>
      </c>
      <c r="W93" s="10">
        <v>43994000</v>
      </c>
      <c r="X93" s="10">
        <v>46597000</v>
      </c>
      <c r="Y93" s="10">
        <v>46597000</v>
      </c>
      <c r="Z93" s="10">
        <v>787000</v>
      </c>
      <c r="AA93" s="10">
        <v>278343000</v>
      </c>
      <c r="AB93" s="10">
        <v>278343000</v>
      </c>
      <c r="AC93" s="10">
        <v>277556000</v>
      </c>
      <c r="AD93" s="10">
        <v>278343000</v>
      </c>
      <c r="AE93" s="10">
        <v>278343000</v>
      </c>
      <c r="AF93" s="10">
        <v>277556000</v>
      </c>
      <c r="AG93" s="10">
        <v>2603000</v>
      </c>
      <c r="AH93" s="10">
        <v>2603000</v>
      </c>
      <c r="AI93" s="10">
        <v>441022000</v>
      </c>
      <c r="AJ93" s="10">
        <v>278343000</v>
      </c>
      <c r="AK93" s="10">
        <v>252907000</v>
      </c>
      <c r="AL93" s="10">
        <v>316622000</v>
      </c>
      <c r="AM93" s="10">
        <v>731249000</v>
      </c>
      <c r="AN93" s="10">
        <v>57409000</v>
      </c>
      <c r="AO93" s="10">
        <v>4566000</v>
      </c>
      <c r="AP93" s="10">
        <v>4566000</v>
      </c>
      <c r="AQ93" s="10"/>
      <c r="AR93" s="10"/>
      <c r="AS93" s="10">
        <v>323791000</v>
      </c>
      <c r="AT93" s="10">
        <v>163130000</v>
      </c>
      <c r="AU93" s="10">
        <v>73237000</v>
      </c>
      <c r="AV93" s="10">
        <v>195498000</v>
      </c>
      <c r="AW93" s="10"/>
      <c r="AX93" s="10">
        <v>57409000</v>
      </c>
      <c r="AY93" s="10"/>
      <c r="AZ93" s="10">
        <v>0</v>
      </c>
      <c r="BA93" s="10">
        <v>46235000</v>
      </c>
      <c r="BB93" s="10">
        <v>0.142793</v>
      </c>
      <c r="BC93" s="41"/>
      <c r="BD93" s="10">
        <v>416037000</v>
      </c>
      <c r="BE93" s="10">
        <v>316622000</v>
      </c>
      <c r="BF93" s="10">
        <v>732659000</v>
      </c>
      <c r="BG93" s="10">
        <v>0</v>
      </c>
      <c r="BH93" s="10">
        <v>0</v>
      </c>
      <c r="BI93" s="10"/>
      <c r="BJ93" s="10"/>
      <c r="BK93" s="41"/>
      <c r="BL93" s="10"/>
      <c r="BM93" s="10"/>
      <c r="BN93" s="41"/>
      <c r="BO93" s="10"/>
      <c r="BP93" s="41">
        <v>2024</v>
      </c>
      <c r="BQ93" s="10"/>
      <c r="BR93" s="10"/>
      <c r="BS93" s="10"/>
      <c r="BT93" s="10"/>
      <c r="BU93" s="10"/>
      <c r="BV93" s="10"/>
      <c r="BW93" s="10"/>
      <c r="BX93" s="10"/>
      <c r="BY93" s="10"/>
      <c r="BZ93" s="10"/>
      <c r="CA93" s="156" t="s">
        <v>666</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34D6-7A27-41A5-855B-EE21BCCCE347}">
  <sheetPr>
    <tabColor theme="7" tint="0.79998168889431442"/>
  </sheetPr>
  <dimension ref="A1:EC53"/>
  <sheetViews>
    <sheetView showGridLines="0" zoomScaleNormal="100" workbookViewId="0">
      <selection activeCell="F1" sqref="F1"/>
    </sheetView>
  </sheetViews>
  <sheetFormatPr defaultRowHeight="14.5" x14ac:dyDescent="0.35"/>
  <cols>
    <col min="1" max="1" width="14" bestFit="1" customWidth="1"/>
    <col min="2" max="2" width="11" bestFit="1" customWidth="1"/>
    <col min="3" max="3" width="7.08984375" bestFit="1" customWidth="1"/>
    <col min="4" max="4" width="12.90625" bestFit="1" customWidth="1"/>
    <col min="5" max="5" width="15" bestFit="1" customWidth="1"/>
    <col min="6" max="6" width="19.1796875" style="10" bestFit="1" customWidth="1"/>
    <col min="7" max="7" width="21.81640625" style="10" bestFit="1" customWidth="1"/>
    <col min="8" max="8" width="27.08984375" style="10" bestFit="1" customWidth="1"/>
    <col min="9" max="9" width="25.08984375" style="10" bestFit="1" customWidth="1"/>
    <col min="10" max="10" width="41.54296875" style="10" bestFit="1" customWidth="1"/>
    <col min="11" max="11" width="27.26953125" style="10" bestFit="1" customWidth="1"/>
    <col min="12" max="12" width="27.6328125" style="10" bestFit="1" customWidth="1"/>
    <col min="13" max="13" width="28.7265625" style="10" bestFit="1" customWidth="1"/>
    <col min="14" max="14" width="25.36328125" style="10" bestFit="1" customWidth="1"/>
    <col min="15" max="15" width="15.08984375" style="10" bestFit="1" customWidth="1"/>
    <col min="16" max="16" width="26.1796875" style="10" bestFit="1" customWidth="1"/>
    <col min="17" max="17" width="46.1796875" style="10" bestFit="1" customWidth="1"/>
    <col min="18" max="18" width="16.90625" style="10" bestFit="1" customWidth="1"/>
    <col min="19" max="19" width="22.36328125" style="10" bestFit="1" customWidth="1"/>
    <col min="20" max="20" width="24.6328125" style="10" bestFit="1" customWidth="1"/>
    <col min="21" max="21" width="26.1796875" style="10" bestFit="1" customWidth="1"/>
    <col min="22" max="22" width="16.6328125" style="10" bestFit="1" customWidth="1"/>
    <col min="23" max="23" width="31.1796875" style="10" bestFit="1" customWidth="1"/>
    <col min="24" max="24" width="15.26953125" style="10" bestFit="1" customWidth="1"/>
    <col min="25" max="25" width="39" style="10" bestFit="1" customWidth="1"/>
    <col min="26" max="26" width="19.453125" style="10" bestFit="1" customWidth="1"/>
    <col min="27" max="27" width="20" style="10" bestFit="1" customWidth="1"/>
    <col min="28" max="28" width="41.453125" style="10" bestFit="1" customWidth="1"/>
    <col min="29" max="29" width="12.36328125" style="10" bestFit="1" customWidth="1"/>
    <col min="30" max="30" width="33" style="10" hidden="1" customWidth="1"/>
    <col min="31" max="31" width="24.6328125" style="10" hidden="1" customWidth="1"/>
    <col min="32" max="32" width="18.1796875" style="10" hidden="1" customWidth="1"/>
    <col min="33" max="33" width="26.81640625" style="10" bestFit="1" customWidth="1"/>
    <col min="34" max="34" width="20.7265625" style="10" bestFit="1" customWidth="1"/>
    <col min="35" max="35" width="18.08984375" style="10" bestFit="1" customWidth="1"/>
    <col min="36" max="36" width="18.1796875" style="10" hidden="1" customWidth="1"/>
    <col min="37" max="37" width="27.1796875" style="10" hidden="1" customWidth="1"/>
    <col min="38" max="38" width="27.08984375" style="10" bestFit="1" customWidth="1"/>
    <col min="39" max="39" width="24.81640625" style="10" bestFit="1" customWidth="1"/>
    <col min="40" max="40" width="11" style="10" bestFit="1" customWidth="1"/>
    <col min="41" max="41" width="33.08984375" style="10" bestFit="1" customWidth="1"/>
    <col min="42" max="42" width="17.1796875" style="10" bestFit="1" customWidth="1"/>
    <col min="43" max="43" width="40.90625" style="10" bestFit="1" customWidth="1"/>
    <col min="44" max="44" width="28.453125" style="10" bestFit="1" customWidth="1"/>
    <col min="45" max="45" width="21.90625" style="10" bestFit="1" customWidth="1"/>
    <col min="46" max="46" width="31.453125" style="10" bestFit="1" customWidth="1"/>
    <col min="47" max="47" width="18.90625" style="10" bestFit="1" customWidth="1"/>
    <col min="48" max="48" width="13.6328125" style="10" bestFit="1" customWidth="1"/>
    <col min="49" max="49" width="12" style="10" bestFit="1" customWidth="1"/>
    <col min="50" max="50" width="20.7265625" style="10" bestFit="1" customWidth="1"/>
    <col min="51" max="51" width="31.08984375" style="10" bestFit="1" customWidth="1"/>
    <col min="52" max="52" width="36" style="10" bestFit="1" customWidth="1"/>
    <col min="53" max="53" width="29.453125" style="10" bestFit="1" customWidth="1"/>
    <col min="54" max="54" width="24.90625" style="10" bestFit="1" customWidth="1"/>
    <col min="55" max="55" width="21.6328125" style="10" bestFit="1" customWidth="1"/>
    <col min="56" max="56" width="25.90625" style="10" bestFit="1" customWidth="1"/>
    <col min="57" max="57" width="24.54296875" style="10" bestFit="1" customWidth="1"/>
    <col min="58" max="58" width="26" style="10" bestFit="1" customWidth="1"/>
    <col min="59" max="59" width="24" style="10" bestFit="1" customWidth="1"/>
    <col min="60" max="60" width="25.36328125" style="10" bestFit="1" customWidth="1"/>
    <col min="61" max="61" width="28.1796875" style="10" bestFit="1" customWidth="1"/>
    <col min="62" max="62" width="16.36328125" style="10" bestFit="1" customWidth="1"/>
    <col min="63" max="63" width="18.54296875" style="10" bestFit="1" customWidth="1"/>
    <col min="64" max="64" width="19.90625" style="10" bestFit="1" customWidth="1"/>
    <col min="65" max="65" width="29.453125" style="10" bestFit="1" customWidth="1"/>
    <col min="66" max="66" width="12.08984375" style="10" bestFit="1" customWidth="1"/>
    <col min="67" max="67" width="30.90625" style="10" bestFit="1" customWidth="1"/>
    <col min="68" max="68" width="51.36328125" style="10" bestFit="1" customWidth="1"/>
    <col min="69" max="69" width="38.54296875" style="10" bestFit="1" customWidth="1"/>
    <col min="70" max="70" width="16.7265625" style="10" bestFit="1" customWidth="1"/>
    <col min="71" max="71" width="13.453125" style="10" bestFit="1" customWidth="1"/>
    <col min="72" max="72" width="14.81640625" style="10" bestFit="1" customWidth="1"/>
    <col min="73" max="73" width="17.26953125" style="10" bestFit="1" customWidth="1"/>
    <col min="74" max="74" width="19.6328125" style="10" bestFit="1" customWidth="1"/>
    <col min="75" max="75" width="15" style="10" bestFit="1" customWidth="1"/>
    <col min="76" max="76" width="21.08984375" style="10" bestFit="1" customWidth="1"/>
    <col min="77" max="77" width="21.26953125" style="10" bestFit="1" customWidth="1"/>
    <col min="78" max="78" width="14.26953125" style="10" bestFit="1" customWidth="1"/>
    <col min="79" max="79" width="20.7265625" style="10" bestFit="1" customWidth="1"/>
    <col min="80" max="80" width="13.6328125" style="10" bestFit="1" customWidth="1"/>
    <col min="81" max="81" width="33.6328125" style="10" bestFit="1" customWidth="1"/>
    <col min="82" max="82" width="35" style="10" bestFit="1" customWidth="1"/>
    <col min="83" max="83" width="24.6328125" style="10" bestFit="1" customWidth="1"/>
    <col min="84" max="84" width="45.26953125" style="10" bestFit="1" customWidth="1"/>
    <col min="85" max="85" width="18.54296875" style="10" bestFit="1" customWidth="1"/>
    <col min="86" max="86" width="35.7265625" style="10" bestFit="1" customWidth="1"/>
    <col min="87" max="87" width="17.81640625" style="10" bestFit="1" customWidth="1"/>
    <col min="88" max="88" width="27.36328125" style="10" bestFit="1" customWidth="1"/>
    <col min="89" max="89" width="26.7265625" style="10" bestFit="1" customWidth="1"/>
    <col min="90" max="90" width="20.453125" style="10" bestFit="1" customWidth="1"/>
    <col min="91" max="91" width="17.453125" style="10" bestFit="1" customWidth="1"/>
    <col min="92" max="92" width="12.81640625" style="10" bestFit="1" customWidth="1"/>
    <col min="93" max="93" width="22.08984375" style="10" bestFit="1" customWidth="1"/>
    <col min="94" max="94" width="28.1796875" style="10" bestFit="1" customWidth="1"/>
    <col min="95" max="95" width="33.08984375" style="10" bestFit="1" customWidth="1"/>
    <col min="96" max="96" width="54.90625" style="10" bestFit="1" customWidth="1"/>
    <col min="97" max="97" width="16.36328125" style="10" bestFit="1" customWidth="1"/>
    <col min="98" max="98" width="21.54296875" style="10" bestFit="1" customWidth="1"/>
    <col min="99" max="99" width="17.453125" style="10" bestFit="1" customWidth="1"/>
    <col min="100" max="100" width="18.54296875" style="10" bestFit="1" customWidth="1"/>
    <col min="101" max="101" width="30.08984375" style="10" bestFit="1" customWidth="1"/>
    <col min="102" max="102" width="16.1796875" style="10" bestFit="1" customWidth="1"/>
    <col min="103" max="103" width="33.81640625" style="10" bestFit="1" customWidth="1"/>
    <col min="104" max="104" width="23.81640625" style="10" bestFit="1" customWidth="1"/>
    <col min="105" max="105" width="30.26953125" style="10" bestFit="1" customWidth="1"/>
    <col min="106" max="106" width="19.90625" style="10" bestFit="1" customWidth="1"/>
    <col min="107" max="107" width="23.1796875" style="10" bestFit="1" customWidth="1"/>
    <col min="108" max="108" width="10.90625" style="10" bestFit="1" customWidth="1"/>
    <col min="109" max="109" width="20" style="10" bestFit="1" customWidth="1"/>
    <col min="110" max="110" width="39.6328125" style="10" bestFit="1" customWidth="1"/>
    <col min="111" max="111" width="31.6328125" style="10" bestFit="1" customWidth="1"/>
    <col min="112" max="112" width="15.54296875" style="10" bestFit="1" customWidth="1"/>
    <col min="113" max="113" width="28.453125" style="10" bestFit="1" customWidth="1"/>
    <col min="114" max="114" width="25.7265625" style="10" bestFit="1" customWidth="1"/>
    <col min="115" max="115" width="17.453125" style="10" bestFit="1" customWidth="1"/>
    <col min="116" max="116" width="24.81640625" style="10" bestFit="1" customWidth="1"/>
    <col min="117" max="117" width="16.453125" style="10" bestFit="1" customWidth="1"/>
    <col min="118" max="118" width="21.6328125" style="10" bestFit="1" customWidth="1"/>
    <col min="119" max="119" width="24.90625" style="10" bestFit="1" customWidth="1"/>
    <col min="120" max="120" width="32.1796875" style="10" bestFit="1" customWidth="1"/>
    <col min="121" max="121" width="19.453125" style="10" bestFit="1" customWidth="1"/>
    <col min="122" max="122" width="20.26953125" style="10" bestFit="1" customWidth="1"/>
    <col min="123" max="123" width="18.90625" style="10" bestFit="1" customWidth="1"/>
    <col min="124" max="124" width="24.54296875" style="10" bestFit="1" customWidth="1"/>
    <col min="125" max="125" width="28.6328125" style="10" bestFit="1" customWidth="1"/>
    <col min="126" max="126" width="17.7265625" style="10" bestFit="1" customWidth="1"/>
    <col min="127" max="127" width="48.08984375" style="10" bestFit="1" customWidth="1"/>
    <col min="128" max="128" width="33.36328125" bestFit="1" customWidth="1"/>
    <col min="129" max="129" width="29.81640625" bestFit="1" customWidth="1"/>
    <col min="130" max="130" width="27.08984375" bestFit="1" customWidth="1"/>
    <col min="131" max="131" width="21.81640625" bestFit="1" customWidth="1"/>
    <col min="132" max="132" width="35.54296875" bestFit="1" customWidth="1"/>
    <col min="133" max="133" width="8.26953125" bestFit="1" customWidth="1"/>
    <col min="134" max="134" width="34.36328125" bestFit="1" customWidth="1"/>
    <col min="135" max="135" width="8.08984375" bestFit="1" customWidth="1"/>
    <col min="136" max="136" width="26.36328125" bestFit="1" customWidth="1"/>
    <col min="137" max="137" width="21.36328125" bestFit="1" customWidth="1"/>
    <col min="138" max="138" width="34.36328125" bestFit="1" customWidth="1"/>
    <col min="139" max="139" width="8.08984375" bestFit="1" customWidth="1"/>
    <col min="140" max="140" width="34.36328125" bestFit="1" customWidth="1"/>
    <col min="141" max="141" width="8.08984375" bestFit="1" customWidth="1"/>
    <col min="142" max="142" width="35.54296875" bestFit="1" customWidth="1"/>
    <col min="143" max="143" width="8.26953125" bestFit="1" customWidth="1"/>
    <col min="144" max="144" width="8.08984375" bestFit="1" customWidth="1"/>
    <col min="145" max="145" width="32.08984375" bestFit="1" customWidth="1"/>
    <col min="146" max="146" width="29.08984375" bestFit="1" customWidth="1"/>
    <col min="147" max="147" width="26.36328125" bestFit="1" customWidth="1"/>
    <col min="148" max="148" width="21.36328125" bestFit="1" customWidth="1"/>
    <col min="149" max="149" width="34.36328125" bestFit="1" customWidth="1"/>
    <col min="150" max="150" width="8.08984375" customWidth="1"/>
    <col min="151" max="151" width="26.36328125" bestFit="1" customWidth="1"/>
    <col min="152" max="152" width="21.36328125" customWidth="1"/>
    <col min="153" max="153" width="34.36328125" bestFit="1" customWidth="1"/>
    <col min="154" max="154" width="8.08984375" bestFit="1" customWidth="1"/>
    <col min="155" max="155" width="34.36328125" bestFit="1" customWidth="1"/>
    <col min="156" max="156" width="8.08984375" bestFit="1" customWidth="1"/>
    <col min="157" max="157" width="26.36328125" bestFit="1" customWidth="1"/>
    <col min="158" max="158" width="21.36328125" bestFit="1" customWidth="1"/>
    <col min="159" max="159" width="34.36328125" bestFit="1" customWidth="1"/>
    <col min="160" max="160" width="8.08984375" customWidth="1"/>
    <col min="161" max="161" width="26.36328125" bestFit="1" customWidth="1"/>
    <col min="162" max="162" width="21.36328125" bestFit="1" customWidth="1"/>
    <col min="163" max="163" width="34.36328125" bestFit="1" customWidth="1"/>
    <col min="164" max="164" width="8.08984375" bestFit="1" customWidth="1"/>
    <col min="165" max="165" width="26.36328125" bestFit="1" customWidth="1"/>
    <col min="166" max="166" width="21.36328125" bestFit="1" customWidth="1"/>
    <col min="167" max="167" width="34.36328125" customWidth="1"/>
    <col min="168" max="169" width="8.08984375" bestFit="1" customWidth="1"/>
    <col min="170" max="170" width="21.36328125" bestFit="1" customWidth="1"/>
    <col min="171" max="171" width="34.36328125" bestFit="1" customWidth="1"/>
    <col min="172" max="172" width="8.08984375" bestFit="1" customWidth="1"/>
    <col min="173" max="173" width="21.36328125" bestFit="1" customWidth="1"/>
    <col min="174" max="174" width="34.36328125" bestFit="1" customWidth="1"/>
    <col min="175" max="175" width="8.08984375" bestFit="1" customWidth="1"/>
    <col min="176" max="176" width="21.36328125" customWidth="1"/>
    <col min="177" max="177" width="34.36328125" bestFit="1" customWidth="1"/>
    <col min="178" max="178" width="8.08984375" bestFit="1" customWidth="1"/>
    <col min="179" max="179" width="34.36328125" bestFit="1" customWidth="1"/>
    <col min="180" max="180" width="8.08984375" bestFit="1" customWidth="1"/>
    <col min="181" max="181" width="26.36328125" bestFit="1" customWidth="1"/>
    <col min="182" max="182" width="21.36328125" bestFit="1" customWidth="1"/>
    <col min="183" max="183" width="34.36328125" bestFit="1" customWidth="1"/>
    <col min="184" max="184" width="8.08984375" bestFit="1" customWidth="1"/>
    <col min="185" max="185" width="35.54296875" bestFit="1" customWidth="1"/>
    <col min="186" max="186" width="8.26953125" bestFit="1" customWidth="1"/>
    <col min="187" max="187" width="35.54296875" bestFit="1" customWidth="1"/>
    <col min="188" max="188" width="8.26953125" customWidth="1"/>
  </cols>
  <sheetData>
    <row r="1" spans="1:133" x14ac:dyDescent="0.35">
      <c r="A1" t="s">
        <v>139</v>
      </c>
      <c r="B1" t="s">
        <v>140</v>
      </c>
      <c r="C1" t="s">
        <v>474</v>
      </c>
      <c r="D1" t="s">
        <v>141</v>
      </c>
      <c r="E1" t="s">
        <v>142</v>
      </c>
      <c r="F1" s="10" t="s">
        <v>215</v>
      </c>
      <c r="G1" s="10" t="s">
        <v>216</v>
      </c>
      <c r="H1" s="10" t="s">
        <v>217</v>
      </c>
      <c r="I1" s="10" t="s">
        <v>218</v>
      </c>
      <c r="J1" s="10" t="s">
        <v>219</v>
      </c>
      <c r="K1" s="10" t="s">
        <v>220</v>
      </c>
      <c r="L1" s="10" t="s">
        <v>221</v>
      </c>
      <c r="M1" s="65" t="s">
        <v>222</v>
      </c>
      <c r="N1" s="10" t="s">
        <v>223</v>
      </c>
      <c r="O1" s="65" t="s">
        <v>224</v>
      </c>
      <c r="P1" s="10" t="s">
        <v>225</v>
      </c>
      <c r="Q1" s="65" t="s">
        <v>226</v>
      </c>
      <c r="R1" s="10" t="s">
        <v>227</v>
      </c>
      <c r="S1" s="65" t="s">
        <v>228</v>
      </c>
      <c r="T1" s="65" t="s">
        <v>229</v>
      </c>
      <c r="U1" s="10" t="s">
        <v>230</v>
      </c>
      <c r="V1" s="10" t="s">
        <v>231</v>
      </c>
      <c r="W1" s="10" t="s">
        <v>232</v>
      </c>
      <c r="X1" s="10" t="s">
        <v>233</v>
      </c>
      <c r="Y1" s="10" t="s">
        <v>234</v>
      </c>
      <c r="Z1" s="10" t="s">
        <v>235</v>
      </c>
      <c r="AA1" s="10" t="s">
        <v>236</v>
      </c>
      <c r="AB1" s="10" t="s">
        <v>237</v>
      </c>
      <c r="AC1" s="65" t="s">
        <v>238</v>
      </c>
      <c r="AD1" s="10" t="s">
        <v>239</v>
      </c>
      <c r="AE1" s="10" t="s">
        <v>240</v>
      </c>
      <c r="AF1" s="10" t="s">
        <v>241</v>
      </c>
      <c r="AG1" s="10" t="s">
        <v>242</v>
      </c>
      <c r="AH1" s="10" t="s">
        <v>243</v>
      </c>
      <c r="AI1" s="10" t="s">
        <v>244</v>
      </c>
      <c r="AJ1" s="65" t="s">
        <v>245</v>
      </c>
      <c r="AK1" s="10" t="s">
        <v>246</v>
      </c>
      <c r="AL1" s="10" t="s">
        <v>247</v>
      </c>
      <c r="AM1" s="65" t="s">
        <v>248</v>
      </c>
      <c r="AN1" s="10" t="s">
        <v>249</v>
      </c>
      <c r="AO1" s="107" t="s">
        <v>250</v>
      </c>
      <c r="AP1" s="107" t="s">
        <v>251</v>
      </c>
      <c r="AQ1" s="65" t="s">
        <v>252</v>
      </c>
      <c r="AR1" s="10" t="s">
        <v>253</v>
      </c>
      <c r="AS1" s="10" t="s">
        <v>254</v>
      </c>
      <c r="AT1" s="10" t="s">
        <v>255</v>
      </c>
      <c r="AU1" s="10" t="s">
        <v>256</v>
      </c>
      <c r="AV1" s="65" t="s">
        <v>257</v>
      </c>
      <c r="AW1" s="65" t="s">
        <v>258</v>
      </c>
      <c r="AX1" s="65" t="s">
        <v>259</v>
      </c>
      <c r="AY1" s="10" t="s">
        <v>260</v>
      </c>
      <c r="AZ1" s="10" t="s">
        <v>261</v>
      </c>
      <c r="BA1" s="10" t="s">
        <v>262</v>
      </c>
      <c r="BB1" s="65" t="s">
        <v>263</v>
      </c>
      <c r="BC1" s="10" t="s">
        <v>264</v>
      </c>
      <c r="BD1" s="65" t="s">
        <v>265</v>
      </c>
      <c r="BE1" s="10" t="s">
        <v>266</v>
      </c>
      <c r="BF1" s="65" t="s">
        <v>267</v>
      </c>
      <c r="BG1" s="65" t="s">
        <v>268</v>
      </c>
      <c r="BH1" s="10" t="s">
        <v>269</v>
      </c>
      <c r="BI1" s="10" t="s">
        <v>270</v>
      </c>
      <c r="BJ1" s="10" t="s">
        <v>271</v>
      </c>
      <c r="BK1" s="65" t="s">
        <v>272</v>
      </c>
      <c r="BL1" s="10" t="s">
        <v>273</v>
      </c>
      <c r="BM1" s="10" t="s">
        <v>274</v>
      </c>
      <c r="BN1" s="65" t="s">
        <v>275</v>
      </c>
      <c r="BO1" s="65" t="s">
        <v>276</v>
      </c>
      <c r="BP1" s="10" t="s">
        <v>277</v>
      </c>
      <c r="BQ1" s="10" t="s">
        <v>278</v>
      </c>
      <c r="BR1" s="65" t="s">
        <v>279</v>
      </c>
      <c r="BS1" s="10" t="s">
        <v>280</v>
      </c>
      <c r="BT1" s="65" t="s">
        <v>281</v>
      </c>
      <c r="BU1" s="10" t="s">
        <v>282</v>
      </c>
      <c r="BV1" s="10" t="s">
        <v>283</v>
      </c>
      <c r="BW1" s="65" t="s">
        <v>284</v>
      </c>
      <c r="BX1" s="65" t="s">
        <v>285</v>
      </c>
      <c r="BY1" s="65" t="s">
        <v>286</v>
      </c>
      <c r="BZ1" s="10" t="s">
        <v>287</v>
      </c>
      <c r="CA1" s="65" t="s">
        <v>288</v>
      </c>
      <c r="CB1" s="10" t="s">
        <v>289</v>
      </c>
      <c r="CC1" s="10" t="s">
        <v>290</v>
      </c>
      <c r="CD1" s="104" t="s">
        <v>291</v>
      </c>
      <c r="CE1" s="65" t="s">
        <v>292</v>
      </c>
      <c r="CF1" s="65" t="s">
        <v>293</v>
      </c>
      <c r="CG1" s="10" t="s">
        <v>294</v>
      </c>
      <c r="CH1" s="10" t="s">
        <v>295</v>
      </c>
      <c r="CI1" s="10" t="s">
        <v>296</v>
      </c>
      <c r="CJ1" s="10" t="s">
        <v>297</v>
      </c>
      <c r="CK1" s="10" t="s">
        <v>298</v>
      </c>
      <c r="CL1" s="65" t="s">
        <v>299</v>
      </c>
      <c r="CM1" s="10" t="s">
        <v>300</v>
      </c>
      <c r="CN1" s="10" t="s">
        <v>39</v>
      </c>
      <c r="CO1" t="s">
        <v>667</v>
      </c>
      <c r="CP1" s="10" t="s">
        <v>301</v>
      </c>
      <c r="CQ1" s="10" t="s">
        <v>302</v>
      </c>
      <c r="CR1" s="65" t="s">
        <v>303</v>
      </c>
      <c r="CS1" s="10" t="s">
        <v>304</v>
      </c>
      <c r="CT1" t="s">
        <v>634</v>
      </c>
      <c r="CU1" s="10" t="s">
        <v>305</v>
      </c>
      <c r="CV1" s="10" t="s">
        <v>306</v>
      </c>
      <c r="CW1" t="s">
        <v>640</v>
      </c>
      <c r="CX1" s="10" t="s">
        <v>307</v>
      </c>
      <c r="CY1" t="s">
        <v>643</v>
      </c>
      <c r="CZ1" s="10" t="s">
        <v>308</v>
      </c>
      <c r="DA1" s="10" t="s">
        <v>309</v>
      </c>
      <c r="DB1" s="10" t="s">
        <v>310</v>
      </c>
      <c r="DC1" s="10" t="s">
        <v>311</v>
      </c>
      <c r="DD1" t="s">
        <v>623</v>
      </c>
      <c r="DE1" s="10" t="s">
        <v>312</v>
      </c>
      <c r="DF1" s="10" t="s">
        <v>313</v>
      </c>
      <c r="DG1" s="10" t="s">
        <v>314</v>
      </c>
      <c r="DH1" s="10" t="s">
        <v>315</v>
      </c>
      <c r="DI1" s="10" t="s">
        <v>316</v>
      </c>
      <c r="DJ1" s="10" t="s">
        <v>317</v>
      </c>
      <c r="DK1" s="10" t="s">
        <v>318</v>
      </c>
      <c r="DL1" s="65" t="s">
        <v>319</v>
      </c>
      <c r="DM1" s="10" t="s">
        <v>320</v>
      </c>
      <c r="DN1" s="10" t="s">
        <v>321</v>
      </c>
      <c r="DO1" s="10" t="s">
        <v>322</v>
      </c>
      <c r="DP1" s="10" t="s">
        <v>323</v>
      </c>
      <c r="DQ1" s="65" t="s">
        <v>324</v>
      </c>
      <c r="DR1" s="10" t="s">
        <v>325</v>
      </c>
      <c r="DS1" s="10" t="s">
        <v>326</v>
      </c>
      <c r="DT1" s="10" t="s">
        <v>327</v>
      </c>
      <c r="DU1" s="10" t="s">
        <v>328</v>
      </c>
      <c r="DV1" s="10" t="s">
        <v>329</v>
      </c>
      <c r="DW1" s="10" t="s">
        <v>330</v>
      </c>
      <c r="DX1" s="10" t="s">
        <v>331</v>
      </c>
      <c r="DY1" s="10" t="s">
        <v>332</v>
      </c>
      <c r="DZ1" s="10" t="s">
        <v>333</v>
      </c>
      <c r="EA1" s="10" t="s">
        <v>334</v>
      </c>
      <c r="EB1" s="65" t="s">
        <v>335</v>
      </c>
      <c r="EC1" t="s">
        <v>211</v>
      </c>
    </row>
    <row r="2" spans="1:133" x14ac:dyDescent="0.35">
      <c r="A2" s="156" t="s">
        <v>647</v>
      </c>
      <c r="B2" s="22">
        <v>43830</v>
      </c>
      <c r="C2">
        <v>2019</v>
      </c>
      <c r="D2" s="156" t="s">
        <v>212</v>
      </c>
      <c r="E2" s="156" t="s">
        <v>213</v>
      </c>
      <c r="I2" s="10">
        <v>0</v>
      </c>
      <c r="J2" s="10">
        <v>0</v>
      </c>
      <c r="AE2" s="10">
        <v>6559000</v>
      </c>
      <c r="AV2" s="10">
        <v>14054000</v>
      </c>
      <c r="AY2" s="10">
        <v>389000</v>
      </c>
      <c r="BM2" s="10">
        <v>60596000</v>
      </c>
      <c r="BQ2" s="10">
        <v>0</v>
      </c>
      <c r="BR2" s="10">
        <v>1538000</v>
      </c>
      <c r="CO2" s="41"/>
      <c r="CP2" s="10">
        <v>0</v>
      </c>
      <c r="CT2" s="41"/>
      <c r="CW2" s="41"/>
      <c r="CY2" s="41"/>
      <c r="DD2" s="41">
        <v>2019</v>
      </c>
      <c r="DU2" s="10">
        <v>0</v>
      </c>
      <c r="DX2" s="10"/>
      <c r="DY2" s="10"/>
      <c r="DZ2" s="10"/>
      <c r="EA2" s="10"/>
      <c r="EB2" s="10"/>
      <c r="EC2" s="156" t="s">
        <v>648</v>
      </c>
    </row>
    <row r="3" spans="1:133" x14ac:dyDescent="0.35">
      <c r="A3" s="156" t="s">
        <v>647</v>
      </c>
      <c r="B3" s="22">
        <v>44196</v>
      </c>
      <c r="C3">
        <v>2020</v>
      </c>
      <c r="D3" s="156" t="s">
        <v>212</v>
      </c>
      <c r="E3" s="156" t="s">
        <v>213</v>
      </c>
      <c r="F3" s="10">
        <v>1206000</v>
      </c>
      <c r="G3" s="10">
        <v>6864000</v>
      </c>
      <c r="H3" s="10">
        <v>-8027000</v>
      </c>
      <c r="N3" s="10">
        <v>0</v>
      </c>
      <c r="O3" s="10">
        <v>502217000</v>
      </c>
      <c r="P3" s="10">
        <v>24581000</v>
      </c>
      <c r="Q3" s="10">
        <v>125642000</v>
      </c>
      <c r="R3" s="10">
        <v>502217000</v>
      </c>
      <c r="S3" s="10">
        <v>103891000</v>
      </c>
      <c r="T3" s="10">
        <v>409000</v>
      </c>
      <c r="U3" s="10">
        <v>10410000</v>
      </c>
      <c r="V3" s="10">
        <v>146766000</v>
      </c>
      <c r="Z3" s="10">
        <v>11879000</v>
      </c>
      <c r="AB3" s="10">
        <v>-95000</v>
      </c>
      <c r="AF3" s="10">
        <v>12781000</v>
      </c>
      <c r="AJ3" s="10">
        <v>138548000</v>
      </c>
      <c r="AN3" s="10">
        <v>1319000</v>
      </c>
      <c r="AO3" s="10">
        <v>0</v>
      </c>
      <c r="AP3" s="10">
        <v>34657000</v>
      </c>
      <c r="AQ3" s="10">
        <v>34657000</v>
      </c>
      <c r="AT3" s="10">
        <v>1515000</v>
      </c>
      <c r="AV3" s="10">
        <v>10076000</v>
      </c>
      <c r="AW3" s="10">
        <v>4754000</v>
      </c>
      <c r="AX3" s="10">
        <v>103891000</v>
      </c>
      <c r="AY3" s="10">
        <v>1599000</v>
      </c>
      <c r="BB3" s="10">
        <v>27175305</v>
      </c>
      <c r="BC3" s="10">
        <v>2326000</v>
      </c>
      <c r="BF3" s="10">
        <v>-95000</v>
      </c>
      <c r="BH3" s="10">
        <v>506000</v>
      </c>
      <c r="BK3" s="10">
        <v>9538000</v>
      </c>
      <c r="BM3" s="10">
        <v>101061000</v>
      </c>
      <c r="BN3" s="10">
        <v>1206000</v>
      </c>
      <c r="BO3" s="10">
        <v>11616000</v>
      </c>
      <c r="BR3" s="10">
        <v>2326000</v>
      </c>
      <c r="BS3" s="10">
        <v>0</v>
      </c>
      <c r="BT3" s="10">
        <v>6864000</v>
      </c>
      <c r="BV3" s="10">
        <v>-398231000</v>
      </c>
      <c r="BW3" s="10">
        <v>27175305</v>
      </c>
      <c r="BX3" s="10">
        <v>103891000</v>
      </c>
      <c r="BY3" s="10">
        <v>103891000</v>
      </c>
      <c r="BZ3" s="10">
        <v>152026000</v>
      </c>
      <c r="CA3" s="10">
        <v>138548000</v>
      </c>
      <c r="CB3" s="10">
        <v>34657000</v>
      </c>
      <c r="CC3" s="10">
        <v>103891000</v>
      </c>
      <c r="CD3" s="10">
        <v>48135000</v>
      </c>
      <c r="CE3" s="10">
        <v>5260000</v>
      </c>
      <c r="CF3" s="10">
        <v>36256000</v>
      </c>
      <c r="CI3" s="10">
        <v>134887000</v>
      </c>
      <c r="CJ3" s="10">
        <v>263000</v>
      </c>
      <c r="CK3" s="10">
        <v>263000</v>
      </c>
      <c r="CM3" s="10">
        <v>4062000</v>
      </c>
      <c r="CN3" s="10">
        <v>11934000</v>
      </c>
      <c r="CO3" s="41"/>
      <c r="CS3" s="10">
        <v>6770000</v>
      </c>
      <c r="CT3" s="41"/>
      <c r="CU3" s="10">
        <v>1102000</v>
      </c>
      <c r="CW3" s="41"/>
      <c r="CY3" s="41"/>
      <c r="DD3" s="41">
        <v>2020</v>
      </c>
      <c r="DK3" s="10">
        <v>0</v>
      </c>
      <c r="DX3" s="10"/>
      <c r="DY3" s="10"/>
      <c r="DZ3" s="10"/>
      <c r="EA3" s="10"/>
      <c r="EB3" s="10"/>
      <c r="EC3" s="156" t="s">
        <v>648</v>
      </c>
    </row>
    <row r="4" spans="1:133" x14ac:dyDescent="0.35">
      <c r="A4" s="156" t="s">
        <v>647</v>
      </c>
      <c r="B4" s="22">
        <v>44561</v>
      </c>
      <c r="C4">
        <v>2021</v>
      </c>
      <c r="D4" s="156" t="s">
        <v>212</v>
      </c>
      <c r="E4" s="156" t="s">
        <v>213</v>
      </c>
      <c r="F4" s="10">
        <v>6651000</v>
      </c>
      <c r="G4" s="10">
        <v>5934000</v>
      </c>
      <c r="H4" s="10">
        <v>-9735000</v>
      </c>
      <c r="N4" s="10">
        <v>8604000</v>
      </c>
      <c r="O4" s="10">
        <v>510488000</v>
      </c>
      <c r="P4" s="10">
        <v>25580000</v>
      </c>
      <c r="Q4" s="10">
        <v>92452000</v>
      </c>
      <c r="R4" s="10">
        <v>510488000</v>
      </c>
      <c r="S4" s="10">
        <v>67854000</v>
      </c>
      <c r="T4" s="10">
        <v>5267000</v>
      </c>
      <c r="U4" s="10">
        <v>16337000</v>
      </c>
      <c r="V4" s="10">
        <v>118705000</v>
      </c>
      <c r="W4" s="10">
        <v>0</v>
      </c>
      <c r="Z4" s="10">
        <v>23238000</v>
      </c>
      <c r="AB4" s="10">
        <v>-188000</v>
      </c>
      <c r="AF4" s="10">
        <v>25423000</v>
      </c>
      <c r="AJ4" s="10">
        <v>103051000</v>
      </c>
      <c r="AN4" s="10">
        <v>1319000</v>
      </c>
      <c r="AO4" s="10">
        <v>8604000</v>
      </c>
      <c r="AP4" s="10">
        <v>35197000</v>
      </c>
      <c r="AQ4" s="10">
        <v>43801000</v>
      </c>
      <c r="AT4" s="10">
        <v>1688000</v>
      </c>
      <c r="AV4" s="10">
        <v>9617000</v>
      </c>
      <c r="AW4" s="10">
        <v>15688000</v>
      </c>
      <c r="AX4" s="10">
        <v>67854000</v>
      </c>
      <c r="AY4" s="10">
        <v>0</v>
      </c>
      <c r="BB4" s="10">
        <v>27791615</v>
      </c>
      <c r="BC4" s="10">
        <v>5460000</v>
      </c>
      <c r="BF4" s="10">
        <v>-188000</v>
      </c>
      <c r="BH4" s="10">
        <v>500000</v>
      </c>
      <c r="BK4" s="10">
        <v>17149000</v>
      </c>
      <c r="BM4" s="10">
        <v>66872000</v>
      </c>
      <c r="BN4" s="10">
        <v>6651000</v>
      </c>
      <c r="BO4" s="10">
        <v>22988000</v>
      </c>
      <c r="BR4" s="10">
        <v>5460000</v>
      </c>
      <c r="BS4" s="10">
        <v>0</v>
      </c>
      <c r="BT4" s="10">
        <v>5934000</v>
      </c>
      <c r="BV4" s="10">
        <v>-442446000</v>
      </c>
      <c r="BW4" s="10">
        <v>27791615</v>
      </c>
      <c r="BX4" s="10">
        <v>67854000</v>
      </c>
      <c r="BY4" s="10">
        <v>67854000</v>
      </c>
      <c r="BZ4" s="10">
        <v>134893000</v>
      </c>
      <c r="CA4" s="10">
        <v>103051000</v>
      </c>
      <c r="CB4" s="10">
        <v>43801000</v>
      </c>
      <c r="CC4" s="10">
        <v>67854000</v>
      </c>
      <c r="CD4" s="10">
        <v>67039000</v>
      </c>
      <c r="CE4" s="10">
        <v>16188000</v>
      </c>
      <c r="CF4" s="10">
        <v>43801000</v>
      </c>
      <c r="CI4" s="10">
        <v>95467000</v>
      </c>
      <c r="CJ4" s="10">
        <v>250000</v>
      </c>
      <c r="CK4" s="10">
        <v>250000</v>
      </c>
      <c r="CM4" s="10">
        <v>5653000</v>
      </c>
      <c r="CN4" s="10">
        <v>14859000</v>
      </c>
      <c r="CO4" s="41"/>
      <c r="CS4" s="10">
        <v>7274000</v>
      </c>
      <c r="CT4" s="41"/>
      <c r="CU4" s="10">
        <v>1932000</v>
      </c>
      <c r="CW4" s="41"/>
      <c r="CY4" s="41"/>
      <c r="DD4" s="41">
        <v>2021</v>
      </c>
      <c r="DK4" s="10">
        <v>0</v>
      </c>
      <c r="DX4" s="10"/>
      <c r="DY4" s="10"/>
      <c r="DZ4" s="10"/>
      <c r="EA4" s="10"/>
      <c r="EB4" s="10"/>
      <c r="EC4" s="156" t="s">
        <v>648</v>
      </c>
    </row>
    <row r="5" spans="1:133" x14ac:dyDescent="0.35">
      <c r="A5" s="156" t="s">
        <v>647</v>
      </c>
      <c r="B5" s="22">
        <v>44926</v>
      </c>
      <c r="C5">
        <v>2022</v>
      </c>
      <c r="D5" s="156" t="s">
        <v>212</v>
      </c>
      <c r="E5" s="156" t="s">
        <v>213</v>
      </c>
      <c r="F5" s="10">
        <v>3341000</v>
      </c>
      <c r="G5" s="10">
        <v>27611000</v>
      </c>
      <c r="H5" s="10">
        <v>-13129000</v>
      </c>
      <c r="N5" s="10">
        <v>8859000</v>
      </c>
      <c r="O5" s="10">
        <v>666277000</v>
      </c>
      <c r="P5" s="10">
        <v>201182000</v>
      </c>
      <c r="Q5" s="10">
        <v>201182000</v>
      </c>
      <c r="R5" s="10">
        <v>666277000</v>
      </c>
      <c r="S5" s="10">
        <v>187375000</v>
      </c>
      <c r="T5" s="10">
        <v>482000</v>
      </c>
      <c r="U5" s="10">
        <v>18635000</v>
      </c>
      <c r="V5" s="10">
        <v>252294000</v>
      </c>
      <c r="W5" s="10">
        <v>1444000</v>
      </c>
      <c r="Y5" s="10">
        <v>1444000</v>
      </c>
      <c r="Z5" s="10">
        <v>23661000</v>
      </c>
      <c r="AB5" s="10">
        <v>-225000</v>
      </c>
      <c r="AC5" s="10">
        <v>0</v>
      </c>
      <c r="AD5" s="10">
        <v>0</v>
      </c>
      <c r="AF5" s="10">
        <v>37482000</v>
      </c>
      <c r="AJ5" s="10">
        <v>246071000</v>
      </c>
      <c r="AN5" s="10">
        <v>12415000</v>
      </c>
      <c r="AO5" s="10">
        <v>7415000</v>
      </c>
      <c r="AP5" s="10">
        <v>58696000</v>
      </c>
      <c r="AQ5" s="10">
        <v>66111000</v>
      </c>
      <c r="AT5" s="10">
        <v>4185000</v>
      </c>
      <c r="AW5" s="10">
        <v>24353000</v>
      </c>
      <c r="AX5" s="10">
        <v>187375000</v>
      </c>
      <c r="BB5" s="10">
        <v>32141368</v>
      </c>
      <c r="BC5" s="10">
        <v>2896000</v>
      </c>
      <c r="BF5" s="10">
        <v>-225000</v>
      </c>
      <c r="BH5" s="10">
        <v>500000</v>
      </c>
      <c r="BK5" s="10">
        <v>20400000</v>
      </c>
      <c r="BM5" s="10">
        <v>0</v>
      </c>
      <c r="BN5" s="10">
        <v>3341000</v>
      </c>
      <c r="BO5" s="10">
        <v>21976000</v>
      </c>
      <c r="BS5" s="10">
        <v>0</v>
      </c>
      <c r="BT5" s="10">
        <v>27611000</v>
      </c>
      <c r="BV5" s="10">
        <v>-478677000</v>
      </c>
      <c r="BW5" s="10">
        <v>32141368</v>
      </c>
      <c r="BX5" s="10">
        <v>187375000</v>
      </c>
      <c r="BY5" s="10">
        <v>187375000</v>
      </c>
      <c r="BZ5" s="10">
        <v>277147000</v>
      </c>
      <c r="CA5" s="10">
        <v>246071000</v>
      </c>
      <c r="CB5" s="10">
        <v>67555000</v>
      </c>
      <c r="CC5" s="10">
        <v>187375000</v>
      </c>
      <c r="CD5" s="10">
        <v>89772000</v>
      </c>
      <c r="CE5" s="10">
        <v>24853000</v>
      </c>
      <c r="CF5" s="10">
        <v>66111000</v>
      </c>
      <c r="CI5" s="10">
        <v>228633000</v>
      </c>
      <c r="CJ5" s="10">
        <v>241000</v>
      </c>
      <c r="CK5" s="10">
        <v>241000</v>
      </c>
      <c r="CM5" s="10">
        <v>7790000</v>
      </c>
      <c r="CN5" s="10">
        <v>20605000</v>
      </c>
      <c r="CO5" s="41"/>
      <c r="CS5" s="10">
        <v>10939000</v>
      </c>
      <c r="CT5" s="41"/>
      <c r="CU5" s="10">
        <v>1876000</v>
      </c>
      <c r="CW5" s="41"/>
      <c r="CX5" s="10">
        <v>201182000</v>
      </c>
      <c r="CY5" s="41"/>
      <c r="DD5" s="41">
        <v>2022</v>
      </c>
      <c r="DK5" s="10">
        <v>0</v>
      </c>
      <c r="DX5" s="10"/>
      <c r="DY5" s="10"/>
      <c r="DZ5" s="10"/>
      <c r="EA5" s="10"/>
      <c r="EB5" s="10"/>
      <c r="EC5" s="156" t="s">
        <v>648</v>
      </c>
    </row>
    <row r="6" spans="1:133" x14ac:dyDescent="0.35">
      <c r="A6" s="156" t="s">
        <v>647</v>
      </c>
      <c r="B6" s="22">
        <v>45291</v>
      </c>
      <c r="C6">
        <v>2023</v>
      </c>
      <c r="D6" s="156" t="s">
        <v>212</v>
      </c>
      <c r="E6" s="156" t="s">
        <v>213</v>
      </c>
      <c r="F6" s="10">
        <v>12717000</v>
      </c>
      <c r="G6" s="10">
        <v>63576000</v>
      </c>
      <c r="H6" s="10">
        <v>-21293000</v>
      </c>
      <c r="N6" s="10">
        <v>9742000</v>
      </c>
      <c r="O6" s="10">
        <v>641106000</v>
      </c>
      <c r="P6" s="10">
        <v>394812000</v>
      </c>
      <c r="Q6" s="10">
        <v>394812000</v>
      </c>
      <c r="R6" s="10">
        <v>641106000</v>
      </c>
      <c r="S6" s="10">
        <v>137202000</v>
      </c>
      <c r="T6" s="10">
        <v>6250000</v>
      </c>
      <c r="U6" s="10">
        <v>38221000</v>
      </c>
      <c r="V6" s="10">
        <v>510654000</v>
      </c>
      <c r="W6" s="10">
        <v>2035000</v>
      </c>
      <c r="Y6" s="10">
        <v>2035000</v>
      </c>
      <c r="Z6" s="10">
        <v>54934000</v>
      </c>
      <c r="AB6" s="10">
        <v>-199000</v>
      </c>
      <c r="AC6" s="10">
        <v>11990000</v>
      </c>
      <c r="AD6" s="10">
        <v>14344000</v>
      </c>
      <c r="AF6" s="10">
        <v>201780000</v>
      </c>
      <c r="AJ6" s="10">
        <v>643406000</v>
      </c>
      <c r="AN6" s="10">
        <v>13354000</v>
      </c>
      <c r="AO6" s="10">
        <v>7707000</v>
      </c>
      <c r="AP6" s="10">
        <v>506204000</v>
      </c>
      <c r="AQ6" s="10">
        <v>513911000</v>
      </c>
      <c r="AT6" s="10">
        <v>152366000</v>
      </c>
      <c r="AV6" s="10">
        <v>111392000</v>
      </c>
      <c r="AW6" s="10">
        <v>180487000</v>
      </c>
      <c r="AX6" s="10">
        <v>122858000</v>
      </c>
      <c r="BB6" s="10">
        <v>32670803</v>
      </c>
      <c r="BC6" s="10">
        <v>8031000</v>
      </c>
      <c r="BF6" s="10">
        <v>-199000</v>
      </c>
      <c r="BG6" s="10">
        <v>2354000</v>
      </c>
      <c r="BH6" s="10">
        <v>562000</v>
      </c>
      <c r="BK6" s="10">
        <v>29810000</v>
      </c>
      <c r="BN6" s="10">
        <v>12717000</v>
      </c>
      <c r="BO6" s="10">
        <v>50938000</v>
      </c>
      <c r="BS6" s="10">
        <v>0</v>
      </c>
      <c r="BT6" s="10">
        <v>63576000</v>
      </c>
      <c r="BV6" s="10">
        <v>-503705000</v>
      </c>
      <c r="BW6" s="10">
        <v>32670803</v>
      </c>
      <c r="BX6" s="10">
        <v>137202000</v>
      </c>
      <c r="BY6" s="10">
        <v>122858000</v>
      </c>
      <c r="BZ6" s="10">
        <v>706047000</v>
      </c>
      <c r="CA6" s="10">
        <v>643406000</v>
      </c>
      <c r="CB6" s="10">
        <v>515946000</v>
      </c>
      <c r="CC6" s="10">
        <v>137202000</v>
      </c>
      <c r="CD6" s="10">
        <v>568845000</v>
      </c>
      <c r="CE6" s="10">
        <v>195393000</v>
      </c>
      <c r="CF6" s="10">
        <v>513911000</v>
      </c>
      <c r="CI6" s="10">
        <v>455720000</v>
      </c>
      <c r="CJ6" s="10">
        <v>1961000</v>
      </c>
      <c r="CK6" s="10">
        <v>1961000</v>
      </c>
      <c r="CM6" s="10">
        <v>14606000</v>
      </c>
      <c r="CN6" s="10">
        <v>44235000</v>
      </c>
      <c r="CO6" s="41"/>
      <c r="CS6" s="10">
        <v>25823000</v>
      </c>
      <c r="CT6" s="41"/>
      <c r="CU6" s="10">
        <v>3806000</v>
      </c>
      <c r="CW6" s="41"/>
      <c r="CX6" s="10">
        <v>394812000</v>
      </c>
      <c r="CY6" s="41"/>
      <c r="DD6" s="41">
        <v>2023</v>
      </c>
      <c r="DK6" s="10">
        <v>0</v>
      </c>
      <c r="DL6" s="10">
        <v>0</v>
      </c>
      <c r="DX6" s="10"/>
      <c r="DY6" s="10"/>
      <c r="DZ6" s="10"/>
      <c r="EA6" s="10"/>
      <c r="EB6" s="10"/>
      <c r="EC6" s="156" t="s">
        <v>648</v>
      </c>
    </row>
    <row r="7" spans="1:133" x14ac:dyDescent="0.35">
      <c r="A7" s="156" t="s">
        <v>649</v>
      </c>
      <c r="B7" s="22">
        <v>43830</v>
      </c>
      <c r="C7">
        <v>2019</v>
      </c>
      <c r="D7" s="156" t="s">
        <v>212</v>
      </c>
      <c r="E7" s="156" t="s">
        <v>213</v>
      </c>
      <c r="AL7" s="10">
        <v>0</v>
      </c>
      <c r="BR7" s="10">
        <v>32955000</v>
      </c>
      <c r="CO7" s="41"/>
      <c r="CT7" s="41"/>
      <c r="CW7" s="41"/>
      <c r="CY7" s="41"/>
      <c r="DD7" s="41">
        <v>2019</v>
      </c>
      <c r="DX7" s="10"/>
      <c r="DY7" s="10"/>
      <c r="DZ7" s="10"/>
      <c r="EA7" s="10"/>
      <c r="EB7" s="10"/>
      <c r="EC7" s="156" t="s">
        <v>650</v>
      </c>
    </row>
    <row r="8" spans="1:133" x14ac:dyDescent="0.35">
      <c r="A8" s="156" t="s">
        <v>649</v>
      </c>
      <c r="B8" s="22">
        <v>44196</v>
      </c>
      <c r="C8">
        <v>2020</v>
      </c>
      <c r="D8" s="156" t="s">
        <v>212</v>
      </c>
      <c r="E8" s="156" t="s">
        <v>213</v>
      </c>
      <c r="F8" s="10">
        <v>2967000</v>
      </c>
      <c r="G8" s="10">
        <v>97278000</v>
      </c>
      <c r="H8" s="10">
        <v>-9316000</v>
      </c>
      <c r="I8" s="10">
        <v>470498000</v>
      </c>
      <c r="J8" s="10">
        <v>-1400000</v>
      </c>
      <c r="M8" s="10">
        <v>30659000</v>
      </c>
      <c r="N8" s="10">
        <v>58117000</v>
      </c>
      <c r="O8" s="10">
        <v>7000</v>
      </c>
      <c r="P8" s="10">
        <v>112462000</v>
      </c>
      <c r="Q8" s="10">
        <v>222288000</v>
      </c>
      <c r="R8" s="10">
        <v>7000</v>
      </c>
      <c r="S8" s="10">
        <v>296605000</v>
      </c>
      <c r="U8" s="10">
        <v>5590000</v>
      </c>
      <c r="V8" s="10">
        <v>365420000</v>
      </c>
      <c r="W8" s="10">
        <v>6923000</v>
      </c>
      <c r="Y8" s="10">
        <v>6923000</v>
      </c>
      <c r="Z8" s="10">
        <v>155888000</v>
      </c>
      <c r="AB8" s="10">
        <v>-5010000</v>
      </c>
      <c r="AC8" s="10">
        <v>4862000</v>
      </c>
      <c r="AD8" s="10">
        <v>6606000</v>
      </c>
      <c r="AE8" s="10">
        <v>98678000</v>
      </c>
      <c r="AF8" s="10">
        <v>75379000</v>
      </c>
      <c r="AJ8" s="10">
        <v>296605000</v>
      </c>
      <c r="AL8" s="10">
        <v>36120000</v>
      </c>
      <c r="AN8" s="10">
        <v>36263000</v>
      </c>
      <c r="AO8" s="10">
        <v>51194000</v>
      </c>
      <c r="AQ8" s="10">
        <v>51194000</v>
      </c>
      <c r="AT8" s="10">
        <v>8408000</v>
      </c>
      <c r="AW8" s="10">
        <v>66063000</v>
      </c>
      <c r="AX8" s="10">
        <v>289999000</v>
      </c>
      <c r="AY8" s="10">
        <v>3956000</v>
      </c>
      <c r="AZ8" s="10">
        <v>70000</v>
      </c>
      <c r="BB8" s="10">
        <v>70679190</v>
      </c>
      <c r="BC8" s="10">
        <v>27955000</v>
      </c>
      <c r="BE8" s="10">
        <v>940000</v>
      </c>
      <c r="BF8" s="10">
        <v>-5010000</v>
      </c>
      <c r="BG8" s="10">
        <v>1744000</v>
      </c>
      <c r="BH8" s="10">
        <v>3625000</v>
      </c>
      <c r="BI8" s="10">
        <v>4878000</v>
      </c>
      <c r="BK8" s="10">
        <v>49000</v>
      </c>
      <c r="BM8" s="10">
        <v>109826000</v>
      </c>
      <c r="BN8" s="10">
        <v>2967000</v>
      </c>
      <c r="BO8" s="10">
        <v>8557000</v>
      </c>
      <c r="BP8" s="10">
        <v>23212000</v>
      </c>
      <c r="BR8" s="10">
        <v>27955000</v>
      </c>
      <c r="BS8" s="10">
        <v>0</v>
      </c>
      <c r="BT8" s="10">
        <v>97278000</v>
      </c>
      <c r="BU8" s="10">
        <v>0</v>
      </c>
      <c r="BV8" s="10">
        <v>-168890000</v>
      </c>
      <c r="BW8" s="10">
        <v>70679190</v>
      </c>
      <c r="BX8" s="10">
        <v>296605000</v>
      </c>
      <c r="BY8" s="10">
        <v>289999000</v>
      </c>
      <c r="BZ8" s="10">
        <v>512521000</v>
      </c>
      <c r="CA8" s="10">
        <v>296605000</v>
      </c>
      <c r="CB8" s="10">
        <v>58117000</v>
      </c>
      <c r="CC8" s="10">
        <v>296605000</v>
      </c>
      <c r="CD8" s="10">
        <v>215916000</v>
      </c>
      <c r="CE8" s="10">
        <v>147101000</v>
      </c>
      <c r="CF8" s="10">
        <v>60028000</v>
      </c>
      <c r="CG8" s="10">
        <v>0</v>
      </c>
      <c r="CI8" s="10">
        <v>209532000</v>
      </c>
      <c r="CJ8" s="10">
        <v>116256000</v>
      </c>
      <c r="CK8" s="10">
        <v>116256000</v>
      </c>
      <c r="CO8" s="41"/>
      <c r="CP8" s="10">
        <v>34687000</v>
      </c>
      <c r="CQ8" s="10">
        <v>489000</v>
      </c>
      <c r="CT8" s="41"/>
      <c r="CW8" s="41"/>
      <c r="CY8" s="41"/>
      <c r="DA8" s="10">
        <v>3886000</v>
      </c>
      <c r="DD8" s="41">
        <v>2020</v>
      </c>
      <c r="DT8" s="10">
        <v>17899000</v>
      </c>
      <c r="DX8" s="10"/>
      <c r="DY8" s="10"/>
      <c r="DZ8" s="10"/>
      <c r="EA8" s="10"/>
      <c r="EB8" s="10"/>
      <c r="EC8" s="156" t="s">
        <v>650</v>
      </c>
    </row>
    <row r="9" spans="1:133" x14ac:dyDescent="0.35">
      <c r="A9" s="156" t="s">
        <v>649</v>
      </c>
      <c r="B9" s="22">
        <v>44561</v>
      </c>
      <c r="C9">
        <v>2021</v>
      </c>
      <c r="D9" s="156" t="s">
        <v>212</v>
      </c>
      <c r="E9" s="156" t="s">
        <v>213</v>
      </c>
      <c r="F9" s="10">
        <v>5766000</v>
      </c>
      <c r="G9" s="10">
        <v>130049000</v>
      </c>
      <c r="H9" s="10">
        <v>-14106000</v>
      </c>
      <c r="I9" s="10">
        <v>497128000</v>
      </c>
      <c r="J9" s="10">
        <v>-1400000</v>
      </c>
      <c r="M9" s="10">
        <v>27897000</v>
      </c>
      <c r="N9" s="10">
        <v>56894000</v>
      </c>
      <c r="O9" s="10">
        <v>7000</v>
      </c>
      <c r="P9" s="10">
        <v>100796000</v>
      </c>
      <c r="Q9" s="10">
        <v>155975000</v>
      </c>
      <c r="R9" s="10">
        <v>7000</v>
      </c>
      <c r="S9" s="10">
        <v>233917000</v>
      </c>
      <c r="U9" s="10">
        <v>14063000</v>
      </c>
      <c r="V9" s="10">
        <v>338264000</v>
      </c>
      <c r="W9" s="10">
        <v>8110000</v>
      </c>
      <c r="Y9" s="10">
        <v>8110000</v>
      </c>
      <c r="Z9" s="10">
        <v>215721000</v>
      </c>
      <c r="AB9" s="10">
        <v>-5687000</v>
      </c>
      <c r="AC9" s="10">
        <v>27795000</v>
      </c>
      <c r="AD9" s="10">
        <v>34939000</v>
      </c>
      <c r="AE9" s="10">
        <v>131449000</v>
      </c>
      <c r="AF9" s="10">
        <v>78916000</v>
      </c>
      <c r="AJ9" s="10">
        <v>233917000</v>
      </c>
      <c r="AL9" s="10">
        <v>12044000</v>
      </c>
      <c r="AN9" s="10">
        <v>41005000</v>
      </c>
      <c r="AO9" s="10">
        <v>48784000</v>
      </c>
      <c r="AQ9" s="10">
        <v>48784000</v>
      </c>
      <c r="AT9" s="10">
        <v>9890000</v>
      </c>
      <c r="AW9" s="10">
        <v>64810000</v>
      </c>
      <c r="AX9" s="10">
        <v>198978000</v>
      </c>
      <c r="AY9" s="10">
        <v>2639000</v>
      </c>
      <c r="AZ9" s="10">
        <v>209000</v>
      </c>
      <c r="BB9" s="10">
        <v>71462094</v>
      </c>
      <c r="BC9" s="10">
        <v>26781000</v>
      </c>
      <c r="BE9" s="10">
        <v>1067000</v>
      </c>
      <c r="BF9" s="10">
        <v>-5687000</v>
      </c>
      <c r="BG9" s="10">
        <v>7144000</v>
      </c>
      <c r="BH9" s="10">
        <v>4420000</v>
      </c>
      <c r="BI9" s="10">
        <v>3458000</v>
      </c>
      <c r="BK9" s="10">
        <v>124000</v>
      </c>
      <c r="BM9" s="10">
        <v>55179000</v>
      </c>
      <c r="BN9" s="10">
        <v>6316000</v>
      </c>
      <c r="BO9" s="10">
        <v>20379000</v>
      </c>
      <c r="BP9" s="10">
        <v>35996000</v>
      </c>
      <c r="BR9" s="10">
        <v>26781000</v>
      </c>
      <c r="BS9" s="10">
        <v>0</v>
      </c>
      <c r="BT9" s="10">
        <v>130049000</v>
      </c>
      <c r="BU9" s="10">
        <v>791000</v>
      </c>
      <c r="BV9" s="10">
        <v>-257531000</v>
      </c>
      <c r="BW9" s="10">
        <v>71462094</v>
      </c>
      <c r="BX9" s="10">
        <v>233917000</v>
      </c>
      <c r="BY9" s="10">
        <v>198978000</v>
      </c>
      <c r="BZ9" s="10">
        <v>504519000</v>
      </c>
      <c r="CA9" s="10">
        <v>233917000</v>
      </c>
      <c r="CB9" s="10">
        <v>56894000</v>
      </c>
      <c r="CC9" s="10">
        <v>233917000</v>
      </c>
      <c r="CD9" s="10">
        <v>270602000</v>
      </c>
      <c r="CE9" s="10">
        <v>166255000</v>
      </c>
      <c r="CF9" s="10">
        <v>54881000</v>
      </c>
      <c r="CG9" s="10">
        <v>550000</v>
      </c>
      <c r="CI9" s="10">
        <v>122543000</v>
      </c>
      <c r="CJ9" s="10">
        <v>150169000</v>
      </c>
      <c r="CK9" s="10">
        <v>150169000</v>
      </c>
      <c r="CO9" s="41"/>
      <c r="CP9" s="10">
        <v>50042000</v>
      </c>
      <c r="CQ9" s="10">
        <v>1025000</v>
      </c>
      <c r="CT9" s="41"/>
      <c r="CW9" s="41"/>
      <c r="CY9" s="41"/>
      <c r="DA9" s="10">
        <v>2430000</v>
      </c>
      <c r="DD9" s="41">
        <v>2021</v>
      </c>
      <c r="DT9" s="10">
        <v>24668000</v>
      </c>
      <c r="DX9" s="10"/>
      <c r="DY9" s="10"/>
      <c r="DZ9" s="10"/>
      <c r="EA9" s="10"/>
      <c r="EB9" s="10"/>
      <c r="EC9" s="156" t="s">
        <v>650</v>
      </c>
    </row>
    <row r="10" spans="1:133" x14ac:dyDescent="0.35">
      <c r="A10" s="156" t="s">
        <v>649</v>
      </c>
      <c r="B10" s="22">
        <v>44926</v>
      </c>
      <c r="C10">
        <v>2022</v>
      </c>
      <c r="D10" s="156" t="s">
        <v>212</v>
      </c>
      <c r="E10" s="156" t="s">
        <v>213</v>
      </c>
      <c r="F10" s="10">
        <v>7997000</v>
      </c>
      <c r="G10" s="10">
        <v>165964000</v>
      </c>
      <c r="H10" s="10">
        <v>-18864000</v>
      </c>
      <c r="I10" s="10">
        <v>561390000</v>
      </c>
      <c r="J10" s="10">
        <v>-2125000</v>
      </c>
      <c r="M10" s="10">
        <v>37248000</v>
      </c>
      <c r="N10" s="10">
        <v>65906000</v>
      </c>
      <c r="O10" s="10">
        <v>7000</v>
      </c>
      <c r="P10" s="10">
        <v>148132000</v>
      </c>
      <c r="Q10" s="10">
        <v>195995000</v>
      </c>
      <c r="R10" s="10">
        <v>7000</v>
      </c>
      <c r="S10" s="10">
        <v>145700000</v>
      </c>
      <c r="U10" s="10">
        <v>10396000</v>
      </c>
      <c r="V10" s="10">
        <v>422497000</v>
      </c>
      <c r="W10" s="10">
        <v>8681000</v>
      </c>
      <c r="X10" s="10">
        <v>2740000</v>
      </c>
      <c r="Y10" s="10">
        <v>11421000</v>
      </c>
      <c r="Z10" s="10">
        <v>270252000</v>
      </c>
      <c r="AB10" s="10">
        <v>-7246000</v>
      </c>
      <c r="AC10" s="10">
        <v>26349000</v>
      </c>
      <c r="AD10" s="10">
        <v>31600000</v>
      </c>
      <c r="AE10" s="10">
        <v>168089000</v>
      </c>
      <c r="AF10" s="10">
        <v>97967000</v>
      </c>
      <c r="AJ10" s="10">
        <v>263819000</v>
      </c>
      <c r="AL10" s="10">
        <v>0</v>
      </c>
      <c r="AN10" s="10">
        <v>45959000</v>
      </c>
      <c r="AO10" s="10">
        <v>57225000</v>
      </c>
      <c r="AP10" s="10">
        <v>115379000</v>
      </c>
      <c r="AQ10" s="10">
        <v>172604000</v>
      </c>
      <c r="AT10" s="10">
        <v>14518000</v>
      </c>
      <c r="AW10" s="10">
        <v>79103000</v>
      </c>
      <c r="AX10" s="10">
        <v>114100000</v>
      </c>
      <c r="AY10" s="10">
        <v>5658000</v>
      </c>
      <c r="AZ10" s="10">
        <v>102000</v>
      </c>
      <c r="BB10" s="10">
        <v>72817887</v>
      </c>
      <c r="BC10" s="10">
        <v>28093000</v>
      </c>
      <c r="BD10" s="10">
        <v>2740000</v>
      </c>
      <c r="BE10" s="10">
        <v>3121000</v>
      </c>
      <c r="BF10" s="10">
        <v>-7246000</v>
      </c>
      <c r="BG10" s="10">
        <v>5251000</v>
      </c>
      <c r="BH10" s="10">
        <v>3286000</v>
      </c>
      <c r="BK10" s="10">
        <v>242000</v>
      </c>
      <c r="BM10" s="10">
        <v>47863000</v>
      </c>
      <c r="BN10" s="10">
        <v>8824000</v>
      </c>
      <c r="BO10" s="10">
        <v>19220000</v>
      </c>
      <c r="BP10" s="10">
        <v>41722000</v>
      </c>
      <c r="BS10" s="10">
        <v>0</v>
      </c>
      <c r="BT10" s="10">
        <v>165964000</v>
      </c>
      <c r="BU10" s="10">
        <v>2249000</v>
      </c>
      <c r="BV10" s="10">
        <v>-408451000</v>
      </c>
      <c r="BW10" s="10">
        <v>72817887</v>
      </c>
      <c r="BX10" s="10">
        <v>145700000</v>
      </c>
      <c r="BY10" s="10">
        <v>114100000</v>
      </c>
      <c r="BZ10" s="10">
        <v>594214000</v>
      </c>
      <c r="CA10" s="10">
        <v>261079000</v>
      </c>
      <c r="CB10" s="10">
        <v>184025000</v>
      </c>
      <c r="CC10" s="10">
        <v>145700000</v>
      </c>
      <c r="CD10" s="10">
        <v>448514000</v>
      </c>
      <c r="CE10" s="10">
        <v>171717000</v>
      </c>
      <c r="CF10" s="10">
        <v>178262000</v>
      </c>
      <c r="CG10" s="10">
        <v>827000</v>
      </c>
      <c r="CI10" s="10">
        <v>152245000</v>
      </c>
      <c r="CJ10" s="10">
        <v>194768000</v>
      </c>
      <c r="CK10" s="10">
        <v>194768000</v>
      </c>
      <c r="CO10" s="41"/>
      <c r="CP10" s="10">
        <v>57728000</v>
      </c>
      <c r="CQ10" s="10">
        <v>1940000</v>
      </c>
      <c r="CT10" s="41"/>
      <c r="CW10" s="41"/>
      <c r="CY10" s="41"/>
      <c r="DA10" s="10">
        <v>5556000</v>
      </c>
      <c r="DD10" s="41">
        <v>2022</v>
      </c>
      <c r="DT10" s="10">
        <v>30196000</v>
      </c>
      <c r="DX10" s="10"/>
      <c r="DY10" s="10"/>
      <c r="DZ10" s="10"/>
      <c r="EA10" s="10"/>
      <c r="EB10" s="10"/>
      <c r="EC10" s="156" t="s">
        <v>650</v>
      </c>
    </row>
    <row r="11" spans="1:133" x14ac:dyDescent="0.35">
      <c r="A11" s="156" t="s">
        <v>649</v>
      </c>
      <c r="B11" s="22">
        <v>45291</v>
      </c>
      <c r="C11">
        <v>2023</v>
      </c>
      <c r="D11" s="156" t="s">
        <v>212</v>
      </c>
      <c r="E11" s="156" t="s">
        <v>213</v>
      </c>
      <c r="F11" s="10">
        <v>6174000</v>
      </c>
      <c r="G11" s="10">
        <v>171561000</v>
      </c>
      <c r="H11" s="10">
        <v>-25141000</v>
      </c>
      <c r="I11" s="10">
        <v>595781000</v>
      </c>
      <c r="J11" s="10">
        <v>-2606000</v>
      </c>
      <c r="M11" s="10">
        <v>39975000</v>
      </c>
      <c r="N11" s="10">
        <v>70765000</v>
      </c>
      <c r="O11" s="10">
        <v>7000</v>
      </c>
      <c r="P11" s="10">
        <v>149351000</v>
      </c>
      <c r="Q11" s="10">
        <v>159004000</v>
      </c>
      <c r="R11" s="10">
        <v>7000</v>
      </c>
      <c r="S11" s="10">
        <v>52341000</v>
      </c>
      <c r="U11" s="10">
        <v>8905000</v>
      </c>
      <c r="V11" s="10">
        <v>414355000</v>
      </c>
      <c r="W11" s="10">
        <v>11698000</v>
      </c>
      <c r="X11" s="10">
        <v>66368000</v>
      </c>
      <c r="Y11" s="10">
        <v>78066000</v>
      </c>
      <c r="Z11" s="10">
        <v>371172000</v>
      </c>
      <c r="AB11" s="10">
        <v>-23555000</v>
      </c>
      <c r="AC11" s="10">
        <v>27106000</v>
      </c>
      <c r="AD11" s="10">
        <v>30995000</v>
      </c>
      <c r="AE11" s="10">
        <v>174167000</v>
      </c>
      <c r="AF11" s="10">
        <v>107798000</v>
      </c>
      <c r="AJ11" s="10">
        <v>258930000</v>
      </c>
      <c r="AN11" s="10">
        <v>53313000</v>
      </c>
      <c r="AO11" s="10">
        <v>59067000</v>
      </c>
      <c r="AP11" s="10">
        <v>140221000</v>
      </c>
      <c r="AQ11" s="10">
        <v>199288000</v>
      </c>
      <c r="AT11" s="10">
        <v>14316000</v>
      </c>
      <c r="AV11" s="10">
        <v>57238000</v>
      </c>
      <c r="AW11" s="10">
        <v>82657000</v>
      </c>
      <c r="AX11" s="10">
        <v>21346000</v>
      </c>
      <c r="AY11" s="10">
        <v>4702000</v>
      </c>
      <c r="AZ11" s="10">
        <v>2000</v>
      </c>
      <c r="BB11" s="10">
        <v>73366766</v>
      </c>
      <c r="BC11" s="10">
        <v>49529000</v>
      </c>
      <c r="BD11" s="10">
        <v>66368000</v>
      </c>
      <c r="BE11" s="10">
        <v>1891000</v>
      </c>
      <c r="BF11" s="10">
        <v>-23555000</v>
      </c>
      <c r="BG11" s="10">
        <v>3889000</v>
      </c>
      <c r="BH11" s="10">
        <v>36279000</v>
      </c>
      <c r="BK11" s="10">
        <v>194000</v>
      </c>
      <c r="BM11" s="10">
        <v>9653000</v>
      </c>
      <c r="BN11" s="10">
        <v>7435000</v>
      </c>
      <c r="BO11" s="10">
        <v>16340000</v>
      </c>
      <c r="BP11" s="10">
        <v>38883000</v>
      </c>
      <c r="BS11" s="10">
        <v>0</v>
      </c>
      <c r="BT11" s="10">
        <v>171561000</v>
      </c>
      <c r="BU11" s="10">
        <v>0</v>
      </c>
      <c r="BV11" s="10">
        <v>-519892000</v>
      </c>
      <c r="BW11" s="10">
        <v>73366766</v>
      </c>
      <c r="BX11" s="10">
        <v>52341000</v>
      </c>
      <c r="BY11" s="10">
        <v>21346000</v>
      </c>
      <c r="BZ11" s="10">
        <v>627503000</v>
      </c>
      <c r="CA11" s="10">
        <v>192562000</v>
      </c>
      <c r="CB11" s="10">
        <v>277354000</v>
      </c>
      <c r="CC11" s="10">
        <v>52341000</v>
      </c>
      <c r="CD11" s="10">
        <v>575162000</v>
      </c>
      <c r="CE11" s="10">
        <v>213148000</v>
      </c>
      <c r="CF11" s="10">
        <v>203990000</v>
      </c>
      <c r="CG11" s="10">
        <v>1261000</v>
      </c>
      <c r="CI11" s="10">
        <v>43183000</v>
      </c>
      <c r="CJ11" s="10">
        <v>235992000</v>
      </c>
      <c r="CK11" s="10">
        <v>235992000</v>
      </c>
      <c r="CO11" s="41"/>
      <c r="CP11" s="10">
        <v>63217000</v>
      </c>
      <c r="CQ11" s="10">
        <v>3453000</v>
      </c>
      <c r="CT11" s="41"/>
      <c r="CW11" s="41"/>
      <c r="CY11" s="41"/>
      <c r="DA11" s="10">
        <v>4700000</v>
      </c>
      <c r="DD11" s="41">
        <v>2023</v>
      </c>
      <c r="DT11" s="10">
        <v>34261000</v>
      </c>
      <c r="DX11" s="10"/>
      <c r="DY11" s="10"/>
      <c r="DZ11" s="10"/>
      <c r="EA11" s="10"/>
      <c r="EB11" s="10"/>
      <c r="EC11" s="156" t="s">
        <v>650</v>
      </c>
    </row>
    <row r="12" spans="1:133" x14ac:dyDescent="0.35">
      <c r="A12" s="156" t="s">
        <v>651</v>
      </c>
      <c r="B12" s="22">
        <v>43830</v>
      </c>
      <c r="C12">
        <v>2019</v>
      </c>
      <c r="D12" s="156" t="s">
        <v>212</v>
      </c>
      <c r="E12" s="156" t="s">
        <v>213</v>
      </c>
      <c r="AL12" s="10">
        <v>0</v>
      </c>
      <c r="BM12" s="10">
        <v>108919000</v>
      </c>
      <c r="BR12" s="10">
        <v>23195000</v>
      </c>
      <c r="CO12" s="41"/>
      <c r="CT12" s="41"/>
      <c r="CW12" s="41"/>
      <c r="CY12" s="41"/>
      <c r="DD12" s="41">
        <v>2019</v>
      </c>
      <c r="DR12" s="10">
        <v>0</v>
      </c>
      <c r="DX12" s="10"/>
      <c r="DY12" s="10"/>
      <c r="DZ12" s="10">
        <v>8024000</v>
      </c>
      <c r="EA12" s="10"/>
      <c r="EB12" s="10"/>
      <c r="EC12" s="156" t="s">
        <v>652</v>
      </c>
    </row>
    <row r="13" spans="1:133" x14ac:dyDescent="0.35">
      <c r="A13" s="156" t="s">
        <v>651</v>
      </c>
      <c r="B13" s="22">
        <v>44196</v>
      </c>
      <c r="C13">
        <v>2020</v>
      </c>
      <c r="D13" s="156" t="s">
        <v>212</v>
      </c>
      <c r="E13" s="156" t="s">
        <v>213</v>
      </c>
      <c r="F13" s="10">
        <v>44848000</v>
      </c>
      <c r="G13" s="10">
        <v>197461000</v>
      </c>
      <c r="H13" s="10">
        <v>-118749000</v>
      </c>
      <c r="I13" s="10">
        <v>763051000</v>
      </c>
      <c r="J13" s="10">
        <v>-2760000</v>
      </c>
      <c r="N13" s="10">
        <v>84328000</v>
      </c>
      <c r="O13" s="10">
        <v>18000</v>
      </c>
      <c r="P13" s="10">
        <v>59675000</v>
      </c>
      <c r="Q13" s="10">
        <v>59675000</v>
      </c>
      <c r="R13" s="10">
        <v>18000</v>
      </c>
      <c r="S13" s="10">
        <v>553045000</v>
      </c>
      <c r="U13" s="10">
        <v>271000</v>
      </c>
      <c r="V13" s="10">
        <v>272620000</v>
      </c>
      <c r="Z13" s="10">
        <v>285618000</v>
      </c>
      <c r="AB13" s="10">
        <v>-3885000</v>
      </c>
      <c r="AD13" s="10">
        <v>1054302000</v>
      </c>
      <c r="AE13" s="10">
        <v>200221000</v>
      </c>
      <c r="AF13" s="10">
        <v>235321000</v>
      </c>
      <c r="AI13" s="10">
        <v>271000</v>
      </c>
      <c r="AJ13" s="10">
        <v>1039411000</v>
      </c>
      <c r="AL13" s="10">
        <v>1054302000</v>
      </c>
      <c r="AN13" s="10">
        <v>31403000</v>
      </c>
      <c r="AO13" s="10">
        <v>84328000</v>
      </c>
      <c r="AP13" s="10">
        <v>486366000</v>
      </c>
      <c r="AQ13" s="10">
        <v>570694000</v>
      </c>
      <c r="AT13" s="10">
        <v>130321000</v>
      </c>
      <c r="AV13" s="10">
        <v>426691000</v>
      </c>
      <c r="AW13" s="10">
        <v>116572000</v>
      </c>
      <c r="AX13" s="10">
        <v>-501257000</v>
      </c>
      <c r="AY13" s="10">
        <v>22873000</v>
      </c>
      <c r="AZ13" s="10">
        <v>8211000</v>
      </c>
      <c r="BB13" s="10">
        <v>78194000</v>
      </c>
      <c r="BC13" s="10">
        <v>14400000</v>
      </c>
      <c r="BF13" s="10">
        <v>-3885000</v>
      </c>
      <c r="BG13" s="10">
        <v>1054302000</v>
      </c>
      <c r="BH13" s="10">
        <v>15615000</v>
      </c>
      <c r="BI13" s="10">
        <v>33382000</v>
      </c>
      <c r="BK13" s="10">
        <v>73597000</v>
      </c>
      <c r="BM13" s="10">
        <v>0</v>
      </c>
      <c r="BN13" s="10">
        <v>44848000</v>
      </c>
      <c r="BO13" s="10">
        <v>45119000</v>
      </c>
      <c r="BP13" s="10">
        <v>49249000</v>
      </c>
      <c r="BR13" s="10">
        <v>14400000</v>
      </c>
      <c r="BS13" s="10">
        <v>0</v>
      </c>
      <c r="BT13" s="10">
        <v>197461000</v>
      </c>
      <c r="BU13" s="10">
        <v>1084000</v>
      </c>
      <c r="BV13" s="10">
        <v>575965000</v>
      </c>
      <c r="BW13" s="10">
        <v>165034000</v>
      </c>
      <c r="BX13" s="10">
        <v>553045000</v>
      </c>
      <c r="BY13" s="10">
        <v>-501257000</v>
      </c>
      <c r="BZ13" s="10">
        <v>1465612000</v>
      </c>
      <c r="CA13" s="10">
        <v>1039411000</v>
      </c>
      <c r="CB13" s="10">
        <v>570694000</v>
      </c>
      <c r="CC13" s="10">
        <v>553045000</v>
      </c>
      <c r="CD13" s="10">
        <v>912567000</v>
      </c>
      <c r="CE13" s="10">
        <v>1192992000</v>
      </c>
      <c r="CF13" s="10">
        <v>626949000</v>
      </c>
      <c r="CI13" s="10">
        <v>-12998000</v>
      </c>
      <c r="CJ13" s="10">
        <v>191250000</v>
      </c>
      <c r="CK13" s="10">
        <v>191250000</v>
      </c>
      <c r="CO13" s="41"/>
      <c r="CP13" s="10">
        <v>6503000</v>
      </c>
      <c r="CQ13" s="10">
        <v>6503000</v>
      </c>
      <c r="CT13" s="41"/>
      <c r="CW13" s="41"/>
      <c r="CY13" s="41"/>
      <c r="DA13" s="10">
        <v>14662000</v>
      </c>
      <c r="DD13" s="41">
        <v>2020</v>
      </c>
      <c r="DK13" s="10">
        <v>0</v>
      </c>
      <c r="DL13" s="10">
        <v>86840000</v>
      </c>
      <c r="DM13" s="10">
        <v>782104000</v>
      </c>
      <c r="DR13" s="10">
        <v>1054302000</v>
      </c>
      <c r="DX13" s="10"/>
      <c r="DY13" s="10"/>
      <c r="DZ13" s="10">
        <v>15615000</v>
      </c>
      <c r="EA13" s="10"/>
      <c r="EB13" s="10"/>
      <c r="EC13" s="156" t="s">
        <v>652</v>
      </c>
    </row>
    <row r="14" spans="1:133" x14ac:dyDescent="0.35">
      <c r="A14" s="156" t="s">
        <v>651</v>
      </c>
      <c r="B14" s="22">
        <v>44561</v>
      </c>
      <c r="C14">
        <v>2021</v>
      </c>
      <c r="D14" s="156" t="s">
        <v>212</v>
      </c>
      <c r="E14" s="156" t="s">
        <v>213</v>
      </c>
      <c r="F14" s="10">
        <v>46084000</v>
      </c>
      <c r="G14" s="10">
        <v>189280000</v>
      </c>
      <c r="H14" s="10">
        <v>-122630000</v>
      </c>
      <c r="I14" s="10">
        <v>1727143000</v>
      </c>
      <c r="J14" s="10">
        <v>-2775000</v>
      </c>
      <c r="N14" s="10">
        <v>76608000</v>
      </c>
      <c r="O14" s="10">
        <v>20000</v>
      </c>
      <c r="P14" s="10">
        <v>63356000</v>
      </c>
      <c r="Q14" s="10">
        <v>63356000</v>
      </c>
      <c r="R14" s="10">
        <v>20000</v>
      </c>
      <c r="S14" s="10">
        <v>978958000</v>
      </c>
      <c r="U14" s="10">
        <v>1493000</v>
      </c>
      <c r="V14" s="10">
        <v>267965000</v>
      </c>
      <c r="Z14" s="10">
        <v>311985000</v>
      </c>
      <c r="AB14" s="10">
        <v>-7543000</v>
      </c>
      <c r="AD14" s="10">
        <v>2850210000</v>
      </c>
      <c r="AE14" s="10">
        <v>192055000</v>
      </c>
      <c r="AF14" s="10">
        <v>225977000</v>
      </c>
      <c r="AI14" s="10">
        <v>1493000</v>
      </c>
      <c r="AJ14" s="10">
        <v>3134109000</v>
      </c>
      <c r="AN14" s="10">
        <v>28872000</v>
      </c>
      <c r="AO14" s="10">
        <v>76608000</v>
      </c>
      <c r="AP14" s="10">
        <v>2155151000</v>
      </c>
      <c r="AQ14" s="10">
        <v>2231759000</v>
      </c>
      <c r="AT14" s="10">
        <v>130345000</v>
      </c>
      <c r="AV14" s="10">
        <v>2091795000</v>
      </c>
      <c r="AW14" s="10">
        <v>103347000</v>
      </c>
      <c r="AX14" s="10">
        <v>-1871252000</v>
      </c>
      <c r="AY14" s="10">
        <v>8198000</v>
      </c>
      <c r="AZ14" s="10">
        <v>109000</v>
      </c>
      <c r="BB14" s="10">
        <v>95184000</v>
      </c>
      <c r="BC14" s="10">
        <v>14251000</v>
      </c>
      <c r="BF14" s="10">
        <v>-7543000</v>
      </c>
      <c r="BG14" s="10">
        <v>2850210000</v>
      </c>
      <c r="BH14" s="10">
        <v>15820000</v>
      </c>
      <c r="BI14" s="10">
        <v>26224000</v>
      </c>
      <c r="BK14" s="10">
        <v>66760000</v>
      </c>
      <c r="BN14" s="10">
        <v>46084000</v>
      </c>
      <c r="BO14" s="10">
        <v>47577000</v>
      </c>
      <c r="BP14" s="10">
        <v>54548000</v>
      </c>
      <c r="BR14" s="10">
        <v>14251000</v>
      </c>
      <c r="BS14" s="10">
        <v>0</v>
      </c>
      <c r="BT14" s="10">
        <v>189280000</v>
      </c>
      <c r="BU14" s="10">
        <v>1078000</v>
      </c>
      <c r="BV14" s="10">
        <v>41442000</v>
      </c>
      <c r="BW14" s="10">
        <v>182024000</v>
      </c>
      <c r="BX14" s="10">
        <v>978958000</v>
      </c>
      <c r="BY14" s="10">
        <v>-1871252000</v>
      </c>
      <c r="BZ14" s="10">
        <v>3557124000</v>
      </c>
      <c r="CA14" s="10">
        <v>3134109000</v>
      </c>
      <c r="CB14" s="10">
        <v>2231759000</v>
      </c>
      <c r="CC14" s="10">
        <v>978958000</v>
      </c>
      <c r="CD14" s="10">
        <v>2578166000</v>
      </c>
      <c r="CE14" s="10">
        <v>3289159000</v>
      </c>
      <c r="CF14" s="10">
        <v>2266181000</v>
      </c>
      <c r="CI14" s="10">
        <v>-44020000</v>
      </c>
      <c r="CJ14" s="10">
        <v>209860000</v>
      </c>
      <c r="CK14" s="10">
        <v>209860000</v>
      </c>
      <c r="CO14" s="41"/>
      <c r="CP14" s="10">
        <v>319782000</v>
      </c>
      <c r="CQ14" s="10">
        <v>319782000</v>
      </c>
      <c r="CT14" s="41"/>
      <c r="CW14" s="41"/>
      <c r="CY14" s="41"/>
      <c r="DA14" s="10">
        <v>8089000</v>
      </c>
      <c r="DD14" s="41">
        <v>2021</v>
      </c>
      <c r="DK14" s="10">
        <v>0</v>
      </c>
      <c r="DL14" s="10">
        <v>86840000</v>
      </c>
      <c r="DM14" s="10">
        <v>782104000</v>
      </c>
      <c r="DX14" s="10"/>
      <c r="DY14" s="10"/>
      <c r="DZ14" s="10">
        <v>15820000</v>
      </c>
      <c r="EA14" s="10"/>
      <c r="EB14" s="10"/>
      <c r="EC14" s="156" t="s">
        <v>652</v>
      </c>
    </row>
    <row r="15" spans="1:133" x14ac:dyDescent="0.35">
      <c r="A15" s="156" t="s">
        <v>651</v>
      </c>
      <c r="B15" s="22">
        <v>44926</v>
      </c>
      <c r="C15">
        <v>2022</v>
      </c>
      <c r="D15" s="156" t="s">
        <v>212</v>
      </c>
      <c r="E15" s="156" t="s">
        <v>213</v>
      </c>
      <c r="F15" s="10">
        <v>42976000</v>
      </c>
      <c r="G15" s="10">
        <v>189280000</v>
      </c>
      <c r="H15" s="10">
        <v>-125317000</v>
      </c>
      <c r="I15" s="10">
        <v>1841120000</v>
      </c>
      <c r="J15" s="10">
        <v>-2564000</v>
      </c>
      <c r="N15" s="10">
        <v>67344000</v>
      </c>
      <c r="O15" s="10">
        <v>20000</v>
      </c>
      <c r="P15" s="10">
        <v>43835000</v>
      </c>
      <c r="Q15" s="10">
        <v>43835000</v>
      </c>
      <c r="R15" s="10">
        <v>20000</v>
      </c>
      <c r="S15" s="10">
        <v>-383120000</v>
      </c>
      <c r="U15" s="10">
        <v>2829000</v>
      </c>
      <c r="V15" s="10">
        <v>264566000</v>
      </c>
      <c r="X15" s="10">
        <v>454000</v>
      </c>
      <c r="Y15" s="10">
        <v>454000</v>
      </c>
      <c r="Z15" s="10">
        <v>317403000</v>
      </c>
      <c r="AB15" s="10">
        <v>-13801000</v>
      </c>
      <c r="AD15" s="10">
        <v>1840028000</v>
      </c>
      <c r="AE15" s="10">
        <v>191844000</v>
      </c>
      <c r="AF15" s="10">
        <v>218927000</v>
      </c>
      <c r="AI15" s="10">
        <v>2829000</v>
      </c>
      <c r="AJ15" s="10">
        <v>1995894000</v>
      </c>
      <c r="AN15" s="10">
        <v>28755000</v>
      </c>
      <c r="AO15" s="10">
        <v>67344000</v>
      </c>
      <c r="AP15" s="10">
        <v>2378560000</v>
      </c>
      <c r="AQ15" s="10">
        <v>2445904000</v>
      </c>
      <c r="AT15" s="10">
        <v>128873000</v>
      </c>
      <c r="AV15" s="10">
        <v>2335179000</v>
      </c>
      <c r="AW15" s="10">
        <v>93610000</v>
      </c>
      <c r="AX15" s="10">
        <v>-2223148000</v>
      </c>
      <c r="AY15" s="10">
        <v>12961000</v>
      </c>
      <c r="AZ15" s="10">
        <v>198000</v>
      </c>
      <c r="BB15" s="10">
        <v>97814000</v>
      </c>
      <c r="BC15" s="10">
        <v>24418000</v>
      </c>
      <c r="BF15" s="10">
        <v>-13801000</v>
      </c>
      <c r="BG15" s="10">
        <v>1840028000</v>
      </c>
      <c r="BH15" s="10">
        <v>23916000</v>
      </c>
      <c r="BI15" s="10">
        <v>17124000</v>
      </c>
      <c r="BK15" s="10">
        <v>61299000</v>
      </c>
      <c r="BN15" s="10">
        <v>42976000</v>
      </c>
      <c r="BO15" s="10">
        <v>45805000</v>
      </c>
      <c r="BP15" s="10">
        <v>53716000</v>
      </c>
      <c r="BS15" s="10">
        <v>0</v>
      </c>
      <c r="BT15" s="10">
        <v>189280000</v>
      </c>
      <c r="BU15" s="10">
        <v>7033000</v>
      </c>
      <c r="BV15" s="10">
        <v>-1428355000</v>
      </c>
      <c r="BW15" s="10">
        <v>184654000</v>
      </c>
      <c r="BX15" s="10">
        <v>-383120000</v>
      </c>
      <c r="BY15" s="10">
        <v>-2223148000</v>
      </c>
      <c r="BZ15" s="10">
        <v>2410272000</v>
      </c>
      <c r="CA15" s="10">
        <v>1995440000</v>
      </c>
      <c r="CB15" s="10">
        <v>2446358000</v>
      </c>
      <c r="CC15" s="10">
        <v>-383120000</v>
      </c>
      <c r="CD15" s="10">
        <v>2793392000</v>
      </c>
      <c r="CE15" s="10">
        <v>2145706000</v>
      </c>
      <c r="CF15" s="10">
        <v>2475989000</v>
      </c>
      <c r="CI15" s="10">
        <v>-52837000</v>
      </c>
      <c r="CJ15" s="10">
        <v>217428000</v>
      </c>
      <c r="CK15" s="10">
        <v>217428000</v>
      </c>
      <c r="CO15" s="41"/>
      <c r="CP15" s="10">
        <v>188152000</v>
      </c>
      <c r="CQ15" s="10">
        <v>188152000</v>
      </c>
      <c r="CT15" s="41"/>
      <c r="CW15" s="41"/>
      <c r="CY15" s="41"/>
      <c r="DA15" s="10">
        <v>12763000</v>
      </c>
      <c r="DD15" s="41">
        <v>2022</v>
      </c>
      <c r="DK15" s="10">
        <v>0</v>
      </c>
      <c r="DL15" s="10">
        <v>86840000</v>
      </c>
      <c r="DM15" s="10">
        <v>782104000</v>
      </c>
      <c r="DX15" s="10"/>
      <c r="DY15" s="10"/>
      <c r="DZ15" s="10"/>
      <c r="EA15" s="10"/>
      <c r="EB15" s="10"/>
      <c r="EC15" s="156" t="s">
        <v>652</v>
      </c>
    </row>
    <row r="16" spans="1:133" x14ac:dyDescent="0.35">
      <c r="A16" s="156" t="s">
        <v>651</v>
      </c>
      <c r="B16" s="22">
        <v>45291</v>
      </c>
      <c r="C16">
        <v>2023</v>
      </c>
      <c r="D16" s="156" t="s">
        <v>212</v>
      </c>
      <c r="E16" s="156" t="s">
        <v>213</v>
      </c>
      <c r="F16" s="10">
        <v>43090000</v>
      </c>
      <c r="G16" s="10">
        <v>183815000</v>
      </c>
      <c r="H16" s="10">
        <v>-130464000</v>
      </c>
      <c r="I16" s="10">
        <v>3957728000</v>
      </c>
      <c r="J16" s="10">
        <v>-3069000</v>
      </c>
      <c r="N16" s="10">
        <v>61086000</v>
      </c>
      <c r="O16" s="10">
        <v>26000</v>
      </c>
      <c r="P16" s="10">
        <v>46817000</v>
      </c>
      <c r="Q16" s="10">
        <v>46817000</v>
      </c>
      <c r="R16" s="10">
        <v>26000</v>
      </c>
      <c r="S16" s="10">
        <v>2164972000</v>
      </c>
      <c r="U16" s="10">
        <v>1493000</v>
      </c>
      <c r="V16" s="10">
        <v>267895000</v>
      </c>
      <c r="X16" s="10">
        <v>483000</v>
      </c>
      <c r="Y16" s="10">
        <v>483000</v>
      </c>
      <c r="Z16" s="10">
        <v>323273000</v>
      </c>
      <c r="AB16" s="10">
        <v>-11444000</v>
      </c>
      <c r="AD16" s="10">
        <v>3626476000</v>
      </c>
      <c r="AE16" s="10">
        <v>186884000</v>
      </c>
      <c r="AF16" s="10">
        <v>216748000</v>
      </c>
      <c r="AI16" s="10">
        <v>1493000</v>
      </c>
      <c r="AJ16" s="10">
        <v>4347563000</v>
      </c>
      <c r="AN16" s="10">
        <v>29944000</v>
      </c>
      <c r="AO16" s="10">
        <v>61086000</v>
      </c>
      <c r="AP16" s="10">
        <v>2182108000</v>
      </c>
      <c r="AQ16" s="10">
        <v>2243194000</v>
      </c>
      <c r="AT16" s="10">
        <v>129461000</v>
      </c>
      <c r="AV16" s="10">
        <v>2135774000</v>
      </c>
      <c r="AW16" s="10">
        <v>86284000</v>
      </c>
      <c r="AX16" s="10">
        <v>-1461504000</v>
      </c>
      <c r="AY16" s="10">
        <v>8881000</v>
      </c>
      <c r="AZ16" s="10">
        <v>357000</v>
      </c>
      <c r="BB16" s="10">
        <v>151004000</v>
      </c>
      <c r="BC16" s="10">
        <v>35407000</v>
      </c>
      <c r="BF16" s="10">
        <v>-11444000</v>
      </c>
      <c r="BG16" s="10">
        <v>3626476000</v>
      </c>
      <c r="BH16" s="10">
        <v>24300000</v>
      </c>
      <c r="BI16" s="10">
        <v>22208000</v>
      </c>
      <c r="BK16" s="10">
        <v>57343000</v>
      </c>
      <c r="BN16" s="10">
        <v>43090000</v>
      </c>
      <c r="BO16" s="10">
        <v>44583000</v>
      </c>
      <c r="BP16" s="10">
        <v>50045000</v>
      </c>
      <c r="BS16" s="10">
        <v>0</v>
      </c>
      <c r="BT16" s="10">
        <v>183815000</v>
      </c>
      <c r="BU16" s="10">
        <v>1856000</v>
      </c>
      <c r="BV16" s="10">
        <v>-999234000</v>
      </c>
      <c r="BW16" s="10">
        <v>237844000</v>
      </c>
      <c r="BX16" s="10">
        <v>2164972000</v>
      </c>
      <c r="BY16" s="10">
        <v>-1461504000</v>
      </c>
      <c r="BZ16" s="10">
        <v>4762528000</v>
      </c>
      <c r="CA16" s="10">
        <v>4347080000</v>
      </c>
      <c r="CB16" s="10">
        <v>2243677000</v>
      </c>
      <c r="CC16" s="10">
        <v>2164972000</v>
      </c>
      <c r="CD16" s="10">
        <v>2597556000</v>
      </c>
      <c r="CE16" s="10">
        <v>4494633000</v>
      </c>
      <c r="CF16" s="10">
        <v>2274283000</v>
      </c>
      <c r="CI16" s="10">
        <v>-55378000</v>
      </c>
      <c r="CJ16" s="10">
        <v>228162000</v>
      </c>
      <c r="CK16" s="10">
        <v>228162000</v>
      </c>
      <c r="CO16" s="41"/>
      <c r="CP16" s="10">
        <v>757573000</v>
      </c>
      <c r="CQ16" s="10">
        <v>757573000</v>
      </c>
      <c r="CT16" s="41"/>
      <c r="CW16" s="41"/>
      <c r="CY16" s="41"/>
      <c r="DA16" s="10">
        <v>8524000</v>
      </c>
      <c r="DD16" s="41">
        <v>2023</v>
      </c>
      <c r="DK16" s="10">
        <v>0</v>
      </c>
      <c r="DL16" s="10">
        <v>86840000</v>
      </c>
      <c r="DM16" s="10">
        <v>782104000</v>
      </c>
      <c r="DX16" s="10"/>
      <c r="DY16" s="10"/>
      <c r="DZ16" s="10"/>
      <c r="EA16" s="10"/>
      <c r="EB16" s="10"/>
      <c r="EC16" s="156" t="s">
        <v>652</v>
      </c>
    </row>
    <row r="17" spans="1:133" x14ac:dyDescent="0.35">
      <c r="A17" s="156" t="s">
        <v>653</v>
      </c>
      <c r="B17" s="22">
        <v>43830</v>
      </c>
      <c r="C17">
        <v>2019</v>
      </c>
      <c r="D17" s="156" t="s">
        <v>212</v>
      </c>
      <c r="E17" s="156" t="s">
        <v>213</v>
      </c>
      <c r="BR17" s="10">
        <v>26703000</v>
      </c>
      <c r="CO17" s="41"/>
      <c r="CT17" s="41"/>
      <c r="CW17" s="41"/>
      <c r="CY17" s="41"/>
      <c r="DD17" s="41">
        <v>2019</v>
      </c>
      <c r="DX17" s="10"/>
      <c r="DY17" s="10"/>
      <c r="DZ17" s="10"/>
      <c r="EA17" s="10"/>
      <c r="EB17" s="10"/>
      <c r="EC17" s="156" t="s">
        <v>654</v>
      </c>
    </row>
    <row r="18" spans="1:133" x14ac:dyDescent="0.35">
      <c r="A18" s="156" t="s">
        <v>653</v>
      </c>
      <c r="B18" s="22">
        <v>44196</v>
      </c>
      <c r="C18">
        <v>2020</v>
      </c>
      <c r="D18" s="156" t="s">
        <v>212</v>
      </c>
      <c r="E18" s="156" t="s">
        <v>213</v>
      </c>
      <c r="F18" s="10">
        <v>2442000</v>
      </c>
      <c r="G18" s="10">
        <v>43846000</v>
      </c>
      <c r="H18" s="10">
        <v>-171852000</v>
      </c>
      <c r="I18" s="10">
        <v>360939000</v>
      </c>
      <c r="J18" s="10">
        <v>-4942000</v>
      </c>
      <c r="N18" s="10">
        <v>41620000</v>
      </c>
      <c r="O18" s="10">
        <v>389000</v>
      </c>
      <c r="P18" s="10">
        <v>428574000</v>
      </c>
      <c r="Q18" s="10">
        <v>428574000</v>
      </c>
      <c r="R18" s="10">
        <v>389000</v>
      </c>
      <c r="S18" s="10">
        <v>421925000</v>
      </c>
      <c r="U18" s="10">
        <v>19246000</v>
      </c>
      <c r="V18" s="10">
        <v>489070000</v>
      </c>
      <c r="Z18" s="10">
        <v>256929000</v>
      </c>
      <c r="AB18" s="10">
        <v>-7681000</v>
      </c>
      <c r="AC18" s="10">
        <v>89413000</v>
      </c>
      <c r="AD18" s="10">
        <v>115178000</v>
      </c>
      <c r="AE18" s="10">
        <v>48788000</v>
      </c>
      <c r="AF18" s="10">
        <v>262310000</v>
      </c>
      <c r="AJ18" s="10">
        <v>421925000</v>
      </c>
      <c r="AN18" s="10">
        <v>19382000</v>
      </c>
      <c r="AO18" s="10">
        <v>41620000</v>
      </c>
      <c r="AQ18" s="10">
        <v>41620000</v>
      </c>
      <c r="AT18" s="10">
        <v>203376000</v>
      </c>
      <c r="AW18" s="10">
        <v>90458000</v>
      </c>
      <c r="AX18" s="10">
        <v>306747000</v>
      </c>
      <c r="AY18" s="10">
        <v>0</v>
      </c>
      <c r="AZ18" s="10">
        <v>0</v>
      </c>
      <c r="BB18" s="10">
        <v>36245000</v>
      </c>
      <c r="BC18" s="10">
        <v>16650000</v>
      </c>
      <c r="BE18" s="10">
        <v>10399000</v>
      </c>
      <c r="BF18" s="10">
        <v>-7681000</v>
      </c>
      <c r="BG18" s="10">
        <v>25765000</v>
      </c>
      <c r="BH18" s="10">
        <v>21372000</v>
      </c>
      <c r="BI18" s="10">
        <v>9170000</v>
      </c>
      <c r="BJ18" s="10">
        <v>26336000</v>
      </c>
      <c r="BK18" s="10">
        <v>39552000</v>
      </c>
      <c r="BN18" s="10">
        <v>45942000</v>
      </c>
      <c r="BO18" s="10">
        <v>65188000</v>
      </c>
      <c r="BP18" s="10">
        <v>31499000</v>
      </c>
      <c r="BR18" s="10">
        <v>16650000</v>
      </c>
      <c r="BS18" s="10">
        <v>0</v>
      </c>
      <c r="BT18" s="10">
        <v>43846000</v>
      </c>
      <c r="BV18" s="10">
        <v>168305000</v>
      </c>
      <c r="BW18" s="10">
        <v>38803000</v>
      </c>
      <c r="BX18" s="10">
        <v>421925000</v>
      </c>
      <c r="BY18" s="10">
        <v>306747000</v>
      </c>
      <c r="BZ18" s="10">
        <v>729644000</v>
      </c>
      <c r="CA18" s="10">
        <v>421925000</v>
      </c>
      <c r="CB18" s="10">
        <v>41620000</v>
      </c>
      <c r="CC18" s="10">
        <v>421925000</v>
      </c>
      <c r="CD18" s="10">
        <v>307719000</v>
      </c>
      <c r="CE18" s="10">
        <v>240574000</v>
      </c>
      <c r="CF18" s="10">
        <v>50790000</v>
      </c>
      <c r="CG18" s="10">
        <v>17164000</v>
      </c>
      <c r="CI18" s="10">
        <v>232141000</v>
      </c>
      <c r="CJ18" s="10">
        <v>149843000</v>
      </c>
      <c r="CK18" s="10">
        <v>149843000</v>
      </c>
      <c r="CO18" s="41"/>
      <c r="CP18" s="10">
        <v>13566000</v>
      </c>
      <c r="CQ18" s="10">
        <v>13566000</v>
      </c>
      <c r="CT18" s="41"/>
      <c r="CW18" s="41"/>
      <c r="CY18" s="41"/>
      <c r="DD18" s="41">
        <v>2020</v>
      </c>
      <c r="DL18" s="10">
        <v>2558000</v>
      </c>
      <c r="DM18" s="10">
        <v>100027000</v>
      </c>
      <c r="DX18" s="10"/>
      <c r="DY18" s="10"/>
      <c r="DZ18" s="10"/>
      <c r="EA18" s="10"/>
      <c r="EB18" s="10"/>
      <c r="EC18" s="156" t="s">
        <v>654</v>
      </c>
    </row>
    <row r="19" spans="1:133" x14ac:dyDescent="0.35">
      <c r="A19" s="156" t="s">
        <v>653</v>
      </c>
      <c r="B19" s="22">
        <v>44561</v>
      </c>
      <c r="C19">
        <v>2021</v>
      </c>
      <c r="D19" s="156" t="s">
        <v>212</v>
      </c>
      <c r="E19" s="156" t="s">
        <v>213</v>
      </c>
      <c r="F19" s="10">
        <v>10092000</v>
      </c>
      <c r="G19" s="10">
        <v>47707000</v>
      </c>
      <c r="H19" s="10">
        <v>-203046000</v>
      </c>
      <c r="I19" s="10">
        <v>376537000</v>
      </c>
      <c r="J19" s="10">
        <v>-1910000</v>
      </c>
      <c r="N19" s="10">
        <v>36966000</v>
      </c>
      <c r="O19" s="10">
        <v>392000</v>
      </c>
      <c r="P19" s="10">
        <v>314017000</v>
      </c>
      <c r="Q19" s="10">
        <v>314017000</v>
      </c>
      <c r="R19" s="10">
        <v>392000</v>
      </c>
      <c r="S19" s="10">
        <v>468482000</v>
      </c>
      <c r="U19" s="10">
        <v>34512000</v>
      </c>
      <c r="V19" s="10">
        <v>388215000</v>
      </c>
      <c r="Z19" s="10">
        <v>333784000</v>
      </c>
      <c r="AB19" s="10">
        <v>-10788000</v>
      </c>
      <c r="AC19" s="10">
        <v>219816000</v>
      </c>
      <c r="AD19" s="10">
        <v>343638000</v>
      </c>
      <c r="AE19" s="10">
        <v>49617000</v>
      </c>
      <c r="AF19" s="10">
        <v>285690000</v>
      </c>
      <c r="AJ19" s="10">
        <v>468482000</v>
      </c>
      <c r="AN19" s="10">
        <v>19453000</v>
      </c>
      <c r="AO19" s="10">
        <v>36966000</v>
      </c>
      <c r="AQ19" s="10">
        <v>36966000</v>
      </c>
      <c r="AT19" s="10">
        <v>231667000</v>
      </c>
      <c r="AW19" s="10">
        <v>82644000</v>
      </c>
      <c r="AX19" s="10">
        <v>124844000</v>
      </c>
      <c r="AY19" s="10">
        <v>2781000</v>
      </c>
      <c r="AZ19" s="10">
        <v>2781000</v>
      </c>
      <c r="BB19" s="10">
        <v>36417000</v>
      </c>
      <c r="BC19" s="10">
        <v>26491000</v>
      </c>
      <c r="BE19" s="10">
        <v>14180000</v>
      </c>
      <c r="BF19" s="10">
        <v>-10788000</v>
      </c>
      <c r="BG19" s="10">
        <v>123822000</v>
      </c>
      <c r="BH19" s="10">
        <v>26701000</v>
      </c>
      <c r="BI19" s="10">
        <v>9697000</v>
      </c>
      <c r="BJ19" s="10">
        <v>29004000</v>
      </c>
      <c r="BK19" s="10">
        <v>34570000</v>
      </c>
      <c r="BN19" s="10">
        <v>60584000</v>
      </c>
      <c r="BO19" s="10">
        <v>95096000</v>
      </c>
      <c r="BP19" s="10">
        <v>43529000</v>
      </c>
      <c r="BR19" s="10">
        <v>26491000</v>
      </c>
      <c r="BS19" s="10">
        <v>0</v>
      </c>
      <c r="BT19" s="10">
        <v>47707000</v>
      </c>
      <c r="BV19" s="10">
        <v>229537000</v>
      </c>
      <c r="BW19" s="10">
        <v>39209000</v>
      </c>
      <c r="BX19" s="10">
        <v>468482000</v>
      </c>
      <c r="BY19" s="10">
        <v>124844000</v>
      </c>
      <c r="BZ19" s="10">
        <v>851710000</v>
      </c>
      <c r="CA19" s="10">
        <v>468482000</v>
      </c>
      <c r="CB19" s="10">
        <v>36966000</v>
      </c>
      <c r="CC19" s="10">
        <v>468482000</v>
      </c>
      <c r="CD19" s="10">
        <v>383228000</v>
      </c>
      <c r="CE19" s="10">
        <v>463495000</v>
      </c>
      <c r="CF19" s="10">
        <v>49444000</v>
      </c>
      <c r="CG19" s="10">
        <v>21488000</v>
      </c>
      <c r="CI19" s="10">
        <v>54431000</v>
      </c>
      <c r="CJ19" s="10">
        <v>180979000</v>
      </c>
      <c r="CK19" s="10">
        <v>180979000</v>
      </c>
      <c r="CO19" s="41"/>
      <c r="CP19" s="10">
        <v>10512000</v>
      </c>
      <c r="CQ19" s="10">
        <v>10512000</v>
      </c>
      <c r="CT19" s="41"/>
      <c r="CW19" s="41"/>
      <c r="CY19" s="41"/>
      <c r="DD19" s="41">
        <v>2021</v>
      </c>
      <c r="DH19" s="10">
        <v>0</v>
      </c>
      <c r="DL19" s="10">
        <v>2792000</v>
      </c>
      <c r="DM19" s="10">
        <v>127196000</v>
      </c>
      <c r="DX19" s="10"/>
      <c r="DY19" s="10"/>
      <c r="DZ19" s="10"/>
      <c r="EA19" s="10"/>
      <c r="EB19" s="10"/>
      <c r="EC19" s="156" t="s">
        <v>654</v>
      </c>
    </row>
    <row r="20" spans="1:133" x14ac:dyDescent="0.35">
      <c r="A20" s="156" t="s">
        <v>653</v>
      </c>
      <c r="B20" s="22">
        <v>44926</v>
      </c>
      <c r="C20">
        <v>2022</v>
      </c>
      <c r="D20" s="156" t="s">
        <v>212</v>
      </c>
      <c r="E20" s="156" t="s">
        <v>213</v>
      </c>
      <c r="F20" s="10">
        <v>7183000</v>
      </c>
      <c r="G20" s="10">
        <v>67249000</v>
      </c>
      <c r="H20" s="10">
        <v>-235482000</v>
      </c>
      <c r="I20" s="10">
        <v>391482000</v>
      </c>
      <c r="J20" s="10">
        <v>-5830000</v>
      </c>
      <c r="N20" s="10">
        <v>35611000</v>
      </c>
      <c r="O20" s="10">
        <v>396000</v>
      </c>
      <c r="P20" s="10">
        <v>115154000</v>
      </c>
      <c r="Q20" s="10">
        <v>115154000</v>
      </c>
      <c r="R20" s="10">
        <v>396000</v>
      </c>
      <c r="S20" s="10">
        <v>447482000</v>
      </c>
      <c r="U20" s="10">
        <v>24683000</v>
      </c>
      <c r="V20" s="10">
        <v>215671000</v>
      </c>
      <c r="X20" s="10">
        <v>50000000</v>
      </c>
      <c r="Y20" s="10">
        <v>50000000</v>
      </c>
      <c r="Z20" s="10">
        <v>383734000</v>
      </c>
      <c r="AB20" s="10">
        <v>-15439000</v>
      </c>
      <c r="AC20" s="10">
        <v>381920000</v>
      </c>
      <c r="AD20" s="10">
        <v>555007000</v>
      </c>
      <c r="AE20" s="10">
        <v>73079000</v>
      </c>
      <c r="AF20" s="10">
        <v>307623000</v>
      </c>
      <c r="AJ20" s="10">
        <v>497482000</v>
      </c>
      <c r="AN20" s="10">
        <v>18635000</v>
      </c>
      <c r="AO20" s="10">
        <v>35611000</v>
      </c>
      <c r="AQ20" s="10">
        <v>35611000</v>
      </c>
      <c r="AT20" s="10">
        <v>271395000</v>
      </c>
      <c r="AW20" s="10">
        <v>72141000</v>
      </c>
      <c r="AX20" s="10">
        <v>-107525000</v>
      </c>
      <c r="AY20" s="10">
        <v>4465000</v>
      </c>
      <c r="AZ20" s="10">
        <v>4465000</v>
      </c>
      <c r="BB20" s="10">
        <v>35829000</v>
      </c>
      <c r="BC20" s="10">
        <v>33268000</v>
      </c>
      <c r="BE20" s="10">
        <v>11445000</v>
      </c>
      <c r="BF20" s="10">
        <v>-15439000</v>
      </c>
      <c r="BG20" s="10">
        <v>173087000</v>
      </c>
      <c r="BH20" s="10">
        <v>21832000</v>
      </c>
      <c r="BI20" s="10">
        <v>9892000</v>
      </c>
      <c r="BJ20" s="10">
        <v>38649000</v>
      </c>
      <c r="BK20" s="10">
        <v>17593000</v>
      </c>
      <c r="BN20" s="10">
        <v>70222000</v>
      </c>
      <c r="BO20" s="10">
        <v>94905000</v>
      </c>
      <c r="BP20" s="10">
        <v>40314000</v>
      </c>
      <c r="BS20" s="10">
        <v>0</v>
      </c>
      <c r="BT20" s="10">
        <v>67249000</v>
      </c>
      <c r="BV20" s="10">
        <v>271051000</v>
      </c>
      <c r="BW20" s="10">
        <v>39605000</v>
      </c>
      <c r="BX20" s="10">
        <v>447482000</v>
      </c>
      <c r="BY20" s="10">
        <v>-107525000</v>
      </c>
      <c r="BZ20" s="10">
        <v>881184000</v>
      </c>
      <c r="CA20" s="10">
        <v>447482000</v>
      </c>
      <c r="CB20" s="10">
        <v>85611000</v>
      </c>
      <c r="CC20" s="10">
        <v>447482000</v>
      </c>
      <c r="CD20" s="10">
        <v>433702000</v>
      </c>
      <c r="CE20" s="10">
        <v>665513000</v>
      </c>
      <c r="CF20" s="10">
        <v>49968000</v>
      </c>
      <c r="CG20" s="10">
        <v>24390000</v>
      </c>
      <c r="CI20" s="10">
        <v>-168063000</v>
      </c>
      <c r="CJ20" s="10">
        <v>187070000</v>
      </c>
      <c r="CK20" s="10">
        <v>187070000</v>
      </c>
      <c r="CO20" s="41"/>
      <c r="CP20" s="10">
        <v>16533000</v>
      </c>
      <c r="CQ20" s="10">
        <v>16533000</v>
      </c>
      <c r="CT20" s="41"/>
      <c r="CW20" s="41"/>
      <c r="CY20" s="41"/>
      <c r="DD20" s="41">
        <v>2022</v>
      </c>
      <c r="DH20" s="10">
        <v>50000000</v>
      </c>
      <c r="DL20" s="10">
        <v>3776000</v>
      </c>
      <c r="DM20" s="10">
        <v>200008000</v>
      </c>
      <c r="DX20" s="10"/>
      <c r="DY20" s="10"/>
      <c r="DZ20" s="10"/>
      <c r="EA20" s="10"/>
      <c r="EB20" s="10"/>
      <c r="EC20" s="156" t="s">
        <v>654</v>
      </c>
    </row>
    <row r="21" spans="1:133" x14ac:dyDescent="0.35">
      <c r="A21" s="156" t="s">
        <v>653</v>
      </c>
      <c r="B21" s="22">
        <v>45291</v>
      </c>
      <c r="C21">
        <v>2023</v>
      </c>
      <c r="D21" s="156" t="s">
        <v>212</v>
      </c>
      <c r="E21" s="156" t="s">
        <v>213</v>
      </c>
      <c r="F21" s="10">
        <v>9108000</v>
      </c>
      <c r="G21" s="10">
        <v>91139000</v>
      </c>
      <c r="H21" s="10">
        <v>-274155000</v>
      </c>
      <c r="I21" s="10">
        <v>424229000</v>
      </c>
      <c r="J21" s="10">
        <v>-6335000</v>
      </c>
      <c r="N21" s="10">
        <v>29404000</v>
      </c>
      <c r="O21" s="10">
        <v>399000</v>
      </c>
      <c r="P21" s="10">
        <v>100490000</v>
      </c>
      <c r="Q21" s="10">
        <v>100490000</v>
      </c>
      <c r="R21" s="10">
        <v>399000</v>
      </c>
      <c r="S21" s="10">
        <v>527094000</v>
      </c>
      <c r="U21" s="10">
        <v>31989000</v>
      </c>
      <c r="V21" s="10">
        <v>292573000</v>
      </c>
      <c r="X21" s="10">
        <v>30000000</v>
      </c>
      <c r="Y21" s="10">
        <v>30000000</v>
      </c>
      <c r="Z21" s="10">
        <v>452386000</v>
      </c>
      <c r="AB21" s="10">
        <v>-11974000</v>
      </c>
      <c r="AC21" s="10">
        <v>383325000</v>
      </c>
      <c r="AD21" s="10">
        <v>567721000</v>
      </c>
      <c r="AE21" s="10">
        <v>97474000</v>
      </c>
      <c r="AF21" s="10">
        <v>353850000</v>
      </c>
      <c r="AJ21" s="10">
        <v>557094000</v>
      </c>
      <c r="AN21" s="10">
        <v>19153000</v>
      </c>
      <c r="AO21" s="10">
        <v>29404000</v>
      </c>
      <c r="AQ21" s="10">
        <v>29404000</v>
      </c>
      <c r="AT21" s="10">
        <v>319302000</v>
      </c>
      <c r="AW21" s="10">
        <v>79695000</v>
      </c>
      <c r="AX21" s="10">
        <v>-40627000</v>
      </c>
      <c r="AY21" s="10">
        <v>4182000</v>
      </c>
      <c r="AZ21" s="10">
        <v>4182000</v>
      </c>
      <c r="BB21" s="10">
        <v>35571000</v>
      </c>
      <c r="BC21" s="10">
        <v>100944000</v>
      </c>
      <c r="BE21" s="10">
        <v>23513000</v>
      </c>
      <c r="BF21" s="10">
        <v>-11974000</v>
      </c>
      <c r="BG21" s="10">
        <v>184396000</v>
      </c>
      <c r="BH21" s="10">
        <v>71152000</v>
      </c>
      <c r="BI21" s="10">
        <v>22949000</v>
      </c>
      <c r="BJ21" s="10">
        <v>54859000</v>
      </c>
      <c r="BK21" s="10">
        <v>15395000</v>
      </c>
      <c r="BN21" s="10">
        <v>87669000</v>
      </c>
      <c r="BO21" s="10">
        <v>119658000</v>
      </c>
      <c r="BP21" s="10">
        <v>75752000</v>
      </c>
      <c r="BS21" s="10">
        <v>0</v>
      </c>
      <c r="BT21" s="10">
        <v>91139000</v>
      </c>
      <c r="BV21" s="10">
        <v>342653000</v>
      </c>
      <c r="BW21" s="10">
        <v>39981000</v>
      </c>
      <c r="BX21" s="10">
        <v>527094000</v>
      </c>
      <c r="BY21" s="10">
        <v>-40627000</v>
      </c>
      <c r="BZ21" s="10">
        <v>1036015000</v>
      </c>
      <c r="CA21" s="10">
        <v>527094000</v>
      </c>
      <c r="CB21" s="10">
        <v>59404000</v>
      </c>
      <c r="CC21" s="10">
        <v>527094000</v>
      </c>
      <c r="CD21" s="10">
        <v>508921000</v>
      </c>
      <c r="CE21" s="10">
        <v>743442000</v>
      </c>
      <c r="CF21" s="10">
        <v>56535000</v>
      </c>
      <c r="CG21" s="10">
        <v>23702000</v>
      </c>
      <c r="CI21" s="10">
        <v>-159813000</v>
      </c>
      <c r="CJ21" s="10">
        <v>203463000</v>
      </c>
      <c r="CK21" s="10">
        <v>203463000</v>
      </c>
      <c r="CO21" s="41"/>
      <c r="CP21" s="10">
        <v>24874000</v>
      </c>
      <c r="CQ21" s="10">
        <v>24874000</v>
      </c>
      <c r="CT21" s="41"/>
      <c r="CW21" s="41"/>
      <c r="CY21" s="41"/>
      <c r="DD21" s="41">
        <v>2023</v>
      </c>
      <c r="DH21" s="10">
        <v>30000000</v>
      </c>
      <c r="DL21" s="10">
        <v>4410000</v>
      </c>
      <c r="DM21" s="10">
        <v>228213000</v>
      </c>
      <c r="DX21" s="10"/>
      <c r="DY21" s="10"/>
      <c r="DZ21" s="10"/>
      <c r="EA21" s="10"/>
      <c r="EB21" s="10"/>
      <c r="EC21" s="156" t="s">
        <v>654</v>
      </c>
    </row>
    <row r="22" spans="1:133" x14ac:dyDescent="0.35">
      <c r="A22" s="156" t="s">
        <v>655</v>
      </c>
      <c r="B22" s="22">
        <v>43830</v>
      </c>
      <c r="C22">
        <v>2019</v>
      </c>
      <c r="D22" s="156" t="s">
        <v>212</v>
      </c>
      <c r="E22" s="156" t="s">
        <v>213</v>
      </c>
      <c r="F22" s="10">
        <v>54351000</v>
      </c>
      <c r="CO22" s="41"/>
      <c r="CT22" s="41"/>
      <c r="CW22" s="41"/>
      <c r="CY22" s="41"/>
      <c r="DD22" s="41">
        <v>2019</v>
      </c>
      <c r="DX22" s="10"/>
      <c r="DY22" s="10"/>
      <c r="DZ22" s="10"/>
      <c r="EA22" s="10"/>
      <c r="EB22" s="10"/>
      <c r="EC22" s="156" t="s">
        <v>656</v>
      </c>
    </row>
    <row r="23" spans="1:133" x14ac:dyDescent="0.35">
      <c r="A23" s="156" t="s">
        <v>655</v>
      </c>
      <c r="B23" s="22">
        <v>44196</v>
      </c>
      <c r="C23">
        <v>2020</v>
      </c>
      <c r="D23" s="156" t="s">
        <v>212</v>
      </c>
      <c r="E23" s="156" t="s">
        <v>213</v>
      </c>
      <c r="F23" s="10">
        <v>59944000</v>
      </c>
      <c r="I23" s="10">
        <v>1394009000</v>
      </c>
      <c r="L23" s="10">
        <v>219719000</v>
      </c>
      <c r="O23" s="10">
        <v>765000</v>
      </c>
      <c r="P23" s="10">
        <v>286250000</v>
      </c>
      <c r="R23" s="10">
        <v>765000</v>
      </c>
      <c r="S23" s="10">
        <v>1203296000</v>
      </c>
      <c r="AJ23" s="10">
        <v>3392270000</v>
      </c>
      <c r="AK23" s="10">
        <v>219719000</v>
      </c>
      <c r="AL23" s="10">
        <v>1499370000</v>
      </c>
      <c r="AQ23" s="10">
        <v>2188974000</v>
      </c>
      <c r="AR23" s="10">
        <v>1279651000</v>
      </c>
      <c r="AU23" s="10">
        <v>6853000</v>
      </c>
      <c r="AV23" s="10">
        <v>1902724000</v>
      </c>
      <c r="AX23" s="10">
        <v>1203296000</v>
      </c>
      <c r="BB23" s="10">
        <v>76457415</v>
      </c>
      <c r="BN23" s="10">
        <v>59944000</v>
      </c>
      <c r="BT23" s="10">
        <v>1213907000</v>
      </c>
      <c r="BV23" s="10">
        <v>-204112000</v>
      </c>
      <c r="BW23" s="10">
        <v>76457415</v>
      </c>
      <c r="BX23" s="10">
        <v>1203296000</v>
      </c>
      <c r="BY23" s="10">
        <v>1203296000</v>
      </c>
      <c r="BZ23" s="10">
        <v>3459067000</v>
      </c>
      <c r="CA23" s="10">
        <v>3392270000</v>
      </c>
      <c r="CB23" s="10">
        <v>2188974000</v>
      </c>
      <c r="CC23" s="10">
        <v>1210149000</v>
      </c>
      <c r="CD23" s="10">
        <v>2248918000</v>
      </c>
      <c r="CO23" s="41">
        <v>359176000</v>
      </c>
      <c r="CT23" s="41"/>
      <c r="CW23" s="41"/>
      <c r="CY23" s="41"/>
      <c r="DD23" s="41">
        <v>2020</v>
      </c>
      <c r="DK23" s="10">
        <v>0</v>
      </c>
      <c r="DX23" s="10"/>
      <c r="DY23" s="10"/>
      <c r="DZ23" s="10"/>
      <c r="EA23" s="10"/>
      <c r="EB23" s="10"/>
      <c r="EC23" s="156" t="s">
        <v>656</v>
      </c>
    </row>
    <row r="24" spans="1:133" x14ac:dyDescent="0.35">
      <c r="A24" s="156" t="s">
        <v>655</v>
      </c>
      <c r="B24" s="22">
        <v>44561</v>
      </c>
      <c r="C24">
        <v>2021</v>
      </c>
      <c r="D24" s="156" t="s">
        <v>212</v>
      </c>
      <c r="E24" s="156" t="s">
        <v>213</v>
      </c>
      <c r="I24" s="10">
        <v>1727667000</v>
      </c>
      <c r="L24" s="10">
        <v>228051000</v>
      </c>
      <c r="O24" s="10">
        <v>853000</v>
      </c>
      <c r="P24" s="10">
        <v>226204000</v>
      </c>
      <c r="R24" s="10">
        <v>853000</v>
      </c>
      <c r="S24" s="10">
        <v>1544718000</v>
      </c>
      <c r="AJ24" s="10">
        <v>4037648000</v>
      </c>
      <c r="AK24" s="10">
        <v>228051000</v>
      </c>
      <c r="AL24" s="10">
        <v>1987702000</v>
      </c>
      <c r="AQ24" s="10">
        <v>2492930000</v>
      </c>
      <c r="AR24" s="10">
        <v>1759651000</v>
      </c>
      <c r="AU24" s="10">
        <v>21797000</v>
      </c>
      <c r="AV24" s="10">
        <v>2266726000</v>
      </c>
      <c r="AX24" s="10">
        <v>1544718000</v>
      </c>
      <c r="BB24" s="10">
        <v>85326781</v>
      </c>
      <c r="BN24" s="10">
        <v>88866000</v>
      </c>
      <c r="BT24" s="10">
        <v>1446152000</v>
      </c>
      <c r="BV24" s="10">
        <v>-193706000</v>
      </c>
      <c r="BW24" s="10">
        <v>85326781</v>
      </c>
      <c r="BX24" s="10">
        <v>1544718000</v>
      </c>
      <c r="BY24" s="10">
        <v>1544718000</v>
      </c>
      <c r="BZ24" s="10">
        <v>4148311000</v>
      </c>
      <c r="CA24" s="10">
        <v>4037648000</v>
      </c>
      <c r="CB24" s="10">
        <v>2492930000</v>
      </c>
      <c r="CC24" s="10">
        <v>1566515000</v>
      </c>
      <c r="CD24" s="10">
        <v>2581796000</v>
      </c>
      <c r="CO24" s="41">
        <v>356088000</v>
      </c>
      <c r="CT24" s="41"/>
      <c r="CW24" s="41"/>
      <c r="CY24" s="41"/>
      <c r="DD24" s="41">
        <v>2021</v>
      </c>
      <c r="DK24" s="10">
        <v>0</v>
      </c>
      <c r="DX24" s="10"/>
      <c r="DY24" s="10"/>
      <c r="DZ24" s="10"/>
      <c r="EA24" s="10"/>
      <c r="EB24" s="10"/>
      <c r="EC24" s="156" t="s">
        <v>656</v>
      </c>
    </row>
    <row r="25" spans="1:133" x14ac:dyDescent="0.35">
      <c r="A25" s="156" t="s">
        <v>655</v>
      </c>
      <c r="B25" s="22">
        <v>44926</v>
      </c>
      <c r="C25">
        <v>2022</v>
      </c>
      <c r="D25" s="156" t="s">
        <v>212</v>
      </c>
      <c r="E25" s="156" t="s">
        <v>213</v>
      </c>
      <c r="I25" s="10">
        <v>1924200000</v>
      </c>
      <c r="L25" s="10">
        <v>187232000</v>
      </c>
      <c r="O25" s="10">
        <v>908000</v>
      </c>
      <c r="P25" s="10">
        <v>155714000</v>
      </c>
      <c r="R25" s="10">
        <v>908000</v>
      </c>
      <c r="S25" s="10">
        <v>1629237000</v>
      </c>
      <c r="AJ25" s="10">
        <v>4604525000</v>
      </c>
      <c r="AK25" s="10">
        <v>187232000</v>
      </c>
      <c r="AL25" s="10">
        <v>2056944000</v>
      </c>
      <c r="AQ25" s="10">
        <v>2975288000</v>
      </c>
      <c r="AR25" s="10">
        <v>1869712000</v>
      </c>
      <c r="AU25" s="10">
        <v>35509000</v>
      </c>
      <c r="AV25" s="10">
        <v>2819574000</v>
      </c>
      <c r="AX25" s="10">
        <v>1629237000</v>
      </c>
      <c r="BB25" s="10">
        <v>90837008</v>
      </c>
      <c r="BN25" s="10">
        <v>120114000</v>
      </c>
      <c r="BT25" s="10">
        <v>2075248000</v>
      </c>
      <c r="BV25" s="10">
        <v>-285474000</v>
      </c>
      <c r="BW25" s="10">
        <v>90837008</v>
      </c>
      <c r="BX25" s="10">
        <v>1629237000</v>
      </c>
      <c r="BY25" s="10">
        <v>1629237000</v>
      </c>
      <c r="BZ25" s="10">
        <v>4760148000</v>
      </c>
      <c r="CA25" s="10">
        <v>4604525000</v>
      </c>
      <c r="CB25" s="10">
        <v>2975288000</v>
      </c>
      <c r="CC25" s="10">
        <v>1664746000</v>
      </c>
      <c r="CD25" s="10">
        <v>3095402000</v>
      </c>
      <c r="CO25" s="41">
        <v>353000000</v>
      </c>
      <c r="CT25" s="41"/>
      <c r="CW25" s="41"/>
      <c r="CY25" s="41"/>
      <c r="DD25" s="41">
        <v>2022</v>
      </c>
      <c r="DK25" s="10">
        <v>0</v>
      </c>
      <c r="DX25" s="10"/>
      <c r="DY25" s="10"/>
      <c r="DZ25" s="10"/>
      <c r="EA25" s="10"/>
      <c r="EB25" s="10"/>
      <c r="EC25" s="156" t="s">
        <v>656</v>
      </c>
    </row>
    <row r="26" spans="1:133" x14ac:dyDescent="0.35">
      <c r="A26" s="156" t="s">
        <v>655</v>
      </c>
      <c r="B26" s="22">
        <v>45291</v>
      </c>
      <c r="C26">
        <v>2023</v>
      </c>
      <c r="D26" s="156" t="s">
        <v>212</v>
      </c>
      <c r="E26" s="156" t="s">
        <v>213</v>
      </c>
      <c r="I26" s="10">
        <v>2381510000</v>
      </c>
      <c r="L26" s="10">
        <v>226111000</v>
      </c>
      <c r="O26" s="10">
        <v>1122000</v>
      </c>
      <c r="P26" s="10">
        <v>62632000</v>
      </c>
      <c r="R26" s="10">
        <v>1122000</v>
      </c>
      <c r="S26" s="10">
        <v>2092261000</v>
      </c>
      <c r="AJ26" s="10">
        <v>6339681000</v>
      </c>
      <c r="AK26" s="10">
        <v>226111000</v>
      </c>
      <c r="AL26" s="10">
        <v>3192416000</v>
      </c>
      <c r="AQ26" s="10">
        <v>4247420000</v>
      </c>
      <c r="AR26" s="10">
        <v>2966305000</v>
      </c>
      <c r="AU26" s="10">
        <v>49364000</v>
      </c>
      <c r="AV26" s="10">
        <v>4184788000</v>
      </c>
      <c r="AX26" s="10">
        <v>2092261000</v>
      </c>
      <c r="BB26" s="10">
        <v>112174279</v>
      </c>
      <c r="BN26" s="10">
        <v>163305000</v>
      </c>
      <c r="BT26" s="10">
        <v>3109154000</v>
      </c>
      <c r="BV26" s="10">
        <v>-303536000</v>
      </c>
      <c r="BW26" s="10">
        <v>112174279</v>
      </c>
      <c r="BX26" s="10">
        <v>2092261000</v>
      </c>
      <c r="BY26" s="10">
        <v>2092261000</v>
      </c>
      <c r="BZ26" s="10">
        <v>6552350000</v>
      </c>
      <c r="CA26" s="10">
        <v>6339681000</v>
      </c>
      <c r="CB26" s="10">
        <v>4247420000</v>
      </c>
      <c r="CC26" s="10">
        <v>2141625000</v>
      </c>
      <c r="CD26" s="10">
        <v>4410725000</v>
      </c>
      <c r="CO26" s="41">
        <v>111036000</v>
      </c>
      <c r="CT26" s="41"/>
      <c r="CW26" s="41"/>
      <c r="CY26" s="41"/>
      <c r="DD26" s="41">
        <v>2023</v>
      </c>
      <c r="DK26" s="10">
        <v>0</v>
      </c>
      <c r="DX26" s="10"/>
      <c r="DY26" s="10"/>
      <c r="DZ26" s="10"/>
      <c r="EA26" s="10"/>
      <c r="EB26" s="10"/>
      <c r="EC26" s="156" t="s">
        <v>656</v>
      </c>
    </row>
    <row r="27" spans="1:133" x14ac:dyDescent="0.35">
      <c r="A27" s="156" t="s">
        <v>657</v>
      </c>
      <c r="B27" s="22">
        <v>43830</v>
      </c>
      <c r="C27">
        <v>2019</v>
      </c>
      <c r="D27" s="156" t="s">
        <v>212</v>
      </c>
      <c r="E27" s="156" t="s">
        <v>213</v>
      </c>
      <c r="G27" s="10">
        <v>11645000</v>
      </c>
      <c r="BL27" s="10">
        <v>1444038000</v>
      </c>
      <c r="BT27" s="10">
        <v>11645000</v>
      </c>
      <c r="CO27" s="41"/>
      <c r="CT27" s="41">
        <v>71257000</v>
      </c>
      <c r="CW27" s="41"/>
      <c r="CY27" s="41"/>
      <c r="DD27" s="41">
        <v>2019</v>
      </c>
      <c r="DX27" s="10"/>
      <c r="DY27" s="10"/>
      <c r="DZ27" s="10"/>
      <c r="EA27" s="10"/>
      <c r="EB27" s="10"/>
      <c r="EC27" s="156" t="s">
        <v>658</v>
      </c>
    </row>
    <row r="28" spans="1:133" x14ac:dyDescent="0.35">
      <c r="A28" s="156" t="s">
        <v>657</v>
      </c>
      <c r="B28" s="22">
        <v>44196</v>
      </c>
      <c r="C28">
        <v>2020</v>
      </c>
      <c r="D28" s="156" t="s">
        <v>212</v>
      </c>
      <c r="E28" s="156" t="s">
        <v>213</v>
      </c>
      <c r="G28" s="10">
        <v>5017000</v>
      </c>
      <c r="H28" s="10">
        <v>-6999000</v>
      </c>
      <c r="O28" s="10">
        <v>72926000</v>
      </c>
      <c r="P28" s="10">
        <v>13466000</v>
      </c>
      <c r="R28" s="10">
        <v>72926000</v>
      </c>
      <c r="S28" s="10">
        <v>133362000</v>
      </c>
      <c r="X28" s="10">
        <v>118999000</v>
      </c>
      <c r="Y28" s="10">
        <v>118999000</v>
      </c>
      <c r="AB28" s="10">
        <v>-8571000</v>
      </c>
      <c r="AF28" s="10">
        <v>7827000</v>
      </c>
      <c r="AJ28" s="10">
        <v>2102783000</v>
      </c>
      <c r="AN28" s="10">
        <v>1507000</v>
      </c>
      <c r="AP28" s="10">
        <v>1850422000</v>
      </c>
      <c r="AQ28" s="10">
        <v>1850422000</v>
      </c>
      <c r="AT28" s="10">
        <v>6320000</v>
      </c>
      <c r="AV28" s="10">
        <v>1955955000</v>
      </c>
      <c r="AW28" s="10">
        <v>828000</v>
      </c>
      <c r="AX28" s="10">
        <v>133362000</v>
      </c>
      <c r="BB28" s="10">
        <v>22737342</v>
      </c>
      <c r="BL28" s="10">
        <v>1523726000</v>
      </c>
      <c r="BO28" s="10">
        <v>43112000</v>
      </c>
      <c r="BT28" s="10">
        <v>5017000</v>
      </c>
      <c r="BV28" s="10">
        <v>69007000</v>
      </c>
      <c r="BW28" s="10">
        <v>22737342</v>
      </c>
      <c r="BX28" s="10">
        <v>133362000</v>
      </c>
      <c r="BY28" s="10">
        <v>133362000</v>
      </c>
      <c r="BZ28" s="10">
        <v>2145895000</v>
      </c>
      <c r="CA28" s="10">
        <v>1983784000</v>
      </c>
      <c r="CB28" s="10">
        <v>1969421000</v>
      </c>
      <c r="CC28" s="10">
        <v>133362000</v>
      </c>
      <c r="CD28" s="10">
        <v>2012533000</v>
      </c>
      <c r="CO28" s="41"/>
      <c r="CT28" s="41">
        <v>72926000</v>
      </c>
      <c r="CW28" s="41"/>
      <c r="CY28" s="41"/>
      <c r="DD28" s="41">
        <v>2020</v>
      </c>
      <c r="DH28" s="10">
        <v>118999000</v>
      </c>
      <c r="DK28" s="10">
        <v>0</v>
      </c>
      <c r="DX28" s="10"/>
      <c r="DY28" s="10"/>
      <c r="DZ28" s="10"/>
      <c r="EA28" s="10"/>
      <c r="EB28" s="10"/>
      <c r="EC28" s="156" t="s">
        <v>658</v>
      </c>
    </row>
    <row r="29" spans="1:133" x14ac:dyDescent="0.35">
      <c r="A29" s="156" t="s">
        <v>657</v>
      </c>
      <c r="B29" s="22">
        <v>44561</v>
      </c>
      <c r="C29">
        <v>2021</v>
      </c>
      <c r="D29" s="156" t="s">
        <v>212</v>
      </c>
      <c r="E29" s="156" t="s">
        <v>213</v>
      </c>
      <c r="G29" s="10">
        <v>2269000</v>
      </c>
      <c r="H29" s="10">
        <v>-7530000</v>
      </c>
      <c r="O29" s="10">
        <v>55298000</v>
      </c>
      <c r="P29" s="10">
        <v>29928000</v>
      </c>
      <c r="R29" s="10">
        <v>55298000</v>
      </c>
      <c r="S29" s="10">
        <v>170207000</v>
      </c>
      <c r="X29" s="10">
        <v>105610000</v>
      </c>
      <c r="Y29" s="10">
        <v>105610000</v>
      </c>
      <c r="AB29" s="10">
        <v>-1622000</v>
      </c>
      <c r="AF29" s="10">
        <v>8659000</v>
      </c>
      <c r="AJ29" s="10">
        <v>2115930000</v>
      </c>
      <c r="AN29" s="10">
        <v>1507000</v>
      </c>
      <c r="AP29" s="10">
        <v>1840113000</v>
      </c>
      <c r="AQ29" s="10">
        <v>1840113000</v>
      </c>
      <c r="AT29" s="10">
        <v>7152000</v>
      </c>
      <c r="AV29" s="10">
        <v>1915795000</v>
      </c>
      <c r="AW29" s="10">
        <v>1129000</v>
      </c>
      <c r="AX29" s="10">
        <v>170207000</v>
      </c>
      <c r="BB29" s="10">
        <v>21143764</v>
      </c>
      <c r="BO29" s="10">
        <v>43648000</v>
      </c>
      <c r="BT29" s="10">
        <v>2269000</v>
      </c>
      <c r="BV29" s="10">
        <v>116531000</v>
      </c>
      <c r="BW29" s="10">
        <v>21143764</v>
      </c>
      <c r="BX29" s="10">
        <v>170207000</v>
      </c>
      <c r="BY29" s="10">
        <v>170207000</v>
      </c>
      <c r="BZ29" s="10">
        <v>2159578000</v>
      </c>
      <c r="CA29" s="10">
        <v>2010320000</v>
      </c>
      <c r="CB29" s="10">
        <v>1945723000</v>
      </c>
      <c r="CC29" s="10">
        <v>170207000</v>
      </c>
      <c r="CD29" s="10">
        <v>1989371000</v>
      </c>
      <c r="CO29" s="41"/>
      <c r="CT29" s="41"/>
      <c r="CW29" s="41"/>
      <c r="CY29" s="41"/>
      <c r="DD29" s="41">
        <v>2021</v>
      </c>
      <c r="DH29" s="10">
        <v>105610000</v>
      </c>
      <c r="DK29" s="10">
        <v>0</v>
      </c>
      <c r="DX29" s="10"/>
      <c r="DY29" s="10"/>
      <c r="DZ29" s="10"/>
      <c r="EA29" s="10"/>
      <c r="EB29" s="10"/>
      <c r="EC29" s="156" t="s">
        <v>658</v>
      </c>
    </row>
    <row r="30" spans="1:133" x14ac:dyDescent="0.35">
      <c r="A30" s="156" t="s">
        <v>657</v>
      </c>
      <c r="B30" s="22">
        <v>44926</v>
      </c>
      <c r="C30">
        <v>2022</v>
      </c>
      <c r="D30" s="156" t="s">
        <v>212</v>
      </c>
      <c r="E30" s="156" t="s">
        <v>213</v>
      </c>
      <c r="G30" s="10">
        <v>649000</v>
      </c>
      <c r="H30" s="10">
        <v>-8195000</v>
      </c>
      <c r="O30" s="10">
        <v>28906000</v>
      </c>
      <c r="P30" s="10">
        <v>13490000</v>
      </c>
      <c r="R30" s="10">
        <v>28906000</v>
      </c>
      <c r="S30" s="10">
        <v>228389000</v>
      </c>
      <c r="X30" s="10">
        <v>285328000</v>
      </c>
      <c r="Y30" s="10">
        <v>285328000</v>
      </c>
      <c r="AB30" s="10">
        <v>-3031000</v>
      </c>
      <c r="AF30" s="10">
        <v>9855000</v>
      </c>
      <c r="AJ30" s="10">
        <v>2697347000</v>
      </c>
      <c r="AN30" s="10">
        <v>1570000</v>
      </c>
      <c r="AP30" s="10">
        <v>2183630000</v>
      </c>
      <c r="AQ30" s="10">
        <v>2183630000</v>
      </c>
      <c r="AT30" s="10">
        <v>8285000</v>
      </c>
      <c r="AV30" s="10">
        <v>2455468000</v>
      </c>
      <c r="AW30" s="10">
        <v>1660000</v>
      </c>
      <c r="AX30" s="10">
        <v>228389000</v>
      </c>
      <c r="BB30" s="10">
        <v>20131323</v>
      </c>
      <c r="BO30" s="10">
        <v>55421000</v>
      </c>
      <c r="BT30" s="10">
        <v>649000</v>
      </c>
      <c r="BV30" s="10">
        <v>202514000</v>
      </c>
      <c r="BW30" s="10">
        <v>20131323</v>
      </c>
      <c r="BX30" s="10">
        <v>228389000</v>
      </c>
      <c r="BY30" s="10">
        <v>228389000</v>
      </c>
      <c r="BZ30" s="10">
        <v>2752768000</v>
      </c>
      <c r="CA30" s="10">
        <v>2412019000</v>
      </c>
      <c r="CB30" s="10">
        <v>2468958000</v>
      </c>
      <c r="CC30" s="10">
        <v>228389000</v>
      </c>
      <c r="CD30" s="10">
        <v>2524379000</v>
      </c>
      <c r="CO30" s="41"/>
      <c r="CT30" s="41"/>
      <c r="CW30" s="41"/>
      <c r="CY30" s="41"/>
      <c r="DD30" s="41">
        <v>2022</v>
      </c>
      <c r="DH30" s="10">
        <v>285328000</v>
      </c>
      <c r="DK30" s="10">
        <v>0</v>
      </c>
      <c r="DX30" s="10"/>
      <c r="DY30" s="10"/>
      <c r="DZ30" s="10"/>
      <c r="EA30" s="10"/>
      <c r="EB30" s="10"/>
      <c r="EC30" s="156" t="s">
        <v>658</v>
      </c>
    </row>
    <row r="31" spans="1:133" x14ac:dyDescent="0.35">
      <c r="A31" s="156" t="s">
        <v>657</v>
      </c>
      <c r="B31" s="22">
        <v>45291</v>
      </c>
      <c r="C31">
        <v>2023</v>
      </c>
      <c r="D31" s="156" t="s">
        <v>212</v>
      </c>
      <c r="E31" s="156" t="s">
        <v>213</v>
      </c>
      <c r="H31" s="10">
        <v>-8957000</v>
      </c>
      <c r="O31" s="10">
        <v>28678000</v>
      </c>
      <c r="P31" s="10">
        <v>6174000</v>
      </c>
      <c r="R31" s="10">
        <v>28678000</v>
      </c>
      <c r="S31" s="10">
        <v>274668000</v>
      </c>
      <c r="X31" s="10">
        <v>234025000</v>
      </c>
      <c r="Y31" s="10">
        <v>234025000</v>
      </c>
      <c r="AB31" s="10">
        <v>-1867000</v>
      </c>
      <c r="AF31" s="10">
        <v>10329000</v>
      </c>
      <c r="AJ31" s="10">
        <v>2841202000</v>
      </c>
      <c r="AN31" s="10">
        <v>1570000</v>
      </c>
      <c r="AP31" s="10">
        <v>2332509000</v>
      </c>
      <c r="AQ31" s="10">
        <v>2332509000</v>
      </c>
      <c r="AT31" s="10">
        <v>8759000</v>
      </c>
      <c r="AV31" s="10">
        <v>2560360000</v>
      </c>
      <c r="AW31" s="10">
        <v>1372000</v>
      </c>
      <c r="AX31" s="10">
        <v>274668000</v>
      </c>
      <c r="BB31" s="10">
        <v>21174856</v>
      </c>
      <c r="BO31" s="10">
        <v>62544000</v>
      </c>
      <c r="BV31" s="10">
        <v>247857000</v>
      </c>
      <c r="BW31" s="10">
        <v>21174856</v>
      </c>
      <c r="BX31" s="10">
        <v>274668000</v>
      </c>
      <c r="BY31" s="10">
        <v>274668000</v>
      </c>
      <c r="BZ31" s="10">
        <v>2903746000</v>
      </c>
      <c r="CA31" s="10">
        <v>2607177000</v>
      </c>
      <c r="CB31" s="10">
        <v>2566534000</v>
      </c>
      <c r="CC31" s="10">
        <v>274668000</v>
      </c>
      <c r="CD31" s="10">
        <v>2629078000</v>
      </c>
      <c r="CO31" s="41"/>
      <c r="CT31" s="41"/>
      <c r="CW31" s="41"/>
      <c r="CY31" s="41"/>
      <c r="DD31" s="41">
        <v>2023</v>
      </c>
      <c r="DH31" s="10">
        <v>234025000</v>
      </c>
      <c r="DK31" s="10">
        <v>0</v>
      </c>
      <c r="DX31" s="10"/>
      <c r="DY31" s="10"/>
      <c r="DZ31" s="10"/>
      <c r="EA31" s="10"/>
      <c r="EB31" s="10"/>
      <c r="EC31" s="156" t="s">
        <v>658</v>
      </c>
    </row>
    <row r="32" spans="1:133" x14ac:dyDescent="0.35">
      <c r="A32" s="156" t="s">
        <v>659</v>
      </c>
      <c r="B32" s="22">
        <v>43830</v>
      </c>
      <c r="C32">
        <v>2019</v>
      </c>
      <c r="D32" s="156" t="s">
        <v>212</v>
      </c>
      <c r="E32" s="156" t="s">
        <v>213</v>
      </c>
      <c r="BC32" s="10">
        <v>675000</v>
      </c>
      <c r="BR32" s="10">
        <v>675000</v>
      </c>
      <c r="CO32" s="41"/>
      <c r="CT32" s="41"/>
      <c r="CW32" s="41">
        <v>426000</v>
      </c>
      <c r="CY32" s="41"/>
      <c r="DD32" s="41">
        <v>2019</v>
      </c>
      <c r="DM32" s="10">
        <v>1000</v>
      </c>
      <c r="DX32" s="10"/>
      <c r="DY32" s="10"/>
      <c r="DZ32" s="10">
        <v>0</v>
      </c>
      <c r="EA32" s="10"/>
      <c r="EB32" s="10"/>
      <c r="EC32" s="156" t="s">
        <v>660</v>
      </c>
    </row>
    <row r="33" spans="1:133" x14ac:dyDescent="0.35">
      <c r="A33" s="156" t="s">
        <v>659</v>
      </c>
      <c r="B33" s="22">
        <v>44196</v>
      </c>
      <c r="C33">
        <v>2020</v>
      </c>
      <c r="D33" s="156" t="s">
        <v>212</v>
      </c>
      <c r="E33" s="156" t="s">
        <v>213</v>
      </c>
      <c r="F33" s="10">
        <v>531000</v>
      </c>
      <c r="G33" s="10">
        <v>2453000</v>
      </c>
      <c r="H33" s="10">
        <v>-101302000</v>
      </c>
      <c r="I33" s="10">
        <v>31962000</v>
      </c>
      <c r="J33" s="10">
        <v>-205000</v>
      </c>
      <c r="N33" s="10">
        <v>251000</v>
      </c>
      <c r="O33" s="10">
        <v>227000</v>
      </c>
      <c r="P33" s="10">
        <v>18033000</v>
      </c>
      <c r="Q33" s="10">
        <v>18033000</v>
      </c>
      <c r="R33" s="10">
        <v>227000</v>
      </c>
      <c r="S33" s="10">
        <v>32188000</v>
      </c>
      <c r="T33" s="10">
        <v>40877000</v>
      </c>
      <c r="U33" s="10">
        <v>4068000</v>
      </c>
      <c r="V33" s="10">
        <v>23455000</v>
      </c>
      <c r="W33" s="10">
        <v>115000</v>
      </c>
      <c r="X33" s="10">
        <v>1920000</v>
      </c>
      <c r="Y33" s="10">
        <v>2035000</v>
      </c>
      <c r="Z33" s="10">
        <v>12389000</v>
      </c>
      <c r="AA33" s="10">
        <v>697000</v>
      </c>
      <c r="AC33" s="10">
        <v>4600000</v>
      </c>
      <c r="AD33" s="10">
        <v>15785000</v>
      </c>
      <c r="AE33" s="10">
        <v>2658000</v>
      </c>
      <c r="AF33" s="10">
        <v>340193000</v>
      </c>
      <c r="AI33" s="10">
        <v>472000</v>
      </c>
      <c r="AJ33" s="10">
        <v>146631000</v>
      </c>
      <c r="AO33" s="10">
        <v>136000</v>
      </c>
      <c r="AP33" s="10">
        <v>112523000</v>
      </c>
      <c r="AQ33" s="10">
        <v>112659000</v>
      </c>
      <c r="AV33" s="10">
        <v>96410000</v>
      </c>
      <c r="AW33" s="10">
        <v>238891000</v>
      </c>
      <c r="AX33" s="10">
        <v>16403000</v>
      </c>
      <c r="AY33" s="10">
        <v>97879000</v>
      </c>
      <c r="AZ33" s="10">
        <v>3652000</v>
      </c>
      <c r="BB33" s="10">
        <v>22587766</v>
      </c>
      <c r="BC33" s="10">
        <v>665000</v>
      </c>
      <c r="BD33" s="10">
        <v>1920000</v>
      </c>
      <c r="BG33" s="10">
        <v>11185000</v>
      </c>
      <c r="BH33" s="10">
        <v>3272000</v>
      </c>
      <c r="BI33" s="10">
        <v>20347000</v>
      </c>
      <c r="BK33" s="10">
        <v>299316000</v>
      </c>
      <c r="BN33" s="10">
        <v>2272000</v>
      </c>
      <c r="BO33" s="10">
        <v>6340000</v>
      </c>
      <c r="BR33" s="10">
        <v>665000</v>
      </c>
      <c r="BT33" s="10">
        <v>4757000</v>
      </c>
      <c r="BV33" s="10">
        <v>0</v>
      </c>
      <c r="BW33" s="10">
        <v>22690477</v>
      </c>
      <c r="BX33" s="10">
        <v>32188000</v>
      </c>
      <c r="BY33" s="10">
        <v>16403000</v>
      </c>
      <c r="BZ33" s="10">
        <v>283448000</v>
      </c>
      <c r="CA33" s="10">
        <v>144711000</v>
      </c>
      <c r="CB33" s="10">
        <v>114694000</v>
      </c>
      <c r="CC33" s="10">
        <v>32188000</v>
      </c>
      <c r="CD33" s="10">
        <v>251260000</v>
      </c>
      <c r="CE33" s="10">
        <v>259993000</v>
      </c>
      <c r="CF33" s="10">
        <v>238871000</v>
      </c>
      <c r="CG33" s="10">
        <v>1191000</v>
      </c>
      <c r="CI33" s="10">
        <v>11066000</v>
      </c>
      <c r="CJ33" s="10">
        <v>3317000</v>
      </c>
      <c r="CK33" s="10">
        <v>1918000</v>
      </c>
      <c r="CO33" s="41"/>
      <c r="CT33" s="41"/>
      <c r="CW33" s="41">
        <v>0</v>
      </c>
      <c r="CY33" s="41"/>
      <c r="DA33" s="10">
        <v>17843000</v>
      </c>
      <c r="DD33" s="41">
        <v>2020</v>
      </c>
      <c r="DE33" s="10">
        <v>550000</v>
      </c>
      <c r="DL33" s="10">
        <v>102711</v>
      </c>
      <c r="DM33" s="10">
        <v>1000</v>
      </c>
      <c r="DX33" s="10"/>
      <c r="DY33" s="10"/>
      <c r="DZ33" s="10">
        <v>9000</v>
      </c>
      <c r="EA33" s="10"/>
      <c r="EB33" s="10"/>
      <c r="EC33" s="156" t="s">
        <v>660</v>
      </c>
    </row>
    <row r="34" spans="1:133" x14ac:dyDescent="0.35">
      <c r="A34" s="156" t="s">
        <v>659</v>
      </c>
      <c r="B34" s="22">
        <v>44561</v>
      </c>
      <c r="C34">
        <v>2021</v>
      </c>
      <c r="D34" s="156" t="s">
        <v>212</v>
      </c>
      <c r="E34" s="156" t="s">
        <v>213</v>
      </c>
      <c r="F34" s="10">
        <v>2120000</v>
      </c>
      <c r="G34" s="10">
        <v>2195000</v>
      </c>
      <c r="H34" s="10">
        <v>-113380000</v>
      </c>
      <c r="I34" s="10">
        <v>29803000</v>
      </c>
      <c r="J34" s="10">
        <v>-132000</v>
      </c>
      <c r="N34" s="10">
        <v>341000</v>
      </c>
      <c r="O34" s="10">
        <v>228000</v>
      </c>
      <c r="P34" s="10">
        <v>12637000</v>
      </c>
      <c r="Q34" s="10">
        <v>12637000</v>
      </c>
      <c r="R34" s="10">
        <v>228000</v>
      </c>
      <c r="S34" s="10">
        <v>30029000</v>
      </c>
      <c r="T34" s="10">
        <v>53511000</v>
      </c>
      <c r="U34" s="10">
        <v>5060000</v>
      </c>
      <c r="V34" s="10">
        <v>18987000</v>
      </c>
      <c r="W34" s="10">
        <v>142000</v>
      </c>
      <c r="X34" s="10">
        <v>3833000</v>
      </c>
      <c r="Y34" s="10">
        <v>3975000</v>
      </c>
      <c r="Z34" s="10">
        <v>16932000</v>
      </c>
      <c r="AA34" s="10">
        <v>697000</v>
      </c>
      <c r="AC34" s="10">
        <v>5730000</v>
      </c>
      <c r="AD34" s="10">
        <v>16069000</v>
      </c>
      <c r="AE34" s="10">
        <v>2327000</v>
      </c>
      <c r="AF34" s="10">
        <v>369246000</v>
      </c>
      <c r="AI34" s="10">
        <v>492000</v>
      </c>
      <c r="AJ34" s="10">
        <v>142596000</v>
      </c>
      <c r="AO34" s="10">
        <v>199000</v>
      </c>
      <c r="AP34" s="10">
        <v>108734000</v>
      </c>
      <c r="AQ34" s="10">
        <v>108933000</v>
      </c>
      <c r="AV34" s="10">
        <v>99930000</v>
      </c>
      <c r="AW34" s="10">
        <v>255866000</v>
      </c>
      <c r="AX34" s="10">
        <v>13960000</v>
      </c>
      <c r="AY34" s="10">
        <v>106882000</v>
      </c>
      <c r="AZ34" s="10">
        <v>3269000</v>
      </c>
      <c r="BB34" s="10">
        <v>22649568</v>
      </c>
      <c r="BC34" s="10">
        <v>1645000</v>
      </c>
      <c r="BD34" s="10">
        <v>3833000</v>
      </c>
      <c r="BG34" s="10">
        <v>10339000</v>
      </c>
      <c r="BH34" s="10">
        <v>816000</v>
      </c>
      <c r="BI34" s="10">
        <v>23877000</v>
      </c>
      <c r="BK34" s="10">
        <v>315735000</v>
      </c>
      <c r="BN34" s="10">
        <v>3905000</v>
      </c>
      <c r="BO34" s="10">
        <v>8965000</v>
      </c>
      <c r="BR34" s="10">
        <v>1645000</v>
      </c>
      <c r="BT34" s="10">
        <v>4705000</v>
      </c>
      <c r="BV34" s="10">
        <v>0</v>
      </c>
      <c r="BW34" s="10">
        <v>22832013</v>
      </c>
      <c r="BX34" s="10">
        <v>30029000</v>
      </c>
      <c r="BY34" s="10">
        <v>13960000</v>
      </c>
      <c r="BZ34" s="10">
        <v>294074000</v>
      </c>
      <c r="CA34" s="10">
        <v>138763000</v>
      </c>
      <c r="CB34" s="10">
        <v>112908000</v>
      </c>
      <c r="CC34" s="10">
        <v>30029000</v>
      </c>
      <c r="CD34" s="10">
        <v>264045000</v>
      </c>
      <c r="CE34" s="10">
        <v>275087000</v>
      </c>
      <c r="CF34" s="10">
        <v>247113000</v>
      </c>
      <c r="CG34" s="10">
        <v>1238000</v>
      </c>
      <c r="CI34" s="10">
        <v>2055000</v>
      </c>
      <c r="CJ34" s="10">
        <v>3295000</v>
      </c>
      <c r="CK34" s="10">
        <v>2084000</v>
      </c>
      <c r="CO34" s="41"/>
      <c r="CT34" s="41"/>
      <c r="CW34" s="41"/>
      <c r="CY34" s="41"/>
      <c r="DA34" s="10">
        <v>19035000</v>
      </c>
      <c r="DD34" s="41">
        <v>2021</v>
      </c>
      <c r="DE34" s="10">
        <v>547000</v>
      </c>
      <c r="DL34" s="10">
        <v>182445</v>
      </c>
      <c r="DM34" s="10">
        <v>2000</v>
      </c>
      <c r="DX34" s="10"/>
      <c r="DY34" s="10"/>
      <c r="DZ34" s="10">
        <v>10000</v>
      </c>
      <c r="EA34" s="10"/>
      <c r="EB34" s="10"/>
      <c r="EC34" s="156" t="s">
        <v>660</v>
      </c>
    </row>
    <row r="35" spans="1:133" x14ac:dyDescent="0.35">
      <c r="A35" s="156" t="s">
        <v>659</v>
      </c>
      <c r="B35" s="22">
        <v>44926</v>
      </c>
      <c r="C35">
        <v>2022</v>
      </c>
      <c r="D35" s="156" t="s">
        <v>212</v>
      </c>
      <c r="E35" s="156" t="s">
        <v>213</v>
      </c>
      <c r="F35" s="10">
        <v>2173000</v>
      </c>
      <c r="G35" s="10">
        <v>2601000</v>
      </c>
      <c r="H35" s="10">
        <v>-124522000</v>
      </c>
      <c r="I35" s="10">
        <v>44157000</v>
      </c>
      <c r="J35" s="10">
        <v>-164000</v>
      </c>
      <c r="N35" s="10">
        <v>2121000</v>
      </c>
      <c r="O35" s="10">
        <v>239000</v>
      </c>
      <c r="P35" s="10">
        <v>6561000</v>
      </c>
      <c r="Q35" s="10">
        <v>6561000</v>
      </c>
      <c r="R35" s="10">
        <v>239000</v>
      </c>
      <c r="S35" s="10">
        <v>44396000</v>
      </c>
      <c r="T35" s="10">
        <v>66039000</v>
      </c>
      <c r="U35" s="10">
        <v>4165000</v>
      </c>
      <c r="V35" s="10">
        <v>14158000</v>
      </c>
      <c r="W35" s="10">
        <v>505000</v>
      </c>
      <c r="X35" s="10">
        <v>3833000</v>
      </c>
      <c r="Y35" s="10">
        <v>4338000</v>
      </c>
      <c r="Z35" s="10">
        <v>16249000</v>
      </c>
      <c r="AA35" s="10">
        <v>697000</v>
      </c>
      <c r="AC35" s="10">
        <v>4957000</v>
      </c>
      <c r="AD35" s="10">
        <v>15096000</v>
      </c>
      <c r="AE35" s="10">
        <v>2765000</v>
      </c>
      <c r="AF35" s="10">
        <v>414150000</v>
      </c>
      <c r="AI35" s="10">
        <v>483000</v>
      </c>
      <c r="AJ35" s="10">
        <v>153174000</v>
      </c>
      <c r="AO35" s="10">
        <v>1616000</v>
      </c>
      <c r="AP35" s="10">
        <v>104945000</v>
      </c>
      <c r="AQ35" s="10">
        <v>106561000</v>
      </c>
      <c r="AV35" s="10">
        <v>102217000</v>
      </c>
      <c r="AW35" s="10">
        <v>289628000</v>
      </c>
      <c r="AX35" s="10">
        <v>29300000</v>
      </c>
      <c r="AY35" s="10">
        <v>120579000</v>
      </c>
      <c r="AZ35" s="10">
        <v>5949000</v>
      </c>
      <c r="BB35" s="10">
        <v>23871046</v>
      </c>
      <c r="BC35" s="10">
        <v>2439000</v>
      </c>
      <c r="BD35" s="10">
        <v>3833000</v>
      </c>
      <c r="BG35" s="10">
        <v>10139000</v>
      </c>
      <c r="BH35" s="10">
        <v>1035000</v>
      </c>
      <c r="BI35" s="10">
        <v>28932000</v>
      </c>
      <c r="BK35" s="10">
        <v>348111000</v>
      </c>
      <c r="BN35" s="10">
        <v>3961000</v>
      </c>
      <c r="BO35" s="10">
        <v>8126000</v>
      </c>
      <c r="BT35" s="10">
        <v>7597000</v>
      </c>
      <c r="BV35" s="10">
        <v>0</v>
      </c>
      <c r="BW35" s="10">
        <v>24095139</v>
      </c>
      <c r="BX35" s="10">
        <v>44396000</v>
      </c>
      <c r="BY35" s="10">
        <v>29300000</v>
      </c>
      <c r="BZ35" s="10">
        <v>323086000</v>
      </c>
      <c r="CA35" s="10">
        <v>149341000</v>
      </c>
      <c r="CB35" s="10">
        <v>110899000</v>
      </c>
      <c r="CC35" s="10">
        <v>44394000</v>
      </c>
      <c r="CD35" s="10">
        <v>278692000</v>
      </c>
      <c r="CE35" s="10">
        <v>308928000</v>
      </c>
      <c r="CF35" s="10">
        <v>262443000</v>
      </c>
      <c r="CG35" s="10">
        <v>1195000</v>
      </c>
      <c r="CI35" s="10">
        <v>-2091000</v>
      </c>
      <c r="CJ35" s="10">
        <v>3088000</v>
      </c>
      <c r="CK35" s="10">
        <v>2270000</v>
      </c>
      <c r="CO35" s="41"/>
      <c r="CT35" s="41"/>
      <c r="CW35" s="41"/>
      <c r="CY35" s="41"/>
      <c r="DA35" s="10">
        <v>20974000</v>
      </c>
      <c r="DD35" s="41">
        <v>2022</v>
      </c>
      <c r="DE35" s="10">
        <v>593000</v>
      </c>
      <c r="DL35" s="10">
        <v>224093</v>
      </c>
      <c r="DM35" s="10">
        <v>2000</v>
      </c>
      <c r="DS35" s="10">
        <v>2439000</v>
      </c>
      <c r="DX35" s="10"/>
      <c r="DY35" s="10"/>
      <c r="DZ35" s="10"/>
      <c r="EA35" s="10"/>
      <c r="EB35" s="10"/>
      <c r="EC35" s="156" t="s">
        <v>660</v>
      </c>
    </row>
    <row r="36" spans="1:133" x14ac:dyDescent="0.35">
      <c r="A36" s="156" t="s">
        <v>659</v>
      </c>
      <c r="B36" s="22">
        <v>45291</v>
      </c>
      <c r="C36">
        <v>2023</v>
      </c>
      <c r="D36" s="156" t="s">
        <v>212</v>
      </c>
      <c r="E36" s="156" t="s">
        <v>213</v>
      </c>
      <c r="F36" s="10">
        <v>1027000</v>
      </c>
      <c r="G36" s="10">
        <v>3388000</v>
      </c>
      <c r="H36" s="10">
        <v>-142367000</v>
      </c>
      <c r="I36" s="10">
        <v>47585000</v>
      </c>
      <c r="J36" s="10">
        <v>-122000</v>
      </c>
      <c r="N36" s="10">
        <v>1923000</v>
      </c>
      <c r="O36" s="10">
        <v>240000</v>
      </c>
      <c r="P36" s="10">
        <v>3087000</v>
      </c>
      <c r="Q36" s="10">
        <v>3087000</v>
      </c>
      <c r="R36" s="10">
        <v>240000</v>
      </c>
      <c r="S36" s="10">
        <v>48622000</v>
      </c>
      <c r="T36" s="10">
        <v>48147000</v>
      </c>
      <c r="U36" s="10">
        <v>3462000</v>
      </c>
      <c r="V36" s="10">
        <v>11724000</v>
      </c>
      <c r="W36" s="10">
        <v>553000</v>
      </c>
      <c r="X36" s="10">
        <v>3880000</v>
      </c>
      <c r="Y36" s="10">
        <v>4433000</v>
      </c>
      <c r="Z36" s="10">
        <v>14217000</v>
      </c>
      <c r="AA36" s="10">
        <v>697000</v>
      </c>
      <c r="AC36" s="10">
        <v>10820000</v>
      </c>
      <c r="AD36" s="10">
        <v>19661000</v>
      </c>
      <c r="AE36" s="10">
        <v>3510000</v>
      </c>
      <c r="AF36" s="10">
        <v>467429000</v>
      </c>
      <c r="AI36" s="10">
        <v>480000</v>
      </c>
      <c r="AJ36" s="10">
        <v>156158000</v>
      </c>
      <c r="AO36" s="10">
        <v>1370000</v>
      </c>
      <c r="AP36" s="10">
        <v>103656000</v>
      </c>
      <c r="AQ36" s="10">
        <v>105026000</v>
      </c>
      <c r="AV36" s="10">
        <v>104449000</v>
      </c>
      <c r="AW36" s="10">
        <v>325062000</v>
      </c>
      <c r="AX36" s="10">
        <v>28961000</v>
      </c>
      <c r="AY36" s="10">
        <v>139469000</v>
      </c>
      <c r="AZ36" s="10">
        <v>8284000</v>
      </c>
      <c r="BB36" s="10">
        <v>24175241</v>
      </c>
      <c r="BD36" s="10">
        <v>3880000</v>
      </c>
      <c r="BG36" s="10">
        <v>8841000</v>
      </c>
      <c r="BH36" s="10">
        <v>1750000</v>
      </c>
      <c r="BI36" s="10">
        <v>47687000</v>
      </c>
      <c r="BK36" s="10">
        <v>419282000</v>
      </c>
      <c r="BN36" s="10">
        <v>2875000</v>
      </c>
      <c r="BO36" s="10">
        <v>6337000</v>
      </c>
      <c r="BT36" s="10">
        <v>8637000</v>
      </c>
      <c r="BV36" s="10">
        <v>797000</v>
      </c>
      <c r="BW36" s="10">
        <v>24492918</v>
      </c>
      <c r="BX36" s="10">
        <v>48622000</v>
      </c>
      <c r="BY36" s="10">
        <v>28961000</v>
      </c>
      <c r="BZ36" s="10">
        <v>361095000</v>
      </c>
      <c r="CA36" s="10">
        <v>152278000</v>
      </c>
      <c r="CB36" s="10">
        <v>109459000</v>
      </c>
      <c r="CC36" s="10">
        <v>48620000</v>
      </c>
      <c r="CD36" s="10">
        <v>312475000</v>
      </c>
      <c r="CE36" s="10">
        <v>349371000</v>
      </c>
      <c r="CF36" s="10">
        <v>298258000</v>
      </c>
      <c r="CG36" s="10">
        <v>1242000</v>
      </c>
      <c r="CI36" s="10">
        <v>-2493000</v>
      </c>
      <c r="CJ36" s="10">
        <v>2750000</v>
      </c>
      <c r="CK36" s="10">
        <v>2511000</v>
      </c>
      <c r="CO36" s="41"/>
      <c r="CT36" s="41"/>
      <c r="CW36" s="41"/>
      <c r="CY36" s="41"/>
      <c r="DA36" s="10">
        <v>19656000</v>
      </c>
      <c r="DD36" s="41">
        <v>2023</v>
      </c>
      <c r="DE36" s="10">
        <v>606000</v>
      </c>
      <c r="DL36" s="10">
        <v>317677</v>
      </c>
      <c r="DS36" s="10">
        <v>2494000</v>
      </c>
      <c r="DX36" s="10"/>
      <c r="DY36" s="10"/>
      <c r="DZ36" s="10"/>
      <c r="EA36" s="10"/>
      <c r="EB36" s="10"/>
      <c r="EC36" s="156" t="s">
        <v>660</v>
      </c>
    </row>
    <row r="37" spans="1:133" x14ac:dyDescent="0.35">
      <c r="A37" s="156" t="s">
        <v>661</v>
      </c>
      <c r="B37" s="22">
        <v>43830</v>
      </c>
      <c r="C37">
        <v>2019</v>
      </c>
      <c r="D37" s="156" t="s">
        <v>212</v>
      </c>
      <c r="E37" s="156" t="s">
        <v>213</v>
      </c>
      <c r="X37" s="10">
        <v>3375000</v>
      </c>
      <c r="AP37" s="10">
        <v>39725000</v>
      </c>
      <c r="AY37" s="10">
        <v>2881000</v>
      </c>
      <c r="AZ37" s="10">
        <v>2881000</v>
      </c>
      <c r="BD37" s="10">
        <v>3375000</v>
      </c>
      <c r="BR37" s="10">
        <v>5371000</v>
      </c>
      <c r="CO37" s="41"/>
      <c r="CT37" s="41"/>
      <c r="CW37" s="41"/>
      <c r="CY37" s="41">
        <v>4030000</v>
      </c>
      <c r="DD37" s="41">
        <v>2019</v>
      </c>
      <c r="DP37" s="10">
        <v>4030000</v>
      </c>
      <c r="DX37" s="10"/>
      <c r="DY37" s="10"/>
      <c r="DZ37" s="10"/>
      <c r="EA37" s="10"/>
      <c r="EB37" s="10"/>
      <c r="EC37" s="156" t="s">
        <v>662</v>
      </c>
    </row>
    <row r="38" spans="1:133" x14ac:dyDescent="0.35">
      <c r="A38" s="156" t="s">
        <v>661</v>
      </c>
      <c r="B38" s="22">
        <v>44196</v>
      </c>
      <c r="C38">
        <v>2020</v>
      </c>
      <c r="D38" s="156" t="s">
        <v>212</v>
      </c>
      <c r="E38" s="156" t="s">
        <v>213</v>
      </c>
      <c r="F38" s="10">
        <v>5235000</v>
      </c>
      <c r="G38" s="10">
        <v>99118000</v>
      </c>
      <c r="H38" s="10">
        <v>-2173000</v>
      </c>
      <c r="I38" s="10">
        <v>165666000</v>
      </c>
      <c r="N38" s="10">
        <v>0</v>
      </c>
      <c r="O38" s="10">
        <v>960000</v>
      </c>
      <c r="P38" s="10">
        <v>84633000</v>
      </c>
      <c r="Q38" s="10">
        <v>84633000</v>
      </c>
      <c r="R38" s="10">
        <v>960000</v>
      </c>
      <c r="S38" s="10">
        <v>146748000</v>
      </c>
      <c r="U38" s="10">
        <v>17432000</v>
      </c>
      <c r="V38" s="10">
        <v>190084000</v>
      </c>
      <c r="W38" s="10">
        <v>0</v>
      </c>
      <c r="X38" s="10">
        <v>875000</v>
      </c>
      <c r="Y38" s="10">
        <v>875000</v>
      </c>
      <c r="Z38" s="10">
        <v>146938000</v>
      </c>
      <c r="AC38" s="10">
        <v>118663000</v>
      </c>
      <c r="AD38" s="10">
        <v>124643000</v>
      </c>
      <c r="AF38" s="10">
        <v>6987000</v>
      </c>
      <c r="AJ38" s="10">
        <v>180407000</v>
      </c>
      <c r="AN38" s="10">
        <v>4863000</v>
      </c>
      <c r="AO38" s="10">
        <v>0</v>
      </c>
      <c r="AP38" s="10">
        <v>32784000</v>
      </c>
      <c r="AQ38" s="10">
        <v>32784000</v>
      </c>
      <c r="AT38" s="10">
        <v>2124000</v>
      </c>
      <c r="AU38" s="10">
        <v>-3096000</v>
      </c>
      <c r="AW38" s="10">
        <v>4814000</v>
      </c>
      <c r="AX38" s="10">
        <v>22105000</v>
      </c>
      <c r="AY38" s="10">
        <v>0</v>
      </c>
      <c r="AZ38" s="10">
        <v>0</v>
      </c>
      <c r="BB38" s="10">
        <v>103896928</v>
      </c>
      <c r="BC38" s="10">
        <v>6333000</v>
      </c>
      <c r="BD38" s="10">
        <v>875000</v>
      </c>
      <c r="BE38" s="10">
        <v>106811000</v>
      </c>
      <c r="BG38" s="10">
        <v>5980000</v>
      </c>
      <c r="BH38" s="10">
        <v>4475000</v>
      </c>
      <c r="BI38" s="10">
        <v>5595000</v>
      </c>
      <c r="BJ38" s="10">
        <v>10418000</v>
      </c>
      <c r="BN38" s="10">
        <v>15653000</v>
      </c>
      <c r="BO38" s="10">
        <v>33085000</v>
      </c>
      <c r="BP38" s="10">
        <v>6167000</v>
      </c>
      <c r="BR38" s="10">
        <v>6333000</v>
      </c>
      <c r="BS38" s="10">
        <v>0</v>
      </c>
      <c r="BT38" s="10">
        <v>99118000</v>
      </c>
      <c r="BV38" s="10">
        <v>-19878000</v>
      </c>
      <c r="BW38" s="10">
        <v>103896928</v>
      </c>
      <c r="BX38" s="10">
        <v>146748000</v>
      </c>
      <c r="BY38" s="10">
        <v>22105000</v>
      </c>
      <c r="BZ38" s="10">
        <v>328969000</v>
      </c>
      <c r="CA38" s="10">
        <v>179532000</v>
      </c>
      <c r="CB38" s="10">
        <v>33659000</v>
      </c>
      <c r="CC38" s="10">
        <v>143652000</v>
      </c>
      <c r="CD38" s="10">
        <v>185317000</v>
      </c>
      <c r="CE38" s="10">
        <v>138885000</v>
      </c>
      <c r="CF38" s="10">
        <v>38379000</v>
      </c>
      <c r="CI38" s="10">
        <v>43146000</v>
      </c>
      <c r="CO38" s="41"/>
      <c r="CP38" s="10">
        <v>4953000</v>
      </c>
      <c r="CQ38" s="10">
        <v>4953000</v>
      </c>
      <c r="CT38" s="41"/>
      <c r="CW38" s="41"/>
      <c r="CY38" s="41">
        <v>0</v>
      </c>
      <c r="DD38" s="41">
        <v>2020</v>
      </c>
      <c r="DX38" s="10"/>
      <c r="DY38" s="10"/>
      <c r="DZ38" s="10"/>
      <c r="EA38" s="10"/>
      <c r="EB38" s="10"/>
      <c r="EC38" s="156" t="s">
        <v>662</v>
      </c>
    </row>
    <row r="39" spans="1:133" x14ac:dyDescent="0.35">
      <c r="A39" s="156" t="s">
        <v>661</v>
      </c>
      <c r="B39" s="22">
        <v>44561</v>
      </c>
      <c r="C39">
        <v>2021</v>
      </c>
      <c r="D39" s="156" t="s">
        <v>212</v>
      </c>
      <c r="E39" s="156" t="s">
        <v>213</v>
      </c>
      <c r="F39" s="10">
        <v>2973000</v>
      </c>
      <c r="G39" s="10">
        <v>117402000</v>
      </c>
      <c r="H39" s="10">
        <v>-3299000</v>
      </c>
      <c r="I39" s="10">
        <v>633902000</v>
      </c>
      <c r="N39" s="10">
        <v>13936000</v>
      </c>
      <c r="O39" s="10">
        <v>1078000</v>
      </c>
      <c r="P39" s="10">
        <v>320577000</v>
      </c>
      <c r="Q39" s="10">
        <v>320577000</v>
      </c>
      <c r="R39" s="10">
        <v>1078000</v>
      </c>
      <c r="S39" s="10">
        <v>426872000</v>
      </c>
      <c r="U39" s="10">
        <v>23229000</v>
      </c>
      <c r="V39" s="10">
        <v>446676000</v>
      </c>
      <c r="W39" s="10">
        <v>2893000</v>
      </c>
      <c r="X39" s="10">
        <v>875000</v>
      </c>
      <c r="Y39" s="10">
        <v>3768000</v>
      </c>
      <c r="Z39" s="10">
        <v>190461000</v>
      </c>
      <c r="AC39" s="10">
        <v>127938000</v>
      </c>
      <c r="AD39" s="10">
        <v>187676000</v>
      </c>
      <c r="AF39" s="10">
        <v>17435000</v>
      </c>
      <c r="AJ39" s="10">
        <v>459435000</v>
      </c>
      <c r="AN39" s="10">
        <v>4827000</v>
      </c>
      <c r="AO39" s="10">
        <v>11043000</v>
      </c>
      <c r="AP39" s="10">
        <v>31688000</v>
      </c>
      <c r="AQ39" s="10">
        <v>42731000</v>
      </c>
      <c r="AT39" s="10">
        <v>2974000</v>
      </c>
      <c r="AU39" s="10">
        <v>23309000</v>
      </c>
      <c r="AW39" s="10">
        <v>14136000</v>
      </c>
      <c r="AX39" s="10">
        <v>239196000</v>
      </c>
      <c r="BB39" s="10">
        <v>107837741</v>
      </c>
      <c r="BC39" s="10">
        <v>8697000</v>
      </c>
      <c r="BD39" s="10">
        <v>875000</v>
      </c>
      <c r="BE39" s="10">
        <v>140708000</v>
      </c>
      <c r="BG39" s="10">
        <v>59738000</v>
      </c>
      <c r="BH39" s="10">
        <v>4521000</v>
      </c>
      <c r="BI39" s="10">
        <v>3000000</v>
      </c>
      <c r="BJ39" s="10">
        <v>12292000</v>
      </c>
      <c r="BK39" s="10">
        <v>9634000</v>
      </c>
      <c r="BN39" s="10">
        <v>15265000</v>
      </c>
      <c r="BO39" s="10">
        <v>38494000</v>
      </c>
      <c r="BP39" s="10">
        <v>7491000</v>
      </c>
      <c r="BR39" s="10">
        <v>8697000</v>
      </c>
      <c r="BS39" s="10">
        <v>0</v>
      </c>
      <c r="BT39" s="10">
        <v>117402000</v>
      </c>
      <c r="BV39" s="10">
        <v>-208108000</v>
      </c>
      <c r="BW39" s="10">
        <v>107837741</v>
      </c>
      <c r="BX39" s="10">
        <v>426872000</v>
      </c>
      <c r="BY39" s="10">
        <v>239196000</v>
      </c>
      <c r="BZ39" s="10">
        <v>686373000</v>
      </c>
      <c r="CA39" s="10">
        <v>458560000</v>
      </c>
      <c r="CB39" s="10">
        <v>46499000</v>
      </c>
      <c r="CC39" s="10">
        <v>450181000</v>
      </c>
      <c r="CD39" s="10">
        <v>236192000</v>
      </c>
      <c r="CE39" s="10">
        <v>239697000</v>
      </c>
      <c r="CF39" s="10">
        <v>45731000</v>
      </c>
      <c r="CI39" s="10">
        <v>256215000</v>
      </c>
      <c r="CO39" s="41"/>
      <c r="CP39" s="10">
        <v>33364000</v>
      </c>
      <c r="CQ39" s="10">
        <v>33364000</v>
      </c>
      <c r="CT39" s="41"/>
      <c r="CW39" s="41"/>
      <c r="CY39" s="41"/>
      <c r="DD39" s="41">
        <v>2021</v>
      </c>
      <c r="DX39" s="10"/>
      <c r="DY39" s="10"/>
      <c r="DZ39" s="10"/>
      <c r="EA39" s="10"/>
      <c r="EB39" s="10"/>
      <c r="EC39" s="156" t="s">
        <v>662</v>
      </c>
    </row>
    <row r="40" spans="1:133" x14ac:dyDescent="0.35">
      <c r="A40" s="156" t="s">
        <v>661</v>
      </c>
      <c r="B40" s="22">
        <v>44926</v>
      </c>
      <c r="C40">
        <v>2022</v>
      </c>
      <c r="D40" s="156" t="s">
        <v>212</v>
      </c>
      <c r="E40" s="156" t="s">
        <v>213</v>
      </c>
      <c r="F40" s="10">
        <v>6731000</v>
      </c>
      <c r="G40" s="10">
        <v>189604000</v>
      </c>
      <c r="H40" s="10">
        <v>-4528000</v>
      </c>
      <c r="I40" s="10">
        <v>714639000</v>
      </c>
      <c r="N40" s="10">
        <v>11503000</v>
      </c>
      <c r="O40" s="10">
        <v>1148000</v>
      </c>
      <c r="P40" s="10">
        <v>347992000</v>
      </c>
      <c r="Q40" s="10">
        <v>347992000</v>
      </c>
      <c r="R40" s="10">
        <v>1148000</v>
      </c>
      <c r="S40" s="10">
        <v>499094000</v>
      </c>
      <c r="U40" s="10">
        <v>24726000</v>
      </c>
      <c r="V40" s="10">
        <v>551962000</v>
      </c>
      <c r="W40" s="10">
        <v>3013000</v>
      </c>
      <c r="Y40" s="10">
        <v>3013000</v>
      </c>
      <c r="Z40" s="10">
        <v>264274000</v>
      </c>
      <c r="AC40" s="10">
        <v>126938000</v>
      </c>
      <c r="AD40" s="10">
        <v>184325000</v>
      </c>
      <c r="AF40" s="10">
        <v>16003000</v>
      </c>
      <c r="AJ40" s="10">
        <v>499094000</v>
      </c>
      <c r="AN40" s="10">
        <v>4855000</v>
      </c>
      <c r="AO40" s="10">
        <v>8490000</v>
      </c>
      <c r="AQ40" s="10">
        <v>8490000</v>
      </c>
      <c r="AT40" s="10">
        <v>3059000</v>
      </c>
      <c r="AU40" s="10">
        <v>19955000</v>
      </c>
      <c r="AW40" s="10">
        <v>11475000</v>
      </c>
      <c r="AX40" s="10">
        <v>314769000</v>
      </c>
      <c r="BB40" s="10">
        <v>114690808</v>
      </c>
      <c r="BC40" s="10">
        <v>14366000</v>
      </c>
      <c r="BE40" s="10">
        <v>208424000</v>
      </c>
      <c r="BG40" s="10">
        <v>57387000</v>
      </c>
      <c r="BH40" s="10">
        <v>4683000</v>
      </c>
      <c r="BI40" s="10">
        <v>1000000</v>
      </c>
      <c r="BJ40" s="10">
        <v>15203000</v>
      </c>
      <c r="BK40" s="10">
        <v>8089000</v>
      </c>
      <c r="BN40" s="10">
        <v>21934000</v>
      </c>
      <c r="BO40" s="10">
        <v>46660000</v>
      </c>
      <c r="BP40" s="10">
        <v>6177000</v>
      </c>
      <c r="BS40" s="10">
        <v>0</v>
      </c>
      <c r="BT40" s="10">
        <v>189604000</v>
      </c>
      <c r="BV40" s="10">
        <v>-216693000</v>
      </c>
      <c r="BW40" s="10">
        <v>114690808</v>
      </c>
      <c r="BX40" s="10">
        <v>499094000</v>
      </c>
      <c r="BY40" s="10">
        <v>314769000</v>
      </c>
      <c r="BZ40" s="10">
        <v>792813000</v>
      </c>
      <c r="CA40" s="10">
        <v>499094000</v>
      </c>
      <c r="CB40" s="10">
        <v>11503000</v>
      </c>
      <c r="CC40" s="10">
        <v>519049000</v>
      </c>
      <c r="CD40" s="10">
        <v>273764000</v>
      </c>
      <c r="CE40" s="10">
        <v>240851000</v>
      </c>
      <c r="CF40" s="10">
        <v>9490000</v>
      </c>
      <c r="CI40" s="10">
        <v>287688000</v>
      </c>
      <c r="CO40" s="41"/>
      <c r="CP40" s="10">
        <v>40368000</v>
      </c>
      <c r="CQ40" s="10">
        <v>40368000</v>
      </c>
      <c r="CT40" s="41"/>
      <c r="CW40" s="41"/>
      <c r="CY40" s="41"/>
      <c r="DD40" s="41">
        <v>2022</v>
      </c>
      <c r="DX40" s="10"/>
      <c r="DY40" s="10"/>
      <c r="DZ40" s="10"/>
      <c r="EA40" s="10"/>
      <c r="EB40" s="10"/>
      <c r="EC40" s="156" t="s">
        <v>662</v>
      </c>
    </row>
    <row r="41" spans="1:133" x14ac:dyDescent="0.35">
      <c r="A41" s="156" t="s">
        <v>661</v>
      </c>
      <c r="B41" s="22">
        <v>45291</v>
      </c>
      <c r="C41">
        <v>2023</v>
      </c>
      <c r="D41" s="156" t="s">
        <v>212</v>
      </c>
      <c r="E41" s="156" t="s">
        <v>213</v>
      </c>
      <c r="F41" s="10">
        <v>7882000</v>
      </c>
      <c r="G41" s="10">
        <v>290768000</v>
      </c>
      <c r="H41" s="10">
        <v>-5702000</v>
      </c>
      <c r="I41" s="10">
        <v>753869000</v>
      </c>
      <c r="N41" s="10">
        <v>8289000</v>
      </c>
      <c r="O41" s="10">
        <v>1182000</v>
      </c>
      <c r="P41" s="10">
        <v>389511000</v>
      </c>
      <c r="Q41" s="10">
        <v>389511000</v>
      </c>
      <c r="R41" s="10">
        <v>1182000</v>
      </c>
      <c r="S41" s="10">
        <v>561437000</v>
      </c>
      <c r="U41" s="10">
        <v>28903000</v>
      </c>
      <c r="V41" s="10">
        <v>700804000</v>
      </c>
      <c r="W41" s="10">
        <v>3043000</v>
      </c>
      <c r="Y41" s="10">
        <v>3043000</v>
      </c>
      <c r="Z41" s="10">
        <v>386952000</v>
      </c>
      <c r="AC41" s="10">
        <v>138749000</v>
      </c>
      <c r="AD41" s="10">
        <v>246379000</v>
      </c>
      <c r="AF41" s="10">
        <v>14639000</v>
      </c>
      <c r="AJ41" s="10">
        <v>561437000</v>
      </c>
      <c r="AN41" s="10">
        <v>4939000</v>
      </c>
      <c r="AO41" s="10">
        <v>5246000</v>
      </c>
      <c r="AQ41" s="10">
        <v>5246000</v>
      </c>
      <c r="AT41" s="10">
        <v>3088000</v>
      </c>
      <c r="AU41" s="10">
        <v>45952000</v>
      </c>
      <c r="AW41" s="10">
        <v>8937000</v>
      </c>
      <c r="AX41" s="10">
        <v>315058000</v>
      </c>
      <c r="BB41" s="10">
        <v>118216979</v>
      </c>
      <c r="BC41" s="10">
        <v>20525000</v>
      </c>
      <c r="BE41" s="10">
        <v>326078000</v>
      </c>
      <c r="BG41" s="10">
        <v>107630000</v>
      </c>
      <c r="BH41" s="10">
        <v>8580000</v>
      </c>
      <c r="BI41" s="10">
        <v>313000</v>
      </c>
      <c r="BJ41" s="10">
        <v>15073000</v>
      </c>
      <c r="BK41" s="10">
        <v>6612000</v>
      </c>
      <c r="BN41" s="10">
        <v>22955000</v>
      </c>
      <c r="BO41" s="10">
        <v>51858000</v>
      </c>
      <c r="BP41" s="10">
        <v>5973000</v>
      </c>
      <c r="BS41" s="10">
        <v>0</v>
      </c>
      <c r="BT41" s="10">
        <v>290768000</v>
      </c>
      <c r="BV41" s="10">
        <v>-193614000</v>
      </c>
      <c r="BW41" s="10">
        <v>118216979</v>
      </c>
      <c r="BX41" s="10">
        <v>561437000</v>
      </c>
      <c r="BY41" s="10">
        <v>315058000</v>
      </c>
      <c r="BZ41" s="10">
        <v>999900000</v>
      </c>
      <c r="CA41" s="10">
        <v>561437000</v>
      </c>
      <c r="CB41" s="10">
        <v>8289000</v>
      </c>
      <c r="CC41" s="10">
        <v>607389000</v>
      </c>
      <c r="CD41" s="10">
        <v>392511000</v>
      </c>
      <c r="CE41" s="10">
        <v>299096000</v>
      </c>
      <c r="CF41" s="10">
        <v>5559000</v>
      </c>
      <c r="CI41" s="10">
        <v>313852000</v>
      </c>
      <c r="CO41" s="41"/>
      <c r="CP41" s="10">
        <v>35200000</v>
      </c>
      <c r="CQ41" s="10">
        <v>35200000</v>
      </c>
      <c r="CT41" s="41"/>
      <c r="CW41" s="41"/>
      <c r="CY41" s="41"/>
      <c r="DD41" s="41">
        <v>2023</v>
      </c>
      <c r="DX41" s="10"/>
      <c r="DY41" s="10"/>
      <c r="DZ41" s="10"/>
      <c r="EA41" s="10"/>
      <c r="EB41" s="10"/>
      <c r="EC41" s="156" t="s">
        <v>662</v>
      </c>
    </row>
    <row r="42" spans="1:133" x14ac:dyDescent="0.35">
      <c r="A42" s="156" t="s">
        <v>663</v>
      </c>
      <c r="B42" s="22">
        <v>43830</v>
      </c>
      <c r="C42">
        <v>2019</v>
      </c>
      <c r="D42" s="156" t="s">
        <v>212</v>
      </c>
      <c r="E42" s="156" t="s">
        <v>213</v>
      </c>
      <c r="X42" s="10">
        <v>154869000</v>
      </c>
      <c r="Y42" s="10">
        <v>154869000</v>
      </c>
      <c r="AV42" s="10">
        <v>185551000</v>
      </c>
      <c r="BD42" s="10">
        <v>154869000</v>
      </c>
      <c r="CO42" s="41"/>
      <c r="CT42" s="41"/>
      <c r="CW42" s="41"/>
      <c r="CY42" s="41"/>
      <c r="DD42" s="41">
        <v>2019</v>
      </c>
      <c r="DX42" s="10"/>
      <c r="DY42" s="10"/>
      <c r="DZ42" s="10"/>
      <c r="EA42" s="10"/>
      <c r="EB42" s="10"/>
      <c r="EC42" s="156" t="s">
        <v>664</v>
      </c>
    </row>
    <row r="43" spans="1:133" x14ac:dyDescent="0.35">
      <c r="A43" s="156" t="s">
        <v>663</v>
      </c>
      <c r="B43" s="22">
        <v>44196</v>
      </c>
      <c r="C43">
        <v>2020</v>
      </c>
      <c r="D43" s="156" t="s">
        <v>212</v>
      </c>
      <c r="E43" s="156" t="s">
        <v>213</v>
      </c>
      <c r="G43" s="10">
        <v>8927000</v>
      </c>
      <c r="H43" s="10">
        <v>-30945000</v>
      </c>
      <c r="I43" s="10">
        <v>189066000</v>
      </c>
      <c r="M43" s="10">
        <v>27569000</v>
      </c>
      <c r="O43" s="10">
        <v>586000</v>
      </c>
      <c r="P43" s="10">
        <v>125258000</v>
      </c>
      <c r="R43" s="10">
        <v>586000</v>
      </c>
      <c r="S43" s="10">
        <v>246249000</v>
      </c>
      <c r="T43" s="10">
        <v>115000</v>
      </c>
      <c r="AB43" s="10">
        <v>3346000</v>
      </c>
      <c r="AC43" s="10">
        <v>18724000</v>
      </c>
      <c r="AD43" s="10">
        <v>24182000</v>
      </c>
      <c r="AF43" s="10">
        <v>66094000</v>
      </c>
      <c r="AJ43" s="10">
        <v>336197000</v>
      </c>
      <c r="AL43" s="10">
        <v>466465000</v>
      </c>
      <c r="AM43" s="10">
        <v>8586000</v>
      </c>
      <c r="AN43" s="10">
        <v>6570000</v>
      </c>
      <c r="AP43" s="10">
        <v>89948000</v>
      </c>
      <c r="AQ43" s="10">
        <v>89948000</v>
      </c>
      <c r="AT43" s="10">
        <v>23254000</v>
      </c>
      <c r="AW43" s="10">
        <v>35149000</v>
      </c>
      <c r="AX43" s="10">
        <v>222067000</v>
      </c>
      <c r="BB43" s="10">
        <v>11201317</v>
      </c>
      <c r="BF43" s="10">
        <v>3346000</v>
      </c>
      <c r="BG43" s="10">
        <v>5458000</v>
      </c>
      <c r="BM43" s="10">
        <v>466465000</v>
      </c>
      <c r="BT43" s="10">
        <v>8927000</v>
      </c>
      <c r="BV43" s="10">
        <v>54099000</v>
      </c>
      <c r="BW43" s="10">
        <v>11257046</v>
      </c>
      <c r="BX43" s="10">
        <v>246249000</v>
      </c>
      <c r="BY43" s="10">
        <v>222067000</v>
      </c>
      <c r="BZ43" s="10">
        <v>2750572000</v>
      </c>
      <c r="CA43" s="10">
        <v>336197000</v>
      </c>
      <c r="CB43" s="10">
        <v>89948000</v>
      </c>
      <c r="CC43" s="10">
        <v>246249000</v>
      </c>
      <c r="CD43" s="10">
        <v>2504323000</v>
      </c>
      <c r="CO43" s="41"/>
      <c r="CT43" s="41"/>
      <c r="CW43" s="41"/>
      <c r="CX43" s="10">
        <v>26203000</v>
      </c>
      <c r="CY43" s="41"/>
      <c r="DD43" s="41">
        <v>2020</v>
      </c>
      <c r="DK43" s="10">
        <v>0</v>
      </c>
      <c r="DL43" s="10">
        <v>55729</v>
      </c>
      <c r="DM43" s="10">
        <v>848000</v>
      </c>
      <c r="DX43" s="10"/>
      <c r="DY43" s="10"/>
      <c r="DZ43" s="10"/>
      <c r="EA43" s="10"/>
      <c r="EB43" s="10"/>
      <c r="EC43" s="156" t="s">
        <v>664</v>
      </c>
    </row>
    <row r="44" spans="1:133" x14ac:dyDescent="0.35">
      <c r="A44" s="156" t="s">
        <v>663</v>
      </c>
      <c r="B44" s="22">
        <v>44561</v>
      </c>
      <c r="C44">
        <v>2021</v>
      </c>
      <c r="D44" s="156" t="s">
        <v>212</v>
      </c>
      <c r="E44" s="156" t="s">
        <v>213</v>
      </c>
      <c r="G44" s="10">
        <v>8234000</v>
      </c>
      <c r="H44" s="10">
        <v>-31838000</v>
      </c>
      <c r="I44" s="10">
        <v>189689000</v>
      </c>
      <c r="M44" s="10">
        <v>27852000</v>
      </c>
      <c r="O44" s="10">
        <v>586000</v>
      </c>
      <c r="P44" s="10">
        <v>208710000</v>
      </c>
      <c r="R44" s="10">
        <v>586000</v>
      </c>
      <c r="S44" s="10">
        <v>271656000</v>
      </c>
      <c r="T44" s="10">
        <v>171000</v>
      </c>
      <c r="AB44" s="10">
        <v>4449000</v>
      </c>
      <c r="AC44" s="10">
        <v>18724000</v>
      </c>
      <c r="AD44" s="10">
        <v>22907000</v>
      </c>
      <c r="AF44" s="10">
        <v>65883000</v>
      </c>
      <c r="AJ44" s="10">
        <v>305515000</v>
      </c>
      <c r="AL44" s="10">
        <v>472438000</v>
      </c>
      <c r="AM44" s="10">
        <v>8586000</v>
      </c>
      <c r="AN44" s="10">
        <v>5593000</v>
      </c>
      <c r="AP44" s="10">
        <v>33859000</v>
      </c>
      <c r="AQ44" s="10">
        <v>33859000</v>
      </c>
      <c r="AT44" s="10">
        <v>23681000</v>
      </c>
      <c r="AW44" s="10">
        <v>34045000</v>
      </c>
      <c r="AX44" s="10">
        <v>248749000</v>
      </c>
      <c r="BB44" s="10">
        <v>11183050</v>
      </c>
      <c r="BF44" s="10">
        <v>4449000</v>
      </c>
      <c r="BG44" s="10">
        <v>4183000</v>
      </c>
      <c r="BM44" s="10">
        <v>472438000</v>
      </c>
      <c r="BT44" s="10">
        <v>8234000</v>
      </c>
      <c r="BV44" s="10">
        <v>78700000</v>
      </c>
      <c r="BW44" s="10">
        <v>11258167</v>
      </c>
      <c r="BX44" s="10">
        <v>271656000</v>
      </c>
      <c r="BY44" s="10">
        <v>248749000</v>
      </c>
      <c r="BZ44" s="10">
        <v>2834565000</v>
      </c>
      <c r="CA44" s="10">
        <v>305515000</v>
      </c>
      <c r="CB44" s="10">
        <v>33859000</v>
      </c>
      <c r="CC44" s="10">
        <v>271656000</v>
      </c>
      <c r="CD44" s="10">
        <v>2562909000</v>
      </c>
      <c r="CO44" s="41"/>
      <c r="CT44" s="41"/>
      <c r="CW44" s="41"/>
      <c r="CX44" s="10">
        <v>21217000</v>
      </c>
      <c r="CY44" s="41"/>
      <c r="DD44" s="41">
        <v>2021</v>
      </c>
      <c r="DK44" s="10">
        <v>0</v>
      </c>
      <c r="DL44" s="10">
        <v>75117</v>
      </c>
      <c r="DM44" s="10">
        <v>1768000</v>
      </c>
      <c r="DX44" s="10"/>
      <c r="DY44" s="10"/>
      <c r="DZ44" s="10"/>
      <c r="EA44" s="10"/>
      <c r="EB44" s="10"/>
      <c r="EC44" s="156" t="s">
        <v>664</v>
      </c>
    </row>
    <row r="45" spans="1:133" x14ac:dyDescent="0.35">
      <c r="A45" s="156" t="s">
        <v>663</v>
      </c>
      <c r="B45" s="22">
        <v>44926</v>
      </c>
      <c r="C45">
        <v>2022</v>
      </c>
      <c r="D45" s="156" t="s">
        <v>212</v>
      </c>
      <c r="E45" s="156" t="s">
        <v>213</v>
      </c>
      <c r="G45" s="10">
        <v>11027000</v>
      </c>
      <c r="H45" s="10">
        <v>-30335000</v>
      </c>
      <c r="I45" s="10">
        <v>189264000</v>
      </c>
      <c r="M45" s="10">
        <v>24813000</v>
      </c>
      <c r="O45" s="10">
        <v>584000</v>
      </c>
      <c r="P45" s="10">
        <v>60823000</v>
      </c>
      <c r="R45" s="10">
        <v>584000</v>
      </c>
      <c r="S45" s="10">
        <v>228896000</v>
      </c>
      <c r="T45" s="10">
        <v>59000</v>
      </c>
      <c r="AB45" s="10">
        <v>-39913000</v>
      </c>
      <c r="AC45" s="10">
        <v>18724000</v>
      </c>
      <c r="AD45" s="10">
        <v>21802000</v>
      </c>
      <c r="AF45" s="10">
        <v>59663000</v>
      </c>
      <c r="AJ45" s="10">
        <v>367061000</v>
      </c>
      <c r="AL45" s="10">
        <v>513728000</v>
      </c>
      <c r="AM45" s="10">
        <v>7583000</v>
      </c>
      <c r="AN45" s="10">
        <v>5359000</v>
      </c>
      <c r="AP45" s="10">
        <v>138165000</v>
      </c>
      <c r="AQ45" s="10">
        <v>138165000</v>
      </c>
      <c r="AT45" s="10">
        <v>21849000</v>
      </c>
      <c r="AV45" s="10">
        <v>77342000</v>
      </c>
      <c r="AW45" s="10">
        <v>29328000</v>
      </c>
      <c r="AX45" s="10">
        <v>207094000</v>
      </c>
      <c r="BB45" s="10">
        <v>10671413</v>
      </c>
      <c r="BF45" s="10">
        <v>-39913000</v>
      </c>
      <c r="BG45" s="10">
        <v>3078000</v>
      </c>
      <c r="BM45" s="10">
        <v>513728000</v>
      </c>
      <c r="BT45" s="10">
        <v>11027000</v>
      </c>
      <c r="BV45" s="10">
        <v>92473000</v>
      </c>
      <c r="BW45" s="10">
        <v>11229242</v>
      </c>
      <c r="BX45" s="10">
        <v>228896000</v>
      </c>
      <c r="BY45" s="10">
        <v>207094000</v>
      </c>
      <c r="BZ45" s="10">
        <v>2922408000</v>
      </c>
      <c r="CA45" s="10">
        <v>367061000</v>
      </c>
      <c r="CB45" s="10">
        <v>138165000</v>
      </c>
      <c r="CC45" s="10">
        <v>228896000</v>
      </c>
      <c r="CD45" s="10">
        <v>2693512000</v>
      </c>
      <c r="CO45" s="41"/>
      <c r="CT45" s="41"/>
      <c r="CW45" s="41"/>
      <c r="CX45" s="10">
        <v>28477000</v>
      </c>
      <c r="CY45" s="41"/>
      <c r="DD45" s="41">
        <v>2022</v>
      </c>
      <c r="DK45" s="10">
        <v>0</v>
      </c>
      <c r="DL45" s="10">
        <v>557829</v>
      </c>
      <c r="DM45" s="10">
        <v>13512000</v>
      </c>
      <c r="DX45" s="10"/>
      <c r="DY45" s="10"/>
      <c r="DZ45" s="10"/>
      <c r="EA45" s="10"/>
      <c r="EB45" s="10"/>
      <c r="EC45" s="156" t="s">
        <v>664</v>
      </c>
    </row>
    <row r="46" spans="1:133" x14ac:dyDescent="0.35">
      <c r="A46" s="156" t="s">
        <v>663</v>
      </c>
      <c r="B46" s="22">
        <v>45291</v>
      </c>
      <c r="C46">
        <v>2023</v>
      </c>
      <c r="D46" s="156" t="s">
        <v>212</v>
      </c>
      <c r="E46" s="156" t="s">
        <v>213</v>
      </c>
      <c r="G46" s="10">
        <v>13630000</v>
      </c>
      <c r="H46" s="10">
        <v>-31078000</v>
      </c>
      <c r="I46" s="10">
        <v>189027000</v>
      </c>
      <c r="M46" s="10">
        <v>24570000</v>
      </c>
      <c r="O46" s="10">
        <v>583000</v>
      </c>
      <c r="P46" s="10">
        <v>65161000</v>
      </c>
      <c r="R46" s="10">
        <v>583000</v>
      </c>
      <c r="S46" s="10">
        <v>265056000</v>
      </c>
      <c r="T46" s="10">
        <v>593000</v>
      </c>
      <c r="AB46" s="10">
        <v>-28476000</v>
      </c>
      <c r="AC46" s="10">
        <v>18724000</v>
      </c>
      <c r="AD46" s="10">
        <v>21138000</v>
      </c>
      <c r="AF46" s="10">
        <v>60471000</v>
      </c>
      <c r="AJ46" s="10">
        <v>434649000</v>
      </c>
      <c r="AL46" s="10">
        <v>513519000</v>
      </c>
      <c r="AM46" s="10">
        <v>7556000</v>
      </c>
      <c r="AN46" s="10">
        <v>5557000</v>
      </c>
      <c r="AP46" s="10">
        <v>169593000</v>
      </c>
      <c r="AQ46" s="10">
        <v>169593000</v>
      </c>
      <c r="AT46" s="10">
        <v>22195000</v>
      </c>
      <c r="AV46" s="10">
        <v>104432000</v>
      </c>
      <c r="AW46" s="10">
        <v>29393000</v>
      </c>
      <c r="AX46" s="10">
        <v>243918000</v>
      </c>
      <c r="BB46" s="10">
        <v>10612390</v>
      </c>
      <c r="BF46" s="10">
        <v>-28476000</v>
      </c>
      <c r="BG46" s="10">
        <v>2414000</v>
      </c>
      <c r="BM46" s="10">
        <v>513519000</v>
      </c>
      <c r="BT46" s="10">
        <v>13630000</v>
      </c>
      <c r="BV46" s="10">
        <v>117667000</v>
      </c>
      <c r="BW46" s="10">
        <v>11204599</v>
      </c>
      <c r="BX46" s="10">
        <v>265056000</v>
      </c>
      <c r="BY46" s="10">
        <v>243918000</v>
      </c>
      <c r="BZ46" s="10">
        <v>3064240000</v>
      </c>
      <c r="CA46" s="10">
        <v>434649000</v>
      </c>
      <c r="CB46" s="10">
        <v>169593000</v>
      </c>
      <c r="CC46" s="10">
        <v>265056000</v>
      </c>
      <c r="CD46" s="10">
        <v>2799184000</v>
      </c>
      <c r="CO46" s="41"/>
      <c r="CT46" s="41"/>
      <c r="CW46" s="41"/>
      <c r="CX46" s="10">
        <v>32586000</v>
      </c>
      <c r="CY46" s="41"/>
      <c r="DD46" s="41">
        <v>2023</v>
      </c>
      <c r="DK46" s="10">
        <v>0</v>
      </c>
      <c r="DL46" s="10">
        <v>592209</v>
      </c>
      <c r="DM46" s="10">
        <v>13745000</v>
      </c>
      <c r="DX46" s="10"/>
      <c r="DY46" s="10"/>
      <c r="DZ46" s="10"/>
      <c r="EA46" s="10"/>
      <c r="EB46" s="10"/>
      <c r="EC46" s="156" t="s">
        <v>664</v>
      </c>
    </row>
    <row r="47" spans="1:133" x14ac:dyDescent="0.35">
      <c r="A47" s="156" t="s">
        <v>665</v>
      </c>
      <c r="B47" s="22">
        <v>43830</v>
      </c>
      <c r="C47">
        <v>2019</v>
      </c>
      <c r="D47" s="156" t="s">
        <v>212</v>
      </c>
      <c r="E47" s="156" t="s">
        <v>213</v>
      </c>
      <c r="J47" s="10">
        <v>-537000</v>
      </c>
      <c r="X47" s="10">
        <v>94170000</v>
      </c>
      <c r="Y47" s="10">
        <v>94170000</v>
      </c>
      <c r="AE47" s="10">
        <v>28809000</v>
      </c>
      <c r="BD47" s="10">
        <v>94170000</v>
      </c>
      <c r="CG47" s="10">
        <v>51000</v>
      </c>
      <c r="CO47" s="41"/>
      <c r="CT47" s="41"/>
      <c r="CW47" s="41"/>
      <c r="CY47" s="41"/>
      <c r="DD47" s="41">
        <v>2019</v>
      </c>
      <c r="DX47" s="10"/>
      <c r="DY47" s="10"/>
      <c r="DZ47" s="10"/>
      <c r="EA47" s="10"/>
      <c r="EB47" s="10"/>
      <c r="EC47" s="156" t="s">
        <v>666</v>
      </c>
    </row>
    <row r="48" spans="1:133" x14ac:dyDescent="0.35">
      <c r="A48" s="156" t="s">
        <v>665</v>
      </c>
      <c r="B48" s="22">
        <v>44196</v>
      </c>
      <c r="C48">
        <v>2020</v>
      </c>
      <c r="D48" s="156" t="s">
        <v>212</v>
      </c>
      <c r="E48" s="156" t="s">
        <v>213</v>
      </c>
      <c r="F48" s="10">
        <v>10979000</v>
      </c>
      <c r="G48" s="10">
        <v>16008000</v>
      </c>
      <c r="H48" s="10">
        <v>-16231000</v>
      </c>
      <c r="I48" s="10">
        <v>738481000</v>
      </c>
      <c r="J48" s="10">
        <v>0</v>
      </c>
      <c r="K48" s="10">
        <v>0</v>
      </c>
      <c r="M48" s="10">
        <v>3548000</v>
      </c>
      <c r="O48" s="10">
        <v>714000</v>
      </c>
      <c r="P48" s="10">
        <v>473474000</v>
      </c>
      <c r="Q48" s="10">
        <v>926647000</v>
      </c>
      <c r="R48" s="10">
        <v>714000</v>
      </c>
      <c r="S48" s="10">
        <v>773369000</v>
      </c>
      <c r="U48" s="10">
        <v>21649000</v>
      </c>
      <c r="V48" s="10">
        <v>1002549000</v>
      </c>
      <c r="Z48" s="10">
        <v>295762000</v>
      </c>
      <c r="AB48" s="10">
        <v>-184000</v>
      </c>
      <c r="AC48" s="10">
        <v>22421000</v>
      </c>
      <c r="AD48" s="10">
        <v>440764000</v>
      </c>
      <c r="AE48" s="10">
        <v>16008000</v>
      </c>
      <c r="AF48" s="10">
        <v>55317000</v>
      </c>
      <c r="AJ48" s="10">
        <v>1141361000</v>
      </c>
      <c r="AL48" s="10">
        <v>15489000</v>
      </c>
      <c r="AN48" s="10">
        <v>11076000</v>
      </c>
      <c r="AP48" s="10">
        <v>367992000</v>
      </c>
      <c r="AQ48" s="10">
        <v>367992000</v>
      </c>
      <c r="AT48" s="10">
        <v>17054000</v>
      </c>
      <c r="AU48" s="10">
        <v>23197000</v>
      </c>
      <c r="AW48" s="10">
        <v>39086000</v>
      </c>
      <c r="AX48" s="10">
        <v>332605000</v>
      </c>
      <c r="AY48" s="10">
        <v>108069000</v>
      </c>
      <c r="BB48" s="10">
        <v>30816000</v>
      </c>
      <c r="BC48" s="10">
        <v>3733000</v>
      </c>
      <c r="BF48" s="10">
        <v>-184000</v>
      </c>
      <c r="BG48" s="10">
        <v>418343000</v>
      </c>
      <c r="BH48" s="10">
        <v>13677000</v>
      </c>
      <c r="BI48" s="10">
        <v>47886000</v>
      </c>
      <c r="BK48" s="10">
        <v>23639000</v>
      </c>
      <c r="BL48" s="10">
        <v>817000</v>
      </c>
      <c r="BM48" s="10">
        <v>453173000</v>
      </c>
      <c r="BN48" s="10">
        <v>21765000</v>
      </c>
      <c r="BO48" s="10">
        <v>43414000</v>
      </c>
      <c r="BP48" s="10">
        <v>32413000</v>
      </c>
      <c r="BR48" s="10">
        <v>10899000</v>
      </c>
      <c r="BS48" s="10">
        <v>0</v>
      </c>
      <c r="BT48" s="10">
        <v>61270000</v>
      </c>
      <c r="BV48" s="10">
        <v>1413969000</v>
      </c>
      <c r="BW48" s="10">
        <v>71389000</v>
      </c>
      <c r="BX48" s="10">
        <v>773369000</v>
      </c>
      <c r="BY48" s="10">
        <v>332605000</v>
      </c>
      <c r="BZ48" s="10">
        <v>1616275000</v>
      </c>
      <c r="CA48" s="10">
        <v>1141361000</v>
      </c>
      <c r="CB48" s="10">
        <v>367992000</v>
      </c>
      <c r="CC48" s="10">
        <v>796566000</v>
      </c>
      <c r="CD48" s="10">
        <v>819709000</v>
      </c>
      <c r="CE48" s="10">
        <v>613726000</v>
      </c>
      <c r="CF48" s="10">
        <v>523947000</v>
      </c>
      <c r="CG48" s="10">
        <v>360000</v>
      </c>
      <c r="CI48" s="10">
        <v>706787000</v>
      </c>
      <c r="CJ48" s="10">
        <v>219935000</v>
      </c>
      <c r="CK48" s="10">
        <v>219935000</v>
      </c>
      <c r="CO48" s="41"/>
      <c r="CP48" s="10">
        <v>80380000</v>
      </c>
      <c r="CQ48" s="10">
        <v>80380000</v>
      </c>
      <c r="CT48" s="41"/>
      <c r="CW48" s="41"/>
      <c r="CY48" s="41"/>
      <c r="DA48" s="10">
        <v>108069000</v>
      </c>
      <c r="DD48" s="41">
        <v>2020</v>
      </c>
      <c r="DE48" s="10">
        <v>10786000</v>
      </c>
      <c r="DK48" s="10">
        <v>0</v>
      </c>
      <c r="DL48" s="10">
        <v>40573000</v>
      </c>
      <c r="DM48" s="10">
        <v>1379611000</v>
      </c>
      <c r="DP48" s="10">
        <v>24330000</v>
      </c>
      <c r="DS48" s="10">
        <v>45262000</v>
      </c>
      <c r="DX48" s="10"/>
      <c r="DY48" s="10"/>
      <c r="DZ48" s="10"/>
      <c r="EA48" s="10"/>
      <c r="EB48" s="10"/>
      <c r="EC48" s="156" t="s">
        <v>666</v>
      </c>
    </row>
    <row r="49" spans="1:133" x14ac:dyDescent="0.35">
      <c r="A49" s="156" t="s">
        <v>665</v>
      </c>
      <c r="B49" s="22">
        <v>44561</v>
      </c>
      <c r="C49">
        <v>2021</v>
      </c>
      <c r="D49" s="156" t="s">
        <v>212</v>
      </c>
      <c r="E49" s="156" t="s">
        <v>213</v>
      </c>
      <c r="F49" s="10">
        <v>7155000</v>
      </c>
      <c r="G49" s="10">
        <v>31113000</v>
      </c>
      <c r="H49" s="10">
        <v>-18996000</v>
      </c>
      <c r="I49" s="10">
        <v>713599000</v>
      </c>
      <c r="J49" s="10">
        <v>-322000</v>
      </c>
      <c r="K49" s="10">
        <v>4000000</v>
      </c>
      <c r="M49" s="10">
        <v>3574000</v>
      </c>
      <c r="O49" s="10">
        <v>717000</v>
      </c>
      <c r="P49" s="10">
        <v>706282000</v>
      </c>
      <c r="Q49" s="10">
        <v>941627000</v>
      </c>
      <c r="R49" s="10">
        <v>717000</v>
      </c>
      <c r="S49" s="10">
        <v>745239000</v>
      </c>
      <c r="U49" s="10">
        <v>29354000</v>
      </c>
      <c r="V49" s="10">
        <v>1050285000</v>
      </c>
      <c r="Z49" s="10">
        <v>371561000</v>
      </c>
      <c r="AB49" s="10">
        <v>-571000</v>
      </c>
      <c r="AC49" s="10">
        <v>22421000</v>
      </c>
      <c r="AD49" s="10">
        <v>386006000</v>
      </c>
      <c r="AE49" s="10">
        <v>31435000</v>
      </c>
      <c r="AF49" s="10">
        <v>50224000</v>
      </c>
      <c r="AJ49" s="10">
        <v>1167984000</v>
      </c>
      <c r="AL49" s="10">
        <v>21280000</v>
      </c>
      <c r="AN49" s="10">
        <v>11743000</v>
      </c>
      <c r="AP49" s="10">
        <v>422745000</v>
      </c>
      <c r="AQ49" s="10">
        <v>422745000</v>
      </c>
      <c r="AT49" s="10">
        <v>15586000</v>
      </c>
      <c r="AU49" s="10">
        <v>7678000</v>
      </c>
      <c r="AW49" s="10">
        <v>31228000</v>
      </c>
      <c r="AX49" s="10">
        <v>359233000</v>
      </c>
      <c r="AY49" s="10">
        <v>19463000</v>
      </c>
      <c r="BB49" s="10">
        <v>30689000</v>
      </c>
      <c r="BC49" s="10">
        <v>5078000</v>
      </c>
      <c r="BF49" s="10">
        <v>-571000</v>
      </c>
      <c r="BG49" s="10">
        <v>363585000</v>
      </c>
      <c r="BH49" s="10">
        <v>10923000</v>
      </c>
      <c r="BI49" s="10">
        <v>61470000</v>
      </c>
      <c r="BK49" s="10">
        <v>19321000</v>
      </c>
      <c r="BM49" s="10">
        <v>235345000</v>
      </c>
      <c r="BN49" s="10">
        <v>17896000</v>
      </c>
      <c r="BO49" s="10">
        <v>47250000</v>
      </c>
      <c r="BP49" s="10">
        <v>32638000</v>
      </c>
      <c r="BR49" s="10">
        <v>5479000</v>
      </c>
      <c r="BS49" s="10">
        <v>0</v>
      </c>
      <c r="BT49" s="10">
        <v>88240000</v>
      </c>
      <c r="BU49" s="10">
        <v>5861000</v>
      </c>
      <c r="BV49" s="10">
        <v>1441105000</v>
      </c>
      <c r="BW49" s="10">
        <v>71720000</v>
      </c>
      <c r="BX49" s="10">
        <v>745239000</v>
      </c>
      <c r="BY49" s="10">
        <v>359233000</v>
      </c>
      <c r="BZ49" s="10">
        <v>1628156000</v>
      </c>
      <c r="CA49" s="10">
        <v>1167984000</v>
      </c>
      <c r="CB49" s="10">
        <v>422745000</v>
      </c>
      <c r="CC49" s="10">
        <v>752917000</v>
      </c>
      <c r="CD49" s="10">
        <v>875239000</v>
      </c>
      <c r="CE49" s="10">
        <v>577871000</v>
      </c>
      <c r="CF49" s="10">
        <v>503678000</v>
      </c>
      <c r="CI49" s="10">
        <v>678724000</v>
      </c>
      <c r="CJ49" s="10">
        <v>291673000</v>
      </c>
      <c r="CK49" s="10">
        <v>291673000</v>
      </c>
      <c r="CO49" s="41"/>
      <c r="CP49" s="10">
        <v>98408000</v>
      </c>
      <c r="CQ49" s="10">
        <v>98408000</v>
      </c>
      <c r="CT49" s="41"/>
      <c r="CW49" s="41"/>
      <c r="CY49" s="41"/>
      <c r="DA49" s="10">
        <v>19463000</v>
      </c>
      <c r="DD49" s="41">
        <v>2021</v>
      </c>
      <c r="DE49" s="10">
        <v>10741000</v>
      </c>
      <c r="DK49" s="10">
        <v>0</v>
      </c>
      <c r="DL49" s="10">
        <v>41031000</v>
      </c>
      <c r="DM49" s="10">
        <v>1409611000</v>
      </c>
      <c r="DP49" s="10">
        <v>30026000</v>
      </c>
      <c r="DS49" s="10">
        <v>57127000</v>
      </c>
      <c r="DX49" s="10"/>
      <c r="DY49" s="10"/>
      <c r="DZ49" s="10"/>
      <c r="EA49" s="10"/>
      <c r="EB49" s="10"/>
      <c r="EC49" s="156" t="s">
        <v>666</v>
      </c>
    </row>
    <row r="50" spans="1:133" x14ac:dyDescent="0.35">
      <c r="A50" s="156" t="s">
        <v>665</v>
      </c>
      <c r="B50" s="22">
        <v>44926</v>
      </c>
      <c r="C50">
        <v>2022</v>
      </c>
      <c r="D50" s="156" t="s">
        <v>212</v>
      </c>
      <c r="E50" s="156" t="s">
        <v>213</v>
      </c>
      <c r="F50" s="10">
        <v>9997000</v>
      </c>
      <c r="G50" s="10">
        <v>53182000</v>
      </c>
      <c r="H50" s="10">
        <v>-21946000</v>
      </c>
      <c r="I50" s="10">
        <v>717102000</v>
      </c>
      <c r="J50" s="10">
        <v>0</v>
      </c>
      <c r="K50" s="10">
        <v>4000000</v>
      </c>
      <c r="M50" s="10">
        <v>3517000</v>
      </c>
      <c r="N50" s="10">
        <v>19923000</v>
      </c>
      <c r="O50" s="10">
        <v>719000</v>
      </c>
      <c r="P50" s="10">
        <v>693479000</v>
      </c>
      <c r="Q50" s="10">
        <v>1201777000</v>
      </c>
      <c r="R50" s="10">
        <v>719000</v>
      </c>
      <c r="S50" s="10">
        <v>724895000</v>
      </c>
      <c r="U50" s="10">
        <v>23506000</v>
      </c>
      <c r="V50" s="10">
        <v>1344675000</v>
      </c>
      <c r="Z50" s="10">
        <v>271346000</v>
      </c>
      <c r="AB50" s="10">
        <v>-916000</v>
      </c>
      <c r="AC50" s="10">
        <v>22421000</v>
      </c>
      <c r="AD50" s="10">
        <v>376420000</v>
      </c>
      <c r="AE50" s="10">
        <v>53182000</v>
      </c>
      <c r="AF50" s="10">
        <v>51318000</v>
      </c>
      <c r="AJ50" s="10">
        <v>1331961000</v>
      </c>
      <c r="AL50" s="10">
        <v>19593000</v>
      </c>
      <c r="AN50" s="10">
        <v>12636000</v>
      </c>
      <c r="AO50" s="10">
        <v>19923000</v>
      </c>
      <c r="AP50" s="10">
        <v>607066000</v>
      </c>
      <c r="AQ50" s="10">
        <v>626989000</v>
      </c>
      <c r="AT50" s="10">
        <v>15814000</v>
      </c>
      <c r="AU50" s="10">
        <v>5618000</v>
      </c>
      <c r="AW50" s="10">
        <v>29372000</v>
      </c>
      <c r="AX50" s="10">
        <v>348475000</v>
      </c>
      <c r="AY50" s="10">
        <v>251658000</v>
      </c>
      <c r="BB50" s="10">
        <v>29668000</v>
      </c>
      <c r="BC50" s="10">
        <v>2873000</v>
      </c>
      <c r="BF50" s="10">
        <v>-916000</v>
      </c>
      <c r="BG50" s="10">
        <v>353999000</v>
      </c>
      <c r="BH50" s="10">
        <v>6302000</v>
      </c>
      <c r="BI50" s="10">
        <v>19599000</v>
      </c>
      <c r="BK50" s="10">
        <v>19351000</v>
      </c>
      <c r="BM50" s="10">
        <v>508298000</v>
      </c>
      <c r="BN50" s="10">
        <v>20381000</v>
      </c>
      <c r="BO50" s="10">
        <v>43887000</v>
      </c>
      <c r="BP50" s="10">
        <v>38400000</v>
      </c>
      <c r="BR50" s="10">
        <v>9044000</v>
      </c>
      <c r="BS50" s="10">
        <v>0</v>
      </c>
      <c r="BT50" s="10">
        <v>117299000</v>
      </c>
      <c r="BU50" s="10">
        <v>9682000</v>
      </c>
      <c r="BV50" s="10">
        <v>1492046000</v>
      </c>
      <c r="BW50" s="10">
        <v>71923000</v>
      </c>
      <c r="BX50" s="10">
        <v>724895000</v>
      </c>
      <c r="BY50" s="10">
        <v>348475000</v>
      </c>
      <c r="BZ50" s="10">
        <v>1900105000</v>
      </c>
      <c r="CA50" s="10">
        <v>1331961000</v>
      </c>
      <c r="CB50" s="10">
        <v>626989000</v>
      </c>
      <c r="CC50" s="10">
        <v>730513000</v>
      </c>
      <c r="CD50" s="10">
        <v>1169592000</v>
      </c>
      <c r="CE50" s="10">
        <v>555430000</v>
      </c>
      <c r="CF50" s="10">
        <v>898246000</v>
      </c>
      <c r="CI50" s="10">
        <v>1073329000</v>
      </c>
      <c r="CJ50" s="10">
        <v>189059000</v>
      </c>
      <c r="CK50" s="10">
        <v>189059000</v>
      </c>
      <c r="CO50" s="41"/>
      <c r="CP50" s="10">
        <v>94373000</v>
      </c>
      <c r="CQ50" s="10">
        <v>94373000</v>
      </c>
      <c r="CT50" s="41"/>
      <c r="CW50" s="41"/>
      <c r="CY50" s="41"/>
      <c r="DA50" s="10">
        <v>237580000</v>
      </c>
      <c r="DD50" s="41">
        <v>2022</v>
      </c>
      <c r="DE50" s="10">
        <v>10384000</v>
      </c>
      <c r="DK50" s="10">
        <v>0</v>
      </c>
      <c r="DL50" s="10">
        <v>42255000</v>
      </c>
      <c r="DM50" s="10">
        <v>1484056000</v>
      </c>
      <c r="DP50" s="10">
        <v>29370000</v>
      </c>
      <c r="DS50" s="10">
        <v>64117000</v>
      </c>
      <c r="DX50" s="10"/>
      <c r="DY50" s="10"/>
      <c r="DZ50" s="10"/>
      <c r="EA50" s="10"/>
      <c r="EB50" s="10"/>
      <c r="EC50" s="156" t="s">
        <v>666</v>
      </c>
    </row>
    <row r="51" spans="1:133" x14ac:dyDescent="0.35">
      <c r="A51" s="156" t="s">
        <v>665</v>
      </c>
      <c r="B51" s="22">
        <v>45291</v>
      </c>
      <c r="C51">
        <v>2023</v>
      </c>
      <c r="D51" s="156" t="s">
        <v>212</v>
      </c>
      <c r="E51" s="156" t="s">
        <v>213</v>
      </c>
      <c r="F51" s="10">
        <v>7846000</v>
      </c>
      <c r="G51" s="10">
        <v>117292000</v>
      </c>
      <c r="H51" s="10">
        <v>-24310000</v>
      </c>
      <c r="I51" s="10">
        <v>742981000</v>
      </c>
      <c r="K51" s="10">
        <v>0</v>
      </c>
      <c r="M51" s="10">
        <v>3517000</v>
      </c>
      <c r="N51" s="10">
        <v>17385000</v>
      </c>
      <c r="O51" s="10">
        <v>694000</v>
      </c>
      <c r="P51" s="10">
        <v>437076000</v>
      </c>
      <c r="Q51" s="10">
        <v>1006356000</v>
      </c>
      <c r="R51" s="10">
        <v>694000</v>
      </c>
      <c r="S51" s="10">
        <v>581549000</v>
      </c>
      <c r="U51" s="10">
        <v>98042000</v>
      </c>
      <c r="V51" s="10">
        <v>1167624000</v>
      </c>
      <c r="X51" s="10">
        <v>578752000</v>
      </c>
      <c r="Y51" s="10">
        <v>578752000</v>
      </c>
      <c r="Z51" s="10">
        <v>881128000</v>
      </c>
      <c r="AB51" s="10">
        <v>-647000</v>
      </c>
      <c r="AC51" s="10">
        <v>22421000</v>
      </c>
      <c r="AD51" s="10">
        <v>335422000</v>
      </c>
      <c r="AF51" s="10">
        <v>51622000</v>
      </c>
      <c r="AJ51" s="10">
        <v>1189320000</v>
      </c>
      <c r="AL51" s="10">
        <v>31895000</v>
      </c>
      <c r="AN51" s="10">
        <v>14802000</v>
      </c>
      <c r="AO51" s="10">
        <v>17385000</v>
      </c>
      <c r="AP51" s="10">
        <v>29019000</v>
      </c>
      <c r="AQ51" s="10">
        <v>46404000</v>
      </c>
      <c r="AT51" s="10">
        <v>16496000</v>
      </c>
      <c r="AU51" s="10">
        <v>0</v>
      </c>
      <c r="AV51" s="10">
        <v>170695000</v>
      </c>
      <c r="AW51" s="10">
        <v>27312000</v>
      </c>
      <c r="AX51" s="10">
        <v>246127000</v>
      </c>
      <c r="AY51" s="10">
        <v>242279000</v>
      </c>
      <c r="BB51" s="10">
        <v>25580000</v>
      </c>
      <c r="BC51" s="10">
        <v>8903000</v>
      </c>
      <c r="BD51" s="10">
        <v>578752000</v>
      </c>
      <c r="BF51" s="10">
        <v>-647000</v>
      </c>
      <c r="BG51" s="10">
        <v>313001000</v>
      </c>
      <c r="BH51" s="10">
        <v>2854000</v>
      </c>
      <c r="BI51" s="10">
        <v>19454000</v>
      </c>
      <c r="BK51" s="10">
        <v>16807000</v>
      </c>
      <c r="BM51" s="10">
        <v>569280000</v>
      </c>
      <c r="BN51" s="10">
        <v>18072000</v>
      </c>
      <c r="BO51" s="10">
        <v>116114000</v>
      </c>
      <c r="BP51" s="10">
        <v>32665000</v>
      </c>
      <c r="BR51" s="10">
        <v>9353000</v>
      </c>
      <c r="BS51" s="10">
        <v>0</v>
      </c>
      <c r="BT51" s="10">
        <v>137127000</v>
      </c>
      <c r="BU51" s="10">
        <v>5885000</v>
      </c>
      <c r="BV51" s="10">
        <v>1462070000</v>
      </c>
      <c r="BW51" s="10">
        <v>69507000</v>
      </c>
      <c r="BX51" s="10">
        <v>581549000</v>
      </c>
      <c r="BY51" s="10">
        <v>246127000</v>
      </c>
      <c r="BZ51" s="10">
        <v>1770814000</v>
      </c>
      <c r="CA51" s="10">
        <v>610568000</v>
      </c>
      <c r="CB51" s="10">
        <v>625156000</v>
      </c>
      <c r="CC51" s="10">
        <v>581549000</v>
      </c>
      <c r="CD51" s="10">
        <v>1189265000</v>
      </c>
      <c r="CE51" s="10">
        <v>603190000</v>
      </c>
      <c r="CF51" s="10">
        <v>308137000</v>
      </c>
      <c r="CI51" s="10">
        <v>286496000</v>
      </c>
      <c r="CJ51" s="10">
        <v>153597000</v>
      </c>
      <c r="CK51" s="10">
        <v>153597000</v>
      </c>
      <c r="CO51" s="41"/>
      <c r="CP51" s="10">
        <v>128967000</v>
      </c>
      <c r="CQ51" s="10">
        <v>128967000</v>
      </c>
      <c r="CT51" s="41"/>
      <c r="CW51" s="41"/>
      <c r="CY51" s="41"/>
      <c r="DA51" s="10">
        <v>223866000</v>
      </c>
      <c r="DD51" s="41">
        <v>2023</v>
      </c>
      <c r="DE51" s="10">
        <v>10226000</v>
      </c>
      <c r="DK51" s="10">
        <v>0</v>
      </c>
      <c r="DL51" s="10">
        <v>43927000</v>
      </c>
      <c r="DM51" s="10">
        <v>1623549000</v>
      </c>
      <c r="DP51" s="10">
        <v>76740000</v>
      </c>
      <c r="DS51" s="10">
        <v>19835000</v>
      </c>
      <c r="DX51" s="10"/>
      <c r="DY51" s="10"/>
      <c r="DZ51" s="10"/>
      <c r="EA51" s="10"/>
      <c r="EB51" s="10"/>
      <c r="EC51" s="156" t="s">
        <v>666</v>
      </c>
    </row>
    <row r="53" spans="1:133" x14ac:dyDescent="0.35">
      <c r="CI5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5D0B-2092-4744-B0F1-0ED89B0BE026}">
  <sheetPr>
    <tabColor theme="7" tint="0.79998168889431442"/>
  </sheetPr>
  <dimension ref="A1:CX64"/>
  <sheetViews>
    <sheetView showGridLines="0" workbookViewId="0">
      <selection activeCell="G1" sqref="G1"/>
    </sheetView>
  </sheetViews>
  <sheetFormatPr defaultRowHeight="14.5" x14ac:dyDescent="0.35"/>
  <cols>
    <col min="1" max="1" width="14" bestFit="1" customWidth="1"/>
    <col min="2" max="2" width="11" bestFit="1" customWidth="1"/>
    <col min="3" max="3" width="7.08984375" bestFit="1" customWidth="1"/>
    <col min="4" max="4" width="12.90625" bestFit="1" customWidth="1"/>
    <col min="5" max="5" width="25.08984375" bestFit="1" customWidth="1"/>
    <col min="6" max="6" width="15" style="10" bestFit="1" customWidth="1"/>
    <col min="7" max="7" width="25.453125" style="10" bestFit="1" customWidth="1"/>
    <col min="8" max="8" width="24.36328125" style="10" bestFit="1" customWidth="1"/>
    <col min="9" max="9" width="21.08984375" style="10" bestFit="1" customWidth="1"/>
    <col min="10" max="10" width="43.36328125" style="10" bestFit="1" customWidth="1"/>
    <col min="11" max="11" width="43.08984375" style="10" bestFit="1" customWidth="1"/>
    <col min="12" max="12" width="43.7265625" style="10" bestFit="1" customWidth="1"/>
    <col min="13" max="13" width="26.453125" style="10" bestFit="1" customWidth="1"/>
    <col min="14" max="14" width="27" style="10" bestFit="1" customWidth="1"/>
    <col min="15" max="15" width="39.26953125" style="10" bestFit="1" customWidth="1"/>
    <col min="16" max="16" width="29.81640625" style="10" bestFit="1" customWidth="1"/>
    <col min="17" max="17" width="32.7265625" style="10" bestFit="1" customWidth="1"/>
    <col min="18" max="18" width="31.1796875" style="10" bestFit="1" customWidth="1"/>
    <col min="19" max="19" width="19.453125" style="10" bestFit="1" customWidth="1"/>
    <col min="20" max="20" width="38.1796875" style="10" bestFit="1" customWidth="1"/>
    <col min="21" max="21" width="24.90625" style="10" bestFit="1" customWidth="1"/>
    <col min="22" max="22" width="23" style="10" bestFit="1" customWidth="1"/>
    <col min="23" max="23" width="26" style="10" bestFit="1" customWidth="1"/>
    <col min="24" max="24" width="30.90625" style="10" bestFit="1" customWidth="1"/>
    <col min="25" max="25" width="17.453125" style="10" bestFit="1" customWidth="1"/>
    <col min="26" max="26" width="24.36328125" style="10" bestFit="1" customWidth="1"/>
    <col min="27" max="27" width="25.453125" style="10" bestFit="1" customWidth="1"/>
    <col min="28" max="28" width="21.6328125" style="10" bestFit="1" customWidth="1"/>
    <col min="29" max="29" width="15.26953125" style="10" bestFit="1" customWidth="1"/>
    <col min="30" max="30" width="35.81640625" style="10" bestFit="1" customWidth="1"/>
    <col min="31" max="31" width="30.6328125" style="10" bestFit="1" customWidth="1"/>
    <col min="32" max="32" width="38.1796875" style="10" bestFit="1" customWidth="1"/>
    <col min="33" max="33" width="31.08984375" style="10" bestFit="1" customWidth="1"/>
    <col min="34" max="34" width="18.90625" style="10" bestFit="1" customWidth="1"/>
    <col min="35" max="35" width="21" style="10" bestFit="1" customWidth="1"/>
    <col min="36" max="36" width="16.6328125" style="10" bestFit="1" customWidth="1"/>
    <col min="37" max="37" width="33.26953125" style="10" bestFit="1" customWidth="1"/>
    <col min="38" max="38" width="28.08984375" style="10" bestFit="1" customWidth="1"/>
    <col min="39" max="39" width="33.81640625" style="10" bestFit="1" customWidth="1"/>
    <col min="40" max="40" width="31.36328125" style="10" bestFit="1" customWidth="1"/>
    <col min="41" max="41" width="20.7265625" style="10" bestFit="1" customWidth="1"/>
    <col min="42" max="42" width="24.6328125" style="10" bestFit="1" customWidth="1"/>
    <col min="43" max="43" width="18.08984375" style="10" bestFit="1" customWidth="1"/>
    <col min="44" max="44" width="24.6328125" style="10" bestFit="1" customWidth="1"/>
    <col min="45" max="45" width="25.7265625" style="10" bestFit="1" customWidth="1"/>
    <col min="46" max="46" width="30.26953125" style="10" bestFit="1" customWidth="1"/>
    <col min="47" max="47" width="27.6328125" style="10" bestFit="1" customWidth="1"/>
    <col min="48" max="48" width="37.90625" style="10" bestFit="1" customWidth="1"/>
    <col min="49" max="49" width="14.26953125" style="10" bestFit="1" customWidth="1"/>
    <col min="50" max="50" width="37.90625" style="10" bestFit="1" customWidth="1"/>
    <col min="51" max="51" width="32.7265625" style="10" bestFit="1" customWidth="1"/>
    <col min="52" max="52" width="30" style="10" bestFit="1" customWidth="1"/>
    <col min="53" max="54" width="27.90625" style="10" bestFit="1" customWidth="1"/>
    <col min="55" max="55" width="28.08984375" style="10" bestFit="1" customWidth="1"/>
    <col min="56" max="56" width="25.90625" style="10" bestFit="1" customWidth="1"/>
    <col min="57" max="57" width="28.1796875" style="10" bestFit="1" customWidth="1"/>
    <col min="58" max="58" width="21.36328125" style="10" bestFit="1" customWidth="1"/>
    <col min="59" max="59" width="23.7265625" style="10" bestFit="1" customWidth="1"/>
    <col min="60" max="60" width="43.08984375" style="10" bestFit="1" customWidth="1"/>
    <col min="61" max="61" width="22.08984375" style="10" bestFit="1" customWidth="1"/>
    <col min="62" max="62" width="24.90625" style="10" bestFit="1" customWidth="1"/>
    <col min="63" max="63" width="36" style="10" bestFit="1" customWidth="1"/>
    <col min="64" max="64" width="21.90625" style="10" bestFit="1" customWidth="1"/>
    <col min="65" max="65" width="24.36328125" style="10" bestFit="1" customWidth="1"/>
    <col min="66" max="66" width="17.54296875" style="10" bestFit="1" customWidth="1"/>
    <col min="67" max="67" width="20.7265625" style="10" bestFit="1" customWidth="1"/>
    <col min="68" max="68" width="27.36328125" style="10" bestFit="1" customWidth="1"/>
    <col min="69" max="69" width="17.7265625" style="10" bestFit="1" customWidth="1"/>
    <col min="70" max="70" width="20.1796875" style="10" bestFit="1" customWidth="1"/>
    <col min="71" max="71" width="13.36328125" style="10" bestFit="1" customWidth="1"/>
    <col min="72" max="72" width="24.90625" style="10" bestFit="1" customWidth="1"/>
    <col min="73" max="73" width="27" style="10" bestFit="1" customWidth="1"/>
    <col min="74" max="74" width="42.90625" style="10" bestFit="1" customWidth="1"/>
    <col min="75" max="75" width="18.36328125" style="10" bestFit="1" customWidth="1"/>
    <col min="76" max="76" width="24.08984375" style="10" bestFit="1" customWidth="1"/>
    <col min="77" max="77" width="27.6328125" style="10" bestFit="1" customWidth="1"/>
    <col min="78" max="78" width="29.26953125" style="10" bestFit="1" customWidth="1"/>
    <col min="79" max="79" width="21" style="10" bestFit="1" customWidth="1"/>
    <col min="80" max="80" width="28.90625" style="10" bestFit="1" customWidth="1"/>
    <col min="81" max="81" width="21" style="10" bestFit="1" customWidth="1"/>
    <col min="82" max="82" width="22.36328125" style="10" bestFit="1" customWidth="1"/>
    <col min="83" max="83" width="28.6328125" style="10" bestFit="1" customWidth="1"/>
    <col min="84" max="84" width="15.6328125" style="10" bestFit="1" customWidth="1"/>
    <col min="85" max="85" width="23.7265625" style="10" bestFit="1" customWidth="1"/>
    <col min="86" max="86" width="28.453125" style="10" bestFit="1" customWidth="1"/>
    <col min="87" max="87" width="37.453125" style="10" bestFit="1" customWidth="1"/>
    <col min="88" max="88" width="40.453125" style="10" bestFit="1" customWidth="1"/>
    <col min="89" max="89" width="27.90625" style="10" bestFit="1" customWidth="1"/>
    <col min="90" max="90" width="25.1796875" style="10" bestFit="1" customWidth="1"/>
    <col min="91" max="91" width="26.26953125" style="10" bestFit="1" customWidth="1"/>
    <col min="92" max="92" width="41" style="10" bestFit="1" customWidth="1"/>
    <col min="93" max="93" width="10.90625" style="10" bestFit="1" customWidth="1"/>
    <col min="94" max="94" width="40.7265625" style="10" bestFit="1" customWidth="1"/>
    <col min="95" max="95" width="41.453125" style="10" bestFit="1" customWidth="1"/>
    <col min="96" max="96" width="23.81640625" bestFit="1" customWidth="1"/>
    <col min="97" max="97" width="29.1796875" bestFit="1" customWidth="1"/>
    <col min="98" max="98" width="26" bestFit="1" customWidth="1"/>
    <col min="99" max="99" width="31.1796875" bestFit="1" customWidth="1"/>
    <col min="100" max="100" width="32.453125" bestFit="1" customWidth="1"/>
    <col min="101" max="101" width="24.08984375" bestFit="1" customWidth="1"/>
    <col min="102" max="102" width="8.26953125" bestFit="1" customWidth="1"/>
    <col min="103" max="103" width="31.26953125" bestFit="1" customWidth="1"/>
    <col min="104" max="104" width="23.453125" bestFit="1" customWidth="1"/>
    <col min="105" max="105" width="8.08984375" bestFit="1" customWidth="1"/>
    <col min="106" max="106" width="30.08984375" bestFit="1" customWidth="1"/>
    <col min="107" max="107" width="31.26953125" bestFit="1" customWidth="1"/>
    <col min="108" max="108" width="23.453125" bestFit="1" customWidth="1"/>
    <col min="109" max="109" width="8.08984375" bestFit="1" customWidth="1"/>
    <col min="110" max="110" width="8.26953125" bestFit="1" customWidth="1"/>
    <col min="111" max="111" width="10.6328125" bestFit="1" customWidth="1"/>
    <col min="112" max="112" width="30.08984375" bestFit="1" customWidth="1"/>
    <col min="113" max="113" width="31.26953125" bestFit="1" customWidth="1"/>
    <col min="114" max="114" width="23.453125" bestFit="1" customWidth="1"/>
    <col min="115" max="115" width="8.08984375" bestFit="1" customWidth="1"/>
    <col min="116" max="116" width="25.453125" bestFit="1" customWidth="1"/>
    <col min="117" max="117" width="44.1796875" bestFit="1" customWidth="1"/>
    <col min="118" max="118" width="30.08984375" bestFit="1" customWidth="1"/>
    <col min="119" max="119" width="31.26953125" bestFit="1" customWidth="1"/>
    <col min="120" max="120" width="10.6328125" bestFit="1" customWidth="1"/>
    <col min="121" max="121" width="23.453125" bestFit="1" customWidth="1"/>
    <col min="122" max="122" width="8.08984375" customWidth="1"/>
    <col min="123" max="123" width="23.453125" bestFit="1" customWidth="1"/>
    <col min="124" max="124" width="8.08984375" bestFit="1" customWidth="1"/>
    <col min="125" max="125" width="30.08984375" bestFit="1" customWidth="1"/>
    <col min="126" max="126" width="10.6328125" bestFit="1" customWidth="1"/>
    <col min="127" max="127" width="31.26953125" bestFit="1" customWidth="1"/>
    <col min="128" max="128" width="23.453125" bestFit="1" customWidth="1"/>
    <col min="129" max="129" width="8.08984375" bestFit="1" customWidth="1"/>
    <col min="130" max="130" width="30.08984375" bestFit="1" customWidth="1"/>
    <col min="131" max="131" width="31.26953125" bestFit="1" customWidth="1"/>
    <col min="132" max="132" width="23.453125" bestFit="1" customWidth="1"/>
    <col min="133" max="133" width="8.08984375" bestFit="1" customWidth="1"/>
    <col min="134" max="134" width="30.08984375" customWidth="1"/>
    <col min="135" max="135" width="10.6328125" bestFit="1" customWidth="1"/>
    <col min="136" max="136" width="31.26953125" bestFit="1" customWidth="1"/>
    <col min="137" max="137" width="23.453125" bestFit="1" customWidth="1"/>
    <col min="138" max="138" width="8.08984375" bestFit="1" customWidth="1"/>
    <col min="139" max="139" width="31.26953125" bestFit="1" customWidth="1"/>
    <col min="140" max="140" width="23.453125" bestFit="1" customWidth="1"/>
    <col min="141" max="141" width="8.08984375" bestFit="1" customWidth="1"/>
    <col min="142" max="142" width="30.08984375" bestFit="1" customWidth="1"/>
    <col min="143" max="143" width="31.26953125" bestFit="1" customWidth="1"/>
    <col min="144" max="144" width="23.453125" bestFit="1" customWidth="1"/>
    <col min="145" max="145" width="8.08984375" bestFit="1" customWidth="1"/>
    <col min="146" max="146" width="10.7265625" bestFit="1" customWidth="1"/>
    <col min="147" max="149" width="17" bestFit="1" customWidth="1"/>
    <col min="150" max="150" width="8.1796875" bestFit="1" customWidth="1"/>
    <col min="151" max="151" width="16.36328125" bestFit="1" customWidth="1"/>
    <col min="152" max="152" width="30.08984375" bestFit="1" customWidth="1"/>
    <col min="153" max="153" width="31.26953125" bestFit="1" customWidth="1"/>
    <col min="154" max="154" width="10.6328125" bestFit="1" customWidth="1"/>
    <col min="155" max="155" width="23.453125" customWidth="1"/>
    <col min="156" max="157" width="8.08984375" bestFit="1" customWidth="1"/>
    <col min="158" max="158" width="25.453125" bestFit="1" customWidth="1"/>
    <col min="159" max="159" width="10.6328125" bestFit="1" customWidth="1"/>
    <col min="160" max="160" width="30.08984375" bestFit="1" customWidth="1"/>
    <col min="161" max="161" width="31.26953125" customWidth="1"/>
    <col min="162" max="162" width="23.453125" bestFit="1" customWidth="1"/>
    <col min="163" max="163" width="8.08984375" bestFit="1" customWidth="1"/>
    <col min="164" max="164" width="23.453125" bestFit="1" customWidth="1"/>
    <col min="165" max="165" width="8.08984375" customWidth="1"/>
    <col min="166" max="166" width="32.453125" bestFit="1" customWidth="1"/>
    <col min="167" max="167" width="24.08984375" customWidth="1"/>
    <col min="168" max="168" width="8.26953125" bestFit="1" customWidth="1"/>
    <col min="169" max="169" width="8.26953125" customWidth="1"/>
  </cols>
  <sheetData>
    <row r="1" spans="1:102" x14ac:dyDescent="0.35">
      <c r="A1" t="s">
        <v>139</v>
      </c>
      <c r="B1" t="s">
        <v>140</v>
      </c>
      <c r="C1" t="s">
        <v>474</v>
      </c>
      <c r="D1" t="s">
        <v>141</v>
      </c>
      <c r="E1" t="s">
        <v>635</v>
      </c>
      <c r="F1" t="s">
        <v>142</v>
      </c>
      <c r="G1" s="10" t="s">
        <v>336</v>
      </c>
      <c r="H1" s="10" t="s">
        <v>337</v>
      </c>
      <c r="I1" s="10" t="s">
        <v>338</v>
      </c>
      <c r="J1" s="10" t="s">
        <v>339</v>
      </c>
      <c r="K1" s="10" t="s">
        <v>340</v>
      </c>
      <c r="L1" s="10" t="s">
        <v>341</v>
      </c>
      <c r="M1" s="10" t="s">
        <v>342</v>
      </c>
      <c r="N1" s="10" t="s">
        <v>343</v>
      </c>
      <c r="O1" s="10" t="s">
        <v>344</v>
      </c>
      <c r="P1" s="10" t="s">
        <v>345</v>
      </c>
      <c r="Q1" s="10" t="s">
        <v>346</v>
      </c>
      <c r="R1" s="10" t="s">
        <v>347</v>
      </c>
      <c r="S1" s="10" t="s">
        <v>348</v>
      </c>
      <c r="T1" s="10" t="s">
        <v>349</v>
      </c>
      <c r="U1" s="10" t="s">
        <v>350</v>
      </c>
      <c r="V1" s="10" t="s">
        <v>351</v>
      </c>
      <c r="W1" s="10" t="s">
        <v>352</v>
      </c>
      <c r="X1" s="10" t="s">
        <v>353</v>
      </c>
      <c r="Y1" s="10" t="s">
        <v>354</v>
      </c>
      <c r="Z1" s="10" t="s">
        <v>355</v>
      </c>
      <c r="AA1" s="10" t="s">
        <v>356</v>
      </c>
      <c r="AB1" s="10" t="s">
        <v>357</v>
      </c>
      <c r="AC1" s="10" t="s">
        <v>358</v>
      </c>
      <c r="AD1" s="10" t="s">
        <v>359</v>
      </c>
      <c r="AE1" s="10" t="s">
        <v>360</v>
      </c>
      <c r="AF1" s="10" t="s">
        <v>361</v>
      </c>
      <c r="AG1" s="10" t="s">
        <v>362</v>
      </c>
      <c r="AH1" s="10" t="s">
        <v>363</v>
      </c>
      <c r="AI1" s="10" t="s">
        <v>364</v>
      </c>
      <c r="AJ1" s="10" t="s">
        <v>365</v>
      </c>
      <c r="AK1" s="10" t="s">
        <v>366</v>
      </c>
      <c r="AL1" s="10" t="s">
        <v>367</v>
      </c>
      <c r="AM1" s="10" t="s">
        <v>368</v>
      </c>
      <c r="AN1" s="10" t="s">
        <v>369</v>
      </c>
      <c r="AO1" s="10" t="s">
        <v>370</v>
      </c>
      <c r="AP1" s="10" t="s">
        <v>371</v>
      </c>
      <c r="AQ1" s="10" t="s">
        <v>372</v>
      </c>
      <c r="AR1" s="10" t="s">
        <v>373</v>
      </c>
      <c r="AS1" s="10" t="s">
        <v>374</v>
      </c>
      <c r="AT1" s="10" t="s">
        <v>375</v>
      </c>
      <c r="AU1" s="10" t="s">
        <v>376</v>
      </c>
      <c r="AV1" s="10" t="s">
        <v>377</v>
      </c>
      <c r="AW1" s="10" t="s">
        <v>163</v>
      </c>
      <c r="AX1" s="10" t="s">
        <v>378</v>
      </c>
      <c r="AY1" s="10" t="s">
        <v>379</v>
      </c>
      <c r="AZ1" s="10" t="s">
        <v>380</v>
      </c>
      <c r="BA1" s="10" t="s">
        <v>381</v>
      </c>
      <c r="BB1" s="10" t="s">
        <v>382</v>
      </c>
      <c r="BC1" s="10" t="s">
        <v>383</v>
      </c>
      <c r="BD1" s="10" t="s">
        <v>384</v>
      </c>
      <c r="BE1" s="10" t="s">
        <v>385</v>
      </c>
      <c r="BF1" s="10" t="s">
        <v>386</v>
      </c>
      <c r="BG1" s="10" t="s">
        <v>387</v>
      </c>
      <c r="BH1" s="10" t="s">
        <v>388</v>
      </c>
      <c r="BI1" s="10" t="s">
        <v>389</v>
      </c>
      <c r="BJ1" s="10" t="s">
        <v>390</v>
      </c>
      <c r="BK1" s="10" t="s">
        <v>391</v>
      </c>
      <c r="BL1" s="10" t="s">
        <v>392</v>
      </c>
      <c r="BM1" s="10" t="s">
        <v>393</v>
      </c>
      <c r="BN1" s="10" t="s">
        <v>394</v>
      </c>
      <c r="BO1" s="10" t="s">
        <v>395</v>
      </c>
      <c r="BP1" s="10" t="s">
        <v>396</v>
      </c>
      <c r="BQ1" s="10" t="s">
        <v>397</v>
      </c>
      <c r="BR1" s="10" t="s">
        <v>398</v>
      </c>
      <c r="BS1" s="10" t="s">
        <v>399</v>
      </c>
      <c r="BT1" t="s">
        <v>644</v>
      </c>
      <c r="BU1" s="10" t="s">
        <v>400</v>
      </c>
      <c r="BV1" s="10" t="s">
        <v>401</v>
      </c>
      <c r="BW1" t="s">
        <v>668</v>
      </c>
      <c r="BX1" s="10" t="s">
        <v>402</v>
      </c>
      <c r="BY1" s="10" t="s">
        <v>403</v>
      </c>
      <c r="BZ1" s="10" t="s">
        <v>404</v>
      </c>
      <c r="CA1" s="10" t="s">
        <v>405</v>
      </c>
      <c r="CB1" s="10" t="s">
        <v>406</v>
      </c>
      <c r="CC1" s="10" t="s">
        <v>407</v>
      </c>
      <c r="CD1" s="10" t="s">
        <v>408</v>
      </c>
      <c r="CE1" s="10" t="s">
        <v>409</v>
      </c>
      <c r="CF1" s="10" t="s">
        <v>410</v>
      </c>
      <c r="CG1" s="10" t="s">
        <v>411</v>
      </c>
      <c r="CH1" s="10" t="s">
        <v>412</v>
      </c>
      <c r="CI1" s="10" t="s">
        <v>413</v>
      </c>
      <c r="CJ1" t="s">
        <v>636</v>
      </c>
      <c r="CK1" t="s">
        <v>637</v>
      </c>
      <c r="CL1" s="10" t="s">
        <v>414</v>
      </c>
      <c r="CM1" s="10" t="s">
        <v>415</v>
      </c>
      <c r="CN1" s="10" t="s">
        <v>416</v>
      </c>
      <c r="CO1" t="s">
        <v>623</v>
      </c>
      <c r="CP1" s="10" t="s">
        <v>417</v>
      </c>
      <c r="CQ1" s="10" t="s">
        <v>418</v>
      </c>
      <c r="CR1" s="10" t="s">
        <v>419</v>
      </c>
      <c r="CS1" s="10" t="s">
        <v>420</v>
      </c>
      <c r="CT1" s="10" t="s">
        <v>421</v>
      </c>
      <c r="CU1" s="10" t="s">
        <v>422</v>
      </c>
      <c r="CV1" s="10" t="s">
        <v>423</v>
      </c>
      <c r="CW1" s="10" t="s">
        <v>424</v>
      </c>
      <c r="CX1" t="s">
        <v>211</v>
      </c>
    </row>
    <row r="2" spans="1:102" x14ac:dyDescent="0.35">
      <c r="A2" t="s">
        <v>647</v>
      </c>
      <c r="B2" s="22">
        <v>43830</v>
      </c>
      <c r="C2">
        <v>2019</v>
      </c>
      <c r="D2" t="s">
        <v>212</v>
      </c>
      <c r="E2" s="41"/>
      <c r="F2" t="s">
        <v>213</v>
      </c>
      <c r="R2" s="10">
        <v>-485000</v>
      </c>
      <c r="AK2" s="10">
        <v>341000</v>
      </c>
      <c r="BB2" s="10">
        <v>-4846000</v>
      </c>
      <c r="BT2" s="41"/>
      <c r="BW2"/>
      <c r="CJ2" s="41"/>
      <c r="CK2" s="41"/>
      <c r="CO2" s="41">
        <v>2019</v>
      </c>
      <c r="CR2" s="10"/>
      <c r="CS2" s="10"/>
      <c r="CT2" s="10"/>
      <c r="CU2" s="10"/>
      <c r="CV2" s="10"/>
      <c r="CW2" s="10"/>
      <c r="CX2" t="s">
        <v>648</v>
      </c>
    </row>
    <row r="3" spans="1:102" x14ac:dyDescent="0.35">
      <c r="A3" t="s">
        <v>647</v>
      </c>
      <c r="B3" s="22">
        <v>44196</v>
      </c>
      <c r="C3">
        <v>2020</v>
      </c>
      <c r="D3" t="s">
        <v>212</v>
      </c>
      <c r="E3" s="41">
        <v>634000</v>
      </c>
      <c r="F3" t="s">
        <v>213</v>
      </c>
      <c r="H3" s="10">
        <v>20592000</v>
      </c>
      <c r="I3" s="10">
        <v>-455000</v>
      </c>
      <c r="J3" s="10">
        <v>75549000</v>
      </c>
      <c r="K3" s="10">
        <v>-41598000</v>
      </c>
      <c r="L3" s="10">
        <v>-30265000</v>
      </c>
      <c r="M3" s="10">
        <v>-5802000</v>
      </c>
      <c r="N3" s="10">
        <v>1948000</v>
      </c>
      <c r="O3" s="10">
        <v>4489000</v>
      </c>
      <c r="Q3" s="10">
        <v>0</v>
      </c>
      <c r="R3" s="10">
        <v>993000</v>
      </c>
      <c r="S3" s="10">
        <v>-5802000</v>
      </c>
      <c r="T3" s="10">
        <v>-3854000</v>
      </c>
      <c r="U3" s="10">
        <v>-769000</v>
      </c>
      <c r="V3" s="10">
        <v>-218000</v>
      </c>
      <c r="W3" s="10">
        <v>-5588000</v>
      </c>
      <c r="X3" s="10">
        <v>-218000</v>
      </c>
      <c r="Y3" s="10">
        <v>3686000</v>
      </c>
      <c r="Z3" s="10">
        <v>74965000</v>
      </c>
      <c r="AD3" s="10">
        <v>1577000</v>
      </c>
      <c r="AE3" s="10">
        <v>1577000</v>
      </c>
      <c r="AG3" s="10">
        <v>803000</v>
      </c>
      <c r="AH3" s="10">
        <v>25081000</v>
      </c>
      <c r="AI3" s="10">
        <v>75549000</v>
      </c>
      <c r="AJ3" s="10">
        <v>-30720000</v>
      </c>
      <c r="AN3" s="10">
        <v>3475000</v>
      </c>
      <c r="AO3" s="10">
        <v>-41598000</v>
      </c>
      <c r="AP3" s="10">
        <v>74965000</v>
      </c>
      <c r="AQ3" s="10">
        <v>2249000</v>
      </c>
      <c r="AR3" s="10">
        <v>2249000</v>
      </c>
      <c r="AS3" s="10">
        <v>-2249000</v>
      </c>
      <c r="AU3" s="10">
        <v>74965000</v>
      </c>
      <c r="AV3" s="10">
        <v>-1065000</v>
      </c>
      <c r="AW3" s="10">
        <v>-28748000</v>
      </c>
      <c r="AX3" s="10">
        <v>-28748000</v>
      </c>
      <c r="AY3" s="10">
        <v>-41143000</v>
      </c>
      <c r="AZ3" s="10">
        <v>0</v>
      </c>
      <c r="BA3" s="10">
        <v>0</v>
      </c>
      <c r="BB3" s="10">
        <v>-705000</v>
      </c>
      <c r="BD3" s="10">
        <v>-455000</v>
      </c>
      <c r="BF3" s="10">
        <v>-30265000</v>
      </c>
      <c r="BG3" s="10">
        <v>-1065000</v>
      </c>
      <c r="BI3" s="10">
        <v>511000</v>
      </c>
      <c r="BK3" s="10">
        <v>584000</v>
      </c>
      <c r="BM3" s="10">
        <v>-121793000</v>
      </c>
      <c r="BN3" s="10">
        <v>-455000</v>
      </c>
      <c r="BO3" s="10">
        <v>-2249000</v>
      </c>
      <c r="BR3" s="10">
        <v>80650000</v>
      </c>
      <c r="BT3" s="41"/>
      <c r="BU3" s="10">
        <v>2414000</v>
      </c>
      <c r="BW3"/>
      <c r="CC3" s="10">
        <v>-1740000</v>
      </c>
      <c r="CJ3" s="41"/>
      <c r="CK3" s="41"/>
      <c r="CO3" s="41">
        <v>2020</v>
      </c>
      <c r="CR3" s="10"/>
      <c r="CS3" s="10"/>
      <c r="CT3" s="10"/>
      <c r="CU3" s="10"/>
      <c r="CV3" s="10"/>
      <c r="CW3" s="10"/>
      <c r="CX3" t="s">
        <v>648</v>
      </c>
    </row>
    <row r="4" spans="1:102" x14ac:dyDescent="0.35">
      <c r="A4" t="s">
        <v>647</v>
      </c>
      <c r="B4" s="22">
        <v>44561</v>
      </c>
      <c r="C4">
        <v>2021</v>
      </c>
      <c r="D4" t="s">
        <v>212</v>
      </c>
      <c r="E4" s="41">
        <v>1356000</v>
      </c>
      <c r="F4" t="s">
        <v>213</v>
      </c>
      <c r="H4" s="10">
        <v>25081000</v>
      </c>
      <c r="I4" s="10">
        <v>-3519000</v>
      </c>
      <c r="J4" s="10">
        <v>1393000</v>
      </c>
      <c r="K4" s="10">
        <v>29267000</v>
      </c>
      <c r="L4" s="10">
        <v>-28864000</v>
      </c>
      <c r="M4" s="10">
        <v>5090000</v>
      </c>
      <c r="N4" s="10">
        <v>4875000</v>
      </c>
      <c r="O4" s="10">
        <v>999000</v>
      </c>
      <c r="P4" s="10">
        <v>0</v>
      </c>
      <c r="Q4" s="10">
        <v>236000</v>
      </c>
      <c r="R4" s="10">
        <v>7000</v>
      </c>
      <c r="S4" s="10">
        <v>5090000</v>
      </c>
      <c r="T4" s="10">
        <v>9965000</v>
      </c>
      <c r="U4" s="10">
        <v>-3151000</v>
      </c>
      <c r="V4" s="10">
        <v>840000</v>
      </c>
      <c r="W4" s="10">
        <v>3003000</v>
      </c>
      <c r="X4" s="10">
        <v>840000</v>
      </c>
      <c r="Y4" s="10">
        <v>1796000</v>
      </c>
      <c r="Z4" s="10">
        <v>0</v>
      </c>
      <c r="AB4" s="10">
        <v>0</v>
      </c>
      <c r="AC4" s="10">
        <v>0</v>
      </c>
      <c r="AD4" s="10">
        <v>1817000</v>
      </c>
      <c r="AE4" s="10">
        <v>1817000</v>
      </c>
      <c r="AG4" s="10">
        <v>-797000</v>
      </c>
      <c r="AH4" s="10">
        <v>26080000</v>
      </c>
      <c r="AI4" s="10">
        <v>1393000</v>
      </c>
      <c r="AJ4" s="10">
        <v>-32383000</v>
      </c>
      <c r="AN4" s="10">
        <v>3334000</v>
      </c>
      <c r="AO4" s="10">
        <v>29267000</v>
      </c>
      <c r="AP4" s="10">
        <v>0</v>
      </c>
      <c r="AQ4" s="10">
        <v>0</v>
      </c>
      <c r="AR4" s="10">
        <v>0</v>
      </c>
      <c r="AS4" s="10">
        <v>0</v>
      </c>
      <c r="AT4" s="10">
        <v>0</v>
      </c>
      <c r="AU4" s="10">
        <v>0</v>
      </c>
      <c r="AV4" s="10">
        <v>928000</v>
      </c>
      <c r="AW4" s="10">
        <v>-44215000</v>
      </c>
      <c r="AX4" s="10">
        <v>-44215000</v>
      </c>
      <c r="AY4" s="10">
        <v>32786000</v>
      </c>
      <c r="AZ4" s="10">
        <v>0</v>
      </c>
      <c r="BA4" s="10">
        <v>0</v>
      </c>
      <c r="BD4" s="10">
        <v>-3519000</v>
      </c>
      <c r="BF4" s="10">
        <v>-28864000</v>
      </c>
      <c r="BG4" s="10">
        <v>928000</v>
      </c>
      <c r="BI4" s="10">
        <v>1369000</v>
      </c>
      <c r="BK4" s="10">
        <v>1393000</v>
      </c>
      <c r="BL4" s="10">
        <v>0</v>
      </c>
      <c r="BM4" s="10">
        <v>-72024000</v>
      </c>
      <c r="BN4" s="10">
        <v>-3519000</v>
      </c>
      <c r="BO4" s="10">
        <v>0</v>
      </c>
      <c r="BR4" s="10">
        <v>104810000</v>
      </c>
      <c r="BT4" s="41"/>
      <c r="BU4" s="10">
        <v>6878000</v>
      </c>
      <c r="BW4"/>
      <c r="CC4" s="10">
        <v>-4894000</v>
      </c>
      <c r="CJ4" s="41"/>
      <c r="CK4" s="41"/>
      <c r="CO4" s="41">
        <v>2021</v>
      </c>
      <c r="CR4" s="10"/>
      <c r="CS4" s="10"/>
      <c r="CT4" s="10"/>
      <c r="CU4" s="10"/>
      <c r="CV4" s="10">
        <v>0</v>
      </c>
      <c r="CW4" s="10">
        <v>0</v>
      </c>
      <c r="CX4" t="s">
        <v>648</v>
      </c>
    </row>
    <row r="5" spans="1:102" x14ac:dyDescent="0.35">
      <c r="A5" t="s">
        <v>647</v>
      </c>
      <c r="B5" s="22">
        <v>44926</v>
      </c>
      <c r="C5">
        <v>2022</v>
      </c>
      <c r="D5" t="s">
        <v>212</v>
      </c>
      <c r="E5" s="41">
        <v>381000</v>
      </c>
      <c r="F5" t="s">
        <v>213</v>
      </c>
      <c r="H5" s="10">
        <v>26080000</v>
      </c>
      <c r="I5" s="10">
        <v>-11907000</v>
      </c>
      <c r="J5" s="10">
        <v>167927000</v>
      </c>
      <c r="K5" s="10">
        <v>54513000</v>
      </c>
      <c r="L5" s="10">
        <v>-45817000</v>
      </c>
      <c r="M5" s="10">
        <v>-3270000</v>
      </c>
      <c r="N5" s="10">
        <v>3437000</v>
      </c>
      <c r="O5" s="10">
        <v>175602000</v>
      </c>
      <c r="P5" s="10">
        <v>0</v>
      </c>
      <c r="Q5" s="10">
        <v>255000</v>
      </c>
      <c r="S5" s="10">
        <v>-3270000</v>
      </c>
      <c r="T5" s="10">
        <v>167000</v>
      </c>
      <c r="U5" s="10">
        <v>2521000</v>
      </c>
      <c r="V5" s="10">
        <v>-21678000</v>
      </c>
      <c r="W5" s="10">
        <v>-26759000</v>
      </c>
      <c r="X5" s="10">
        <v>-21678000</v>
      </c>
      <c r="Y5" s="10">
        <v>176623000</v>
      </c>
      <c r="Z5" s="10">
        <v>139854000</v>
      </c>
      <c r="AB5" s="10">
        <v>0</v>
      </c>
      <c r="AC5" s="10">
        <v>0</v>
      </c>
      <c r="AD5" s="10">
        <v>3478000</v>
      </c>
      <c r="AE5" s="10">
        <v>3478000</v>
      </c>
      <c r="AG5" s="10">
        <v>-1021000</v>
      </c>
      <c r="AH5" s="10">
        <v>201682000</v>
      </c>
      <c r="AI5" s="10">
        <v>167927000</v>
      </c>
      <c r="AJ5" s="10">
        <v>-57724000</v>
      </c>
      <c r="AK5" s="10">
        <v>107000</v>
      </c>
      <c r="AN5" s="10">
        <v>3260000</v>
      </c>
      <c r="AO5" s="10">
        <v>54513000</v>
      </c>
      <c r="AP5" s="10">
        <v>139854000</v>
      </c>
      <c r="AQ5" s="10">
        <v>58509000</v>
      </c>
      <c r="AR5" s="10">
        <v>58509000</v>
      </c>
      <c r="AS5" s="10">
        <v>-36050000</v>
      </c>
      <c r="AT5" s="10">
        <v>0</v>
      </c>
      <c r="AU5" s="10">
        <v>139854000</v>
      </c>
      <c r="AV5" s="10">
        <v>1129000</v>
      </c>
      <c r="AW5" s="10">
        <v>-36231000</v>
      </c>
      <c r="AX5" s="10">
        <v>-36231000</v>
      </c>
      <c r="AY5" s="10">
        <v>66420000</v>
      </c>
      <c r="AZ5" s="10">
        <v>22459000</v>
      </c>
      <c r="BA5" s="10">
        <v>22459000</v>
      </c>
      <c r="BD5" s="10">
        <v>-11907000</v>
      </c>
      <c r="BF5" s="10">
        <v>-45817000</v>
      </c>
      <c r="BG5" s="10">
        <v>1811000</v>
      </c>
      <c r="BI5" s="10">
        <v>1182000</v>
      </c>
      <c r="BK5" s="10">
        <v>5614000</v>
      </c>
      <c r="BL5" s="10">
        <v>0</v>
      </c>
      <c r="BM5" s="10">
        <v>-10496000</v>
      </c>
      <c r="BN5" s="10">
        <v>-11907000</v>
      </c>
      <c r="BO5" s="10">
        <v>-36050000</v>
      </c>
      <c r="BR5" s="10">
        <v>76916000</v>
      </c>
      <c r="BT5" s="41"/>
      <c r="BU5" s="10">
        <v>10321000</v>
      </c>
      <c r="BW5"/>
      <c r="CC5" s="10">
        <v>-8024000</v>
      </c>
      <c r="CJ5" s="41"/>
      <c r="CK5" s="41"/>
      <c r="CO5" s="41">
        <v>2022</v>
      </c>
      <c r="CR5" s="10"/>
      <c r="CS5" s="10"/>
      <c r="CT5" s="10"/>
      <c r="CU5" s="10"/>
      <c r="CV5" s="10">
        <v>0</v>
      </c>
      <c r="CW5" s="10">
        <v>0</v>
      </c>
      <c r="CX5" t="s">
        <v>648</v>
      </c>
    </row>
    <row r="6" spans="1:102" x14ac:dyDescent="0.35">
      <c r="A6" t="s">
        <v>647</v>
      </c>
      <c r="B6" s="22">
        <v>45291</v>
      </c>
      <c r="C6">
        <v>2023</v>
      </c>
      <c r="D6" t="s">
        <v>212</v>
      </c>
      <c r="E6" s="41">
        <v>0</v>
      </c>
      <c r="F6" t="s">
        <v>213</v>
      </c>
      <c r="H6" s="10">
        <v>201682000</v>
      </c>
      <c r="I6" s="10">
        <v>-179059000</v>
      </c>
      <c r="J6" s="10">
        <v>400418000</v>
      </c>
      <c r="K6" s="10">
        <v>-193953000</v>
      </c>
      <c r="L6" s="10">
        <v>-13028000</v>
      </c>
      <c r="M6" s="10">
        <v>6957000</v>
      </c>
      <c r="N6" s="10">
        <v>14250000</v>
      </c>
      <c r="O6" s="10">
        <v>193630000</v>
      </c>
      <c r="P6" s="10">
        <v>-54000</v>
      </c>
      <c r="Q6" s="10">
        <v>-1574000</v>
      </c>
      <c r="R6" s="10">
        <v>83000</v>
      </c>
      <c r="S6" s="10">
        <v>6957000</v>
      </c>
      <c r="T6" s="10">
        <v>21207000</v>
      </c>
      <c r="U6" s="10">
        <v>-2101000</v>
      </c>
      <c r="V6" s="10">
        <v>-33816000</v>
      </c>
      <c r="W6" s="10">
        <v>-44347000</v>
      </c>
      <c r="X6" s="10">
        <v>-33816000</v>
      </c>
      <c r="Y6" s="10">
        <v>193437000</v>
      </c>
      <c r="Z6" s="10">
        <v>0</v>
      </c>
      <c r="AB6" s="10">
        <v>-1660000</v>
      </c>
      <c r="AC6" s="10">
        <v>-1660000</v>
      </c>
      <c r="AD6" s="10">
        <v>8177000</v>
      </c>
      <c r="AE6" s="10">
        <v>8177000</v>
      </c>
      <c r="AG6" s="10">
        <v>193000</v>
      </c>
      <c r="AH6" s="10">
        <v>395312000</v>
      </c>
      <c r="AI6" s="10">
        <v>400418000</v>
      </c>
      <c r="AJ6" s="10">
        <v>-192087000</v>
      </c>
      <c r="AN6" s="10">
        <v>8089000</v>
      </c>
      <c r="AO6" s="10">
        <v>-193953000</v>
      </c>
      <c r="AP6" s="10">
        <v>0</v>
      </c>
      <c r="AQ6" s="10">
        <v>445380000</v>
      </c>
      <c r="AR6" s="10">
        <v>445380000</v>
      </c>
      <c r="AS6" s="10">
        <v>0</v>
      </c>
      <c r="AT6" s="10">
        <v>-14894000</v>
      </c>
      <c r="AU6" s="10">
        <v>0</v>
      </c>
      <c r="AV6" s="10">
        <v>-342000</v>
      </c>
      <c r="AW6" s="10">
        <v>-25028000</v>
      </c>
      <c r="AX6" s="10">
        <v>-25028000</v>
      </c>
      <c r="AY6" s="10">
        <v>0</v>
      </c>
      <c r="AZ6" s="10">
        <v>445380000</v>
      </c>
      <c r="BA6" s="10">
        <v>445380000</v>
      </c>
      <c r="BB6" s="10">
        <v>-52072000</v>
      </c>
      <c r="BD6" s="10">
        <v>-151847000</v>
      </c>
      <c r="BF6" s="10">
        <v>-13028000</v>
      </c>
      <c r="BG6" s="10">
        <v>-342000</v>
      </c>
      <c r="BI6" s="10">
        <v>30381000</v>
      </c>
      <c r="BK6" s="10">
        <v>7110000</v>
      </c>
      <c r="BL6" s="10">
        <v>-14894000</v>
      </c>
      <c r="BM6" s="10">
        <v>0</v>
      </c>
      <c r="BN6" s="10">
        <v>-151847000</v>
      </c>
      <c r="BO6" s="10">
        <v>0</v>
      </c>
      <c r="BR6" s="10">
        <v>0</v>
      </c>
      <c r="BT6" s="41"/>
      <c r="BU6" s="10">
        <v>19791000</v>
      </c>
      <c r="BW6"/>
      <c r="CC6" s="10">
        <v>-28092000</v>
      </c>
      <c r="CJ6" s="41"/>
      <c r="CK6" s="41"/>
      <c r="CO6" s="41">
        <v>2023</v>
      </c>
      <c r="CR6" s="10"/>
      <c r="CS6" s="10"/>
      <c r="CT6" s="10"/>
      <c r="CU6" s="10"/>
      <c r="CV6" s="10">
        <v>-27212000</v>
      </c>
      <c r="CW6" s="10">
        <v>-27212000</v>
      </c>
      <c r="CX6" t="s">
        <v>648</v>
      </c>
    </row>
    <row r="7" spans="1:102" x14ac:dyDescent="0.35">
      <c r="A7" t="s">
        <v>647</v>
      </c>
      <c r="B7" s="22">
        <v>45473</v>
      </c>
      <c r="C7">
        <v>2024</v>
      </c>
      <c r="D7" t="s">
        <v>214</v>
      </c>
      <c r="E7" s="41"/>
      <c r="F7" t="s">
        <v>213</v>
      </c>
      <c r="H7" s="10">
        <v>582960000</v>
      </c>
      <c r="I7" s="10">
        <v>-244687000</v>
      </c>
      <c r="J7" s="10">
        <v>16273000</v>
      </c>
      <c r="K7" s="10">
        <v>-259581000</v>
      </c>
      <c r="L7" s="10">
        <v>23719000</v>
      </c>
      <c r="M7" s="10">
        <v>5062000</v>
      </c>
      <c r="N7" s="10">
        <v>10684000</v>
      </c>
      <c r="O7" s="10">
        <v>-219709000</v>
      </c>
      <c r="P7" s="10">
        <v>-24000</v>
      </c>
      <c r="Q7" s="10">
        <v>-1832000</v>
      </c>
      <c r="S7" s="10">
        <v>5062000</v>
      </c>
      <c r="T7" s="10">
        <v>15746000</v>
      </c>
      <c r="U7" s="10">
        <v>-5833000</v>
      </c>
      <c r="V7" s="10">
        <v>-31604000</v>
      </c>
      <c r="W7" s="10">
        <v>-49015000</v>
      </c>
      <c r="X7" s="10">
        <v>-31604000</v>
      </c>
      <c r="Y7" s="10">
        <v>-219589000</v>
      </c>
      <c r="AD7" s="10">
        <v>14399000</v>
      </c>
      <c r="AE7" s="10">
        <v>14399000</v>
      </c>
      <c r="AG7" s="10">
        <v>-120000</v>
      </c>
      <c r="AH7" s="10">
        <v>363371000</v>
      </c>
      <c r="AI7" s="10">
        <v>16273000</v>
      </c>
      <c r="AJ7" s="10">
        <v>-220968000</v>
      </c>
      <c r="AO7" s="10">
        <v>-259581000</v>
      </c>
      <c r="AQ7" s="10">
        <v>0</v>
      </c>
      <c r="AR7" s="10">
        <v>0</v>
      </c>
      <c r="AV7" s="10">
        <v>8000</v>
      </c>
      <c r="AW7" s="10">
        <v>3000000</v>
      </c>
      <c r="AX7" s="10">
        <v>3000000</v>
      </c>
      <c r="AZ7" s="10">
        <v>0</v>
      </c>
      <c r="BA7" s="10">
        <v>0</v>
      </c>
      <c r="BD7" s="10">
        <v>-217475000</v>
      </c>
      <c r="BF7" s="10">
        <v>23719000</v>
      </c>
      <c r="BG7" s="10">
        <v>8000</v>
      </c>
      <c r="BI7" s="10">
        <v>31562000</v>
      </c>
      <c r="BK7" s="10">
        <v>16273000</v>
      </c>
      <c r="BN7" s="10">
        <v>-217475000</v>
      </c>
      <c r="BT7" s="41"/>
      <c r="BU7" s="10">
        <v>25425000</v>
      </c>
      <c r="BW7"/>
      <c r="CC7" s="10">
        <v>-25047000</v>
      </c>
      <c r="CJ7" s="41"/>
      <c r="CK7" s="41"/>
      <c r="CO7" s="41">
        <v>2024</v>
      </c>
      <c r="CR7" s="10"/>
      <c r="CS7" s="10"/>
      <c r="CT7" s="10"/>
      <c r="CU7" s="10"/>
      <c r="CV7" s="10"/>
      <c r="CW7" s="10"/>
      <c r="CX7" t="s">
        <v>648</v>
      </c>
    </row>
    <row r="8" spans="1:102" x14ac:dyDescent="0.35">
      <c r="A8" t="s">
        <v>649</v>
      </c>
      <c r="B8" s="22">
        <v>43830</v>
      </c>
      <c r="C8">
        <v>2019</v>
      </c>
      <c r="D8" t="s">
        <v>212</v>
      </c>
      <c r="E8" s="41"/>
      <c r="F8" t="s">
        <v>213</v>
      </c>
      <c r="Z8" s="10">
        <v>101653000</v>
      </c>
      <c r="AA8" s="10">
        <v>-350000</v>
      </c>
      <c r="AP8" s="10">
        <v>101653000</v>
      </c>
      <c r="AQ8" s="10">
        <v>0</v>
      </c>
      <c r="AR8" s="10">
        <v>0</v>
      </c>
      <c r="AU8" s="10">
        <v>101653000</v>
      </c>
      <c r="BB8" s="10">
        <v>-350000</v>
      </c>
      <c r="BP8" s="10">
        <v>-350000</v>
      </c>
      <c r="BS8" s="10">
        <v>0</v>
      </c>
      <c r="BT8" s="41"/>
      <c r="BV8" s="10">
        <v>0</v>
      </c>
      <c r="BW8"/>
      <c r="CA8" s="10">
        <v>0</v>
      </c>
      <c r="CJ8" s="41"/>
      <c r="CK8" s="41"/>
      <c r="CO8" s="41">
        <v>2019</v>
      </c>
      <c r="CR8" s="10"/>
      <c r="CS8" s="10">
        <v>0</v>
      </c>
      <c r="CT8" s="10"/>
      <c r="CU8" s="10"/>
      <c r="CV8" s="10"/>
      <c r="CW8" s="10"/>
      <c r="CX8" t="s">
        <v>650</v>
      </c>
    </row>
    <row r="9" spans="1:102" x14ac:dyDescent="0.35">
      <c r="A9" t="s">
        <v>649</v>
      </c>
      <c r="B9" s="22">
        <v>43830</v>
      </c>
      <c r="C9">
        <v>2019</v>
      </c>
      <c r="D9" t="s">
        <v>214</v>
      </c>
      <c r="E9" s="41"/>
      <c r="F9" t="s">
        <v>213</v>
      </c>
      <c r="M9" s="10">
        <v>-4039000</v>
      </c>
      <c r="S9" s="10">
        <v>-4039000</v>
      </c>
      <c r="AA9" s="10">
        <v>-350000</v>
      </c>
      <c r="AQ9" s="10">
        <v>0</v>
      </c>
      <c r="AR9" s="10">
        <v>0</v>
      </c>
      <c r="BP9" s="10">
        <v>-350000</v>
      </c>
      <c r="BT9" s="41"/>
      <c r="BW9"/>
      <c r="CA9" s="10">
        <v>0</v>
      </c>
      <c r="CJ9" s="41"/>
      <c r="CK9" s="41"/>
      <c r="CO9" s="41">
        <v>2019</v>
      </c>
      <c r="CR9" s="10"/>
      <c r="CS9" s="10">
        <v>0</v>
      </c>
      <c r="CT9" s="10"/>
      <c r="CU9" s="10"/>
      <c r="CV9" s="10"/>
      <c r="CW9" s="10"/>
      <c r="CX9" t="s">
        <v>650</v>
      </c>
    </row>
    <row r="10" spans="1:102" x14ac:dyDescent="0.35">
      <c r="A10" t="s">
        <v>649</v>
      </c>
      <c r="B10" s="22">
        <v>44196</v>
      </c>
      <c r="C10">
        <v>2020</v>
      </c>
      <c r="D10" t="s">
        <v>212</v>
      </c>
      <c r="E10" s="41"/>
      <c r="F10" t="s">
        <v>213</v>
      </c>
      <c r="G10" s="10">
        <v>984000</v>
      </c>
      <c r="H10" s="10">
        <v>159755000</v>
      </c>
      <c r="I10" s="10">
        <v>-1251000</v>
      </c>
      <c r="J10" s="10">
        <v>110468000</v>
      </c>
      <c r="K10" s="10">
        <v>-153357000</v>
      </c>
      <c r="L10" s="10">
        <v>-7620000</v>
      </c>
      <c r="M10" s="10">
        <v>-4238000</v>
      </c>
      <c r="N10" s="10">
        <v>11801000</v>
      </c>
      <c r="O10" s="10">
        <v>-47293000</v>
      </c>
      <c r="Q10" s="10">
        <v>7088000</v>
      </c>
      <c r="R10" s="10">
        <v>19051000</v>
      </c>
      <c r="S10" s="10">
        <v>-4238000</v>
      </c>
      <c r="T10" s="10">
        <v>7563000</v>
      </c>
      <c r="U10" s="10">
        <v>3740000</v>
      </c>
      <c r="V10" s="10">
        <v>-33559000</v>
      </c>
      <c r="W10" s="10">
        <v>3883000</v>
      </c>
      <c r="X10" s="10">
        <v>-33559000</v>
      </c>
      <c r="Y10" s="10">
        <v>-50509000</v>
      </c>
      <c r="Z10" s="10">
        <v>108260000</v>
      </c>
      <c r="AB10" s="10">
        <v>-184000</v>
      </c>
      <c r="AC10" s="10">
        <v>-184000</v>
      </c>
      <c r="AD10" s="10">
        <v>5851000</v>
      </c>
      <c r="AE10" s="10">
        <v>5851000</v>
      </c>
      <c r="AG10" s="10">
        <v>3216000</v>
      </c>
      <c r="AH10" s="10">
        <v>112462000</v>
      </c>
      <c r="AI10" s="10">
        <v>110468000</v>
      </c>
      <c r="AJ10" s="10">
        <v>-8871000</v>
      </c>
      <c r="AM10" s="10">
        <v>1182000</v>
      </c>
      <c r="AN10" s="10">
        <v>165000</v>
      </c>
      <c r="AO10" s="10">
        <v>-153357000</v>
      </c>
      <c r="AP10" s="10">
        <v>108260000</v>
      </c>
      <c r="AS10" s="10">
        <v>-3822000</v>
      </c>
      <c r="AT10" s="10">
        <v>-6138000</v>
      </c>
      <c r="AU10" s="10">
        <v>108260000</v>
      </c>
      <c r="AW10" s="10">
        <v>-33477000</v>
      </c>
      <c r="AX10" s="10">
        <v>-33477000</v>
      </c>
      <c r="AY10" s="10">
        <v>-145968000</v>
      </c>
      <c r="AZ10" s="10">
        <v>-3822000</v>
      </c>
      <c r="BA10" s="10">
        <v>-3822000</v>
      </c>
      <c r="BB10" s="10">
        <v>-346000</v>
      </c>
      <c r="BD10" s="10">
        <v>-1251000</v>
      </c>
      <c r="BF10" s="10">
        <v>-7620000</v>
      </c>
      <c r="BG10" s="10">
        <v>22000</v>
      </c>
      <c r="BK10" s="10">
        <v>6376000</v>
      </c>
      <c r="BL10" s="10">
        <v>-6138000</v>
      </c>
      <c r="BM10" s="10">
        <v>-145968000</v>
      </c>
      <c r="BN10" s="10">
        <v>-1251000</v>
      </c>
      <c r="BO10" s="10">
        <v>-3822000</v>
      </c>
      <c r="BR10" s="10">
        <v>0</v>
      </c>
      <c r="BS10" s="10">
        <v>0</v>
      </c>
      <c r="BT10" s="41"/>
      <c r="BU10" s="10">
        <v>15279000</v>
      </c>
      <c r="BV10" s="10">
        <v>22000</v>
      </c>
      <c r="BW10"/>
      <c r="CG10" s="10">
        <v>22000</v>
      </c>
      <c r="CJ10" s="41"/>
      <c r="CK10" s="41"/>
      <c r="CO10" s="41">
        <v>2020</v>
      </c>
      <c r="CR10" s="10"/>
      <c r="CS10" s="10"/>
      <c r="CT10" s="10"/>
      <c r="CU10" s="10"/>
      <c r="CV10" s="10"/>
      <c r="CW10" s="10"/>
      <c r="CX10" t="s">
        <v>650</v>
      </c>
    </row>
    <row r="11" spans="1:102" x14ac:dyDescent="0.35">
      <c r="A11" t="s">
        <v>649</v>
      </c>
      <c r="B11" s="22">
        <v>44561</v>
      </c>
      <c r="C11">
        <v>2021</v>
      </c>
      <c r="D11" t="s">
        <v>212</v>
      </c>
      <c r="E11" s="41"/>
      <c r="F11" t="s">
        <v>213</v>
      </c>
      <c r="G11" s="10">
        <v>410000</v>
      </c>
      <c r="H11" s="10">
        <v>112462000</v>
      </c>
      <c r="I11" s="10">
        <v>-6058000</v>
      </c>
      <c r="J11" s="10">
        <v>2786000</v>
      </c>
      <c r="K11" s="10">
        <v>41936000</v>
      </c>
      <c r="L11" s="10">
        <v>-53918000</v>
      </c>
      <c r="M11" s="10">
        <v>11467000</v>
      </c>
      <c r="N11" s="10">
        <v>12598000</v>
      </c>
      <c r="O11" s="10">
        <v>-8502000</v>
      </c>
      <c r="Q11" s="10">
        <v>-444000</v>
      </c>
      <c r="R11" s="10">
        <v>13334000</v>
      </c>
      <c r="S11" s="10">
        <v>11467000</v>
      </c>
      <c r="T11" s="10">
        <v>24065000</v>
      </c>
      <c r="U11" s="10">
        <v>2094000</v>
      </c>
      <c r="V11" s="10">
        <v>-33904000</v>
      </c>
      <c r="W11" s="10">
        <v>5145000</v>
      </c>
      <c r="X11" s="10">
        <v>-33904000</v>
      </c>
      <c r="Y11" s="10">
        <v>-9196000</v>
      </c>
      <c r="Z11" s="10">
        <v>0</v>
      </c>
      <c r="AB11" s="10">
        <v>-498000</v>
      </c>
      <c r="AC11" s="10">
        <v>-498000</v>
      </c>
      <c r="AD11" s="10">
        <v>5743000</v>
      </c>
      <c r="AE11" s="10">
        <v>5743000</v>
      </c>
      <c r="AG11" s="10">
        <v>694000</v>
      </c>
      <c r="AH11" s="10">
        <v>103960000</v>
      </c>
      <c r="AI11" s="10">
        <v>2786000</v>
      </c>
      <c r="AJ11" s="10">
        <v>-59976000</v>
      </c>
      <c r="AM11" s="10">
        <v>1505000</v>
      </c>
      <c r="AN11" s="10">
        <v>323000</v>
      </c>
      <c r="AO11" s="10">
        <v>41936000</v>
      </c>
      <c r="AP11" s="10">
        <v>0</v>
      </c>
      <c r="AQ11" s="10">
        <v>0</v>
      </c>
      <c r="AR11" s="10">
        <v>0</v>
      </c>
      <c r="AS11" s="10">
        <v>0</v>
      </c>
      <c r="AT11" s="10">
        <v>-30729000</v>
      </c>
      <c r="AU11" s="10">
        <v>0</v>
      </c>
      <c r="AV11" s="10">
        <v>0</v>
      </c>
      <c r="AW11" s="10">
        <v>-88641000</v>
      </c>
      <c r="AX11" s="10">
        <v>-88641000</v>
      </c>
      <c r="AY11" s="10">
        <v>78723000</v>
      </c>
      <c r="AZ11" s="10">
        <v>0</v>
      </c>
      <c r="BA11" s="10">
        <v>0</v>
      </c>
      <c r="BD11" s="10">
        <v>-6058000</v>
      </c>
      <c r="BF11" s="10">
        <v>-53918000</v>
      </c>
      <c r="BG11" s="10">
        <v>79000</v>
      </c>
      <c r="BK11" s="10">
        <v>2786000</v>
      </c>
      <c r="BL11" s="10">
        <v>-30729000</v>
      </c>
      <c r="BM11" s="10">
        <v>-41870000</v>
      </c>
      <c r="BN11" s="10">
        <v>-6058000</v>
      </c>
      <c r="BO11" s="10">
        <v>0</v>
      </c>
      <c r="BR11" s="10">
        <v>120593000</v>
      </c>
      <c r="BT11" s="41"/>
      <c r="BU11" s="10">
        <v>23844000</v>
      </c>
      <c r="BV11" s="10">
        <v>0</v>
      </c>
      <c r="BW11"/>
      <c r="CG11" s="10">
        <v>79000</v>
      </c>
      <c r="CJ11" s="41"/>
      <c r="CK11" s="41"/>
      <c r="CO11" s="41">
        <v>2021</v>
      </c>
      <c r="CR11" s="10"/>
      <c r="CS11" s="10"/>
      <c r="CT11" s="10"/>
      <c r="CU11" s="10"/>
      <c r="CV11" s="10"/>
      <c r="CW11" s="10"/>
      <c r="CX11" t="s">
        <v>650</v>
      </c>
    </row>
    <row r="12" spans="1:102" x14ac:dyDescent="0.35">
      <c r="A12" t="s">
        <v>649</v>
      </c>
      <c r="B12" s="22">
        <v>44926</v>
      </c>
      <c r="C12">
        <v>2022</v>
      </c>
      <c r="D12" t="s">
        <v>212</v>
      </c>
      <c r="E12" s="41"/>
      <c r="F12" t="s">
        <v>213</v>
      </c>
      <c r="G12" s="10">
        <v>1298000</v>
      </c>
      <c r="H12" s="10">
        <v>103960000</v>
      </c>
      <c r="I12" s="10">
        <v>-9095000</v>
      </c>
      <c r="J12" s="10">
        <v>142867000</v>
      </c>
      <c r="K12" s="10">
        <v>10264000</v>
      </c>
      <c r="L12" s="10">
        <v>-106551000</v>
      </c>
      <c r="M12" s="10">
        <v>-3289000</v>
      </c>
      <c r="N12" s="10">
        <v>6582000</v>
      </c>
      <c r="O12" s="10">
        <v>46421000</v>
      </c>
      <c r="Q12" s="10">
        <v>-264000</v>
      </c>
      <c r="R12" s="10">
        <v>34907000</v>
      </c>
      <c r="S12" s="10">
        <v>-3289000</v>
      </c>
      <c r="T12" s="10">
        <v>3293000</v>
      </c>
      <c r="U12" s="10">
        <v>-2027000</v>
      </c>
      <c r="V12" s="10">
        <v>-37922000</v>
      </c>
      <c r="W12" s="10">
        <v>-2013000</v>
      </c>
      <c r="X12" s="10">
        <v>-37922000</v>
      </c>
      <c r="Y12" s="10">
        <v>46580000</v>
      </c>
      <c r="Z12" s="10">
        <v>0</v>
      </c>
      <c r="AB12" s="10">
        <v>-1089000</v>
      </c>
      <c r="AC12" s="10">
        <v>-1089000</v>
      </c>
      <c r="AD12" s="10">
        <v>7297000</v>
      </c>
      <c r="AE12" s="10">
        <v>7297000</v>
      </c>
      <c r="AG12" s="10">
        <v>-159000</v>
      </c>
      <c r="AH12" s="10">
        <v>150381000</v>
      </c>
      <c r="AI12" s="10">
        <v>142867000</v>
      </c>
      <c r="AJ12" s="10">
        <v>-115646000</v>
      </c>
      <c r="AM12" s="10">
        <v>1239000</v>
      </c>
      <c r="AN12" s="10">
        <v>1671000</v>
      </c>
      <c r="AO12" s="10">
        <v>10264000</v>
      </c>
      <c r="AP12" s="10">
        <v>0</v>
      </c>
      <c r="AQ12" s="10">
        <v>120000000</v>
      </c>
      <c r="AR12" s="10">
        <v>120000000</v>
      </c>
      <c r="AS12" s="10">
        <v>-625000</v>
      </c>
      <c r="AT12" s="10">
        <v>0</v>
      </c>
      <c r="AU12" s="10">
        <v>0</v>
      </c>
      <c r="AV12" s="10">
        <v>0</v>
      </c>
      <c r="AW12" s="10">
        <v>-150920000</v>
      </c>
      <c r="AX12" s="10">
        <v>-150920000</v>
      </c>
      <c r="AY12" s="10">
        <v>19359000</v>
      </c>
      <c r="AZ12" s="10">
        <v>119375000</v>
      </c>
      <c r="BA12" s="10">
        <v>119375000</v>
      </c>
      <c r="BB12" s="10">
        <v>-1940000</v>
      </c>
      <c r="BD12" s="10">
        <v>-9095000</v>
      </c>
      <c r="BF12" s="10">
        <v>-106551000</v>
      </c>
      <c r="BG12" s="10">
        <v>3000</v>
      </c>
      <c r="BI12" s="10">
        <v>43000</v>
      </c>
      <c r="BK12" s="10">
        <v>25432000</v>
      </c>
      <c r="BL12" s="10">
        <v>0</v>
      </c>
      <c r="BM12" s="10">
        <v>-65283000</v>
      </c>
      <c r="BN12" s="10">
        <v>-9095000</v>
      </c>
      <c r="BO12" s="10">
        <v>-625000</v>
      </c>
      <c r="BR12" s="10">
        <v>84642000</v>
      </c>
      <c r="BT12" s="41"/>
      <c r="BU12" s="10">
        <v>38830000</v>
      </c>
      <c r="BV12" s="10">
        <v>0</v>
      </c>
      <c r="BW12"/>
      <c r="CG12" s="10">
        <v>3000</v>
      </c>
      <c r="CJ12" s="41"/>
      <c r="CK12" s="41"/>
      <c r="CO12" s="41">
        <v>2022</v>
      </c>
      <c r="CR12" s="10"/>
      <c r="CS12" s="10"/>
      <c r="CT12" s="10"/>
      <c r="CU12" s="10"/>
      <c r="CV12" s="10"/>
      <c r="CW12" s="10"/>
      <c r="CX12" t="s">
        <v>650</v>
      </c>
    </row>
    <row r="13" spans="1:102" x14ac:dyDescent="0.35">
      <c r="A13" t="s">
        <v>649</v>
      </c>
      <c r="B13" s="22">
        <v>45291</v>
      </c>
      <c r="C13">
        <v>2023</v>
      </c>
      <c r="D13" t="s">
        <v>212</v>
      </c>
      <c r="E13" s="41"/>
      <c r="F13" t="s">
        <v>213</v>
      </c>
      <c r="G13" s="10">
        <v>1091000</v>
      </c>
      <c r="H13" s="10">
        <v>150381000</v>
      </c>
      <c r="I13" s="10">
        <v>-9637000</v>
      </c>
      <c r="J13" s="10">
        <v>79165000</v>
      </c>
      <c r="K13" s="10">
        <v>28590000</v>
      </c>
      <c r="L13" s="10">
        <v>-110442000</v>
      </c>
      <c r="M13" s="10">
        <v>-1394000</v>
      </c>
      <c r="N13" s="10">
        <v>-3157000</v>
      </c>
      <c r="O13" s="10">
        <v>-1030000</v>
      </c>
      <c r="Q13" s="10">
        <v>-1134000</v>
      </c>
      <c r="R13" s="10">
        <v>22714000</v>
      </c>
      <c r="S13" s="10">
        <v>-1394000</v>
      </c>
      <c r="T13" s="10">
        <v>-4551000</v>
      </c>
      <c r="U13" s="10">
        <v>-54753000</v>
      </c>
      <c r="V13" s="10">
        <v>-1868000</v>
      </c>
      <c r="W13" s="10">
        <v>-39592000</v>
      </c>
      <c r="X13" s="10">
        <v>-1868000</v>
      </c>
      <c r="Y13" s="10">
        <v>-2687000</v>
      </c>
      <c r="AB13" s="10">
        <v>-1541000</v>
      </c>
      <c r="AC13" s="10">
        <v>-1541000</v>
      </c>
      <c r="AD13" s="10">
        <v>9473000</v>
      </c>
      <c r="AE13" s="10">
        <v>9473000</v>
      </c>
      <c r="AG13" s="10">
        <v>1657000</v>
      </c>
      <c r="AH13" s="10">
        <v>149351000</v>
      </c>
      <c r="AI13" s="10">
        <v>79165000</v>
      </c>
      <c r="AJ13" s="10">
        <v>-120079000</v>
      </c>
      <c r="AM13" s="10">
        <v>3999000</v>
      </c>
      <c r="AN13" s="10">
        <v>16906000</v>
      </c>
      <c r="AO13" s="10">
        <v>28590000</v>
      </c>
      <c r="AQ13" s="10">
        <v>92000000</v>
      </c>
      <c r="AR13" s="10">
        <v>92000000</v>
      </c>
      <c r="AS13" s="10">
        <v>-3563000</v>
      </c>
      <c r="AT13" s="10">
        <v>0</v>
      </c>
      <c r="AV13" s="10">
        <v>-12263000</v>
      </c>
      <c r="AW13" s="10">
        <v>-111441000</v>
      </c>
      <c r="AX13" s="10">
        <v>-111441000</v>
      </c>
      <c r="AY13" s="10">
        <v>38227000</v>
      </c>
      <c r="AZ13" s="10">
        <v>88437000</v>
      </c>
      <c r="BA13" s="10">
        <v>88437000</v>
      </c>
      <c r="BB13" s="10">
        <v>-10024000</v>
      </c>
      <c r="BD13" s="10">
        <v>-9637000</v>
      </c>
      <c r="BF13" s="10">
        <v>-110442000</v>
      </c>
      <c r="BG13" s="10">
        <v>-12263000</v>
      </c>
      <c r="BI13" s="10">
        <v>444000</v>
      </c>
      <c r="BK13" s="10">
        <v>752000</v>
      </c>
      <c r="BL13" s="10">
        <v>0</v>
      </c>
      <c r="BM13" s="10">
        <v>-53443000</v>
      </c>
      <c r="BN13" s="10">
        <v>-9637000</v>
      </c>
      <c r="BO13" s="10">
        <v>-3563000</v>
      </c>
      <c r="BR13" s="10">
        <v>91670000</v>
      </c>
      <c r="BT13" s="41"/>
      <c r="BU13" s="10">
        <v>43387000</v>
      </c>
      <c r="BW13"/>
      <c r="CG13" s="10">
        <v>0</v>
      </c>
      <c r="CJ13" s="41"/>
      <c r="CK13" s="41"/>
      <c r="CO13" s="41">
        <v>2023</v>
      </c>
      <c r="CR13" s="10"/>
      <c r="CS13" s="10"/>
      <c r="CT13" s="10"/>
      <c r="CU13" s="10"/>
      <c r="CV13" s="10"/>
      <c r="CW13" s="10"/>
      <c r="CX13" t="s">
        <v>650</v>
      </c>
    </row>
    <row r="14" spans="1:102" x14ac:dyDescent="0.35">
      <c r="A14" t="s">
        <v>649</v>
      </c>
      <c r="B14" s="22">
        <v>45473</v>
      </c>
      <c r="C14">
        <v>2024</v>
      </c>
      <c r="D14" t="s">
        <v>214</v>
      </c>
      <c r="E14" s="41"/>
      <c r="F14" t="s">
        <v>213</v>
      </c>
      <c r="G14" s="10">
        <v>6387000</v>
      </c>
      <c r="H14" s="10">
        <v>173802000</v>
      </c>
      <c r="I14" s="10">
        <v>-4764000</v>
      </c>
      <c r="J14" s="10">
        <v>-13216000</v>
      </c>
      <c r="K14" s="10">
        <v>32333000</v>
      </c>
      <c r="L14" s="10">
        <v>-71989000</v>
      </c>
      <c r="M14" s="10">
        <v>769000</v>
      </c>
      <c r="N14" s="10">
        <v>-725000</v>
      </c>
      <c r="O14" s="10">
        <v>-53015000</v>
      </c>
      <c r="Q14" s="10">
        <v>-2079000</v>
      </c>
      <c r="R14" s="10">
        <v>14725000</v>
      </c>
      <c r="S14" s="10">
        <v>769000</v>
      </c>
      <c r="T14" s="10">
        <v>44000</v>
      </c>
      <c r="U14" s="10">
        <v>-39305000</v>
      </c>
      <c r="V14" s="10">
        <v>6583000</v>
      </c>
      <c r="W14" s="10">
        <v>-20032000</v>
      </c>
      <c r="X14" s="10">
        <v>6583000</v>
      </c>
      <c r="Y14" s="10">
        <v>-52872000</v>
      </c>
      <c r="AB14" s="10">
        <v>-2005000</v>
      </c>
      <c r="AC14" s="10">
        <v>-2005000</v>
      </c>
      <c r="AD14" s="10">
        <v>9709000</v>
      </c>
      <c r="AE14" s="10">
        <v>9709000</v>
      </c>
      <c r="AG14" s="10">
        <v>-143000</v>
      </c>
      <c r="AH14" s="10">
        <v>120930000</v>
      </c>
      <c r="AI14" s="10">
        <v>-13216000</v>
      </c>
      <c r="AJ14" s="10">
        <v>-76753000</v>
      </c>
      <c r="AM14" s="10">
        <v>3963000</v>
      </c>
      <c r="AN14" s="10">
        <v>25343000</v>
      </c>
      <c r="AO14" s="10">
        <v>32333000</v>
      </c>
      <c r="AQ14" s="10">
        <v>50000000</v>
      </c>
      <c r="AR14" s="10">
        <v>50000000</v>
      </c>
      <c r="AS14" s="10">
        <v>-4376000</v>
      </c>
      <c r="AV14" s="10">
        <v>524000</v>
      </c>
      <c r="AW14" s="10">
        <v>-108772000</v>
      </c>
      <c r="AX14" s="10">
        <v>-108772000</v>
      </c>
      <c r="AY14" s="10">
        <v>37097000</v>
      </c>
      <c r="AZ14" s="10">
        <v>45624000</v>
      </c>
      <c r="BA14" s="10">
        <v>45624000</v>
      </c>
      <c r="BB14" s="10">
        <v>-9522000</v>
      </c>
      <c r="BD14" s="10">
        <v>-4764000</v>
      </c>
      <c r="BF14" s="10">
        <v>-71989000</v>
      </c>
      <c r="BI14" s="10">
        <v>511000</v>
      </c>
      <c r="BK14" s="10">
        <v>701000</v>
      </c>
      <c r="BM14" s="10">
        <v>-28354000</v>
      </c>
      <c r="BN14" s="10">
        <v>-4764000</v>
      </c>
      <c r="BO14" s="10">
        <v>-4376000</v>
      </c>
      <c r="BR14" s="10">
        <v>65451000</v>
      </c>
      <c r="BT14" s="41"/>
      <c r="BU14" s="10">
        <v>41689000</v>
      </c>
      <c r="BW14"/>
      <c r="CJ14" s="41"/>
      <c r="CK14" s="41"/>
      <c r="CO14" s="41">
        <v>2024</v>
      </c>
      <c r="CR14" s="10"/>
      <c r="CS14" s="10"/>
      <c r="CT14" s="10"/>
      <c r="CU14" s="10"/>
      <c r="CV14" s="10"/>
      <c r="CW14" s="10"/>
      <c r="CX14" t="s">
        <v>650</v>
      </c>
    </row>
    <row r="15" spans="1:102" x14ac:dyDescent="0.35">
      <c r="A15" t="s">
        <v>651</v>
      </c>
      <c r="B15" s="22">
        <v>43830</v>
      </c>
      <c r="C15">
        <v>2019</v>
      </c>
      <c r="D15" t="s">
        <v>212</v>
      </c>
      <c r="E15" s="41"/>
      <c r="F15" t="s">
        <v>213</v>
      </c>
      <c r="AA15" s="10">
        <v>-72719000</v>
      </c>
      <c r="AK15" s="10">
        <v>41000</v>
      </c>
      <c r="AY15" s="10">
        <v>363869000</v>
      </c>
      <c r="BG15" s="10">
        <v>41000</v>
      </c>
      <c r="BM15" s="10">
        <v>-320487000</v>
      </c>
      <c r="BP15" s="10">
        <v>-72719000</v>
      </c>
      <c r="BR15" s="10">
        <v>684356000</v>
      </c>
      <c r="BT15" s="41"/>
      <c r="BW15"/>
      <c r="CF15" s="10">
        <v>16699000</v>
      </c>
      <c r="CJ15" s="41"/>
      <c r="CK15" s="41"/>
      <c r="CO15" s="41">
        <v>2019</v>
      </c>
      <c r="CR15" s="10"/>
      <c r="CS15" s="10"/>
      <c r="CT15" s="10"/>
      <c r="CU15" s="10"/>
      <c r="CV15" s="10"/>
      <c r="CW15" s="10"/>
      <c r="CX15" t="s">
        <v>652</v>
      </c>
    </row>
    <row r="16" spans="1:102" x14ac:dyDescent="0.35">
      <c r="A16" t="s">
        <v>651</v>
      </c>
      <c r="B16" s="22">
        <v>44196</v>
      </c>
      <c r="C16">
        <v>2020</v>
      </c>
      <c r="D16" t="s">
        <v>212</v>
      </c>
      <c r="E16" s="41"/>
      <c r="F16" t="s">
        <v>213</v>
      </c>
      <c r="G16" s="10">
        <v>70698000</v>
      </c>
      <c r="H16" s="10">
        <v>457816000</v>
      </c>
      <c r="I16" s="10">
        <v>-1128651000</v>
      </c>
      <c r="J16" s="10">
        <v>563233000</v>
      </c>
      <c r="K16" s="10">
        <v>-1018693000</v>
      </c>
      <c r="L16" s="10">
        <v>53619000</v>
      </c>
      <c r="M16" s="10">
        <v>9174000</v>
      </c>
      <c r="N16" s="10">
        <v>271000</v>
      </c>
      <c r="O16" s="10">
        <v>-397057000</v>
      </c>
      <c r="Q16" s="10">
        <v>-7164000</v>
      </c>
      <c r="R16" s="10">
        <v>-27050000</v>
      </c>
      <c r="S16" s="10">
        <v>9174000</v>
      </c>
      <c r="T16" s="10">
        <v>9445000</v>
      </c>
      <c r="U16" s="10">
        <v>2762000</v>
      </c>
      <c r="V16" s="10">
        <v>-774000</v>
      </c>
      <c r="W16" s="10">
        <v>-22781000</v>
      </c>
      <c r="X16" s="10">
        <v>-774000</v>
      </c>
      <c r="Y16" s="10">
        <v>-401841000</v>
      </c>
      <c r="Z16" s="10">
        <v>0</v>
      </c>
      <c r="AA16" s="10">
        <v>-123224000</v>
      </c>
      <c r="AB16" s="10">
        <v>-20830000</v>
      </c>
      <c r="AC16" s="10">
        <v>-20830000</v>
      </c>
      <c r="AD16" s="10">
        <v>13332000</v>
      </c>
      <c r="AE16" s="10">
        <v>13332000</v>
      </c>
      <c r="AG16" s="10">
        <v>4784000</v>
      </c>
      <c r="AH16" s="10">
        <v>60759000</v>
      </c>
      <c r="AI16" s="10">
        <v>563233000</v>
      </c>
      <c r="AJ16" s="10">
        <v>-1075032000</v>
      </c>
      <c r="AK16" s="10">
        <v>-94000</v>
      </c>
      <c r="AM16" s="10">
        <v>6803000</v>
      </c>
      <c r="AN16" s="10">
        <v>178000</v>
      </c>
      <c r="AO16" s="10">
        <v>-1018693000</v>
      </c>
      <c r="AP16" s="10">
        <v>0</v>
      </c>
      <c r="AQ16" s="10">
        <v>650000000</v>
      </c>
      <c r="AR16" s="10">
        <v>650000000</v>
      </c>
      <c r="AS16" s="10">
        <v>0</v>
      </c>
      <c r="AU16" s="10">
        <v>-123224000</v>
      </c>
      <c r="AW16" s="10">
        <v>-7524000</v>
      </c>
      <c r="AX16" s="10">
        <v>-7524000</v>
      </c>
      <c r="AY16" s="10">
        <v>109958000</v>
      </c>
      <c r="AZ16" s="10">
        <v>650000000</v>
      </c>
      <c r="BA16" s="10">
        <v>650000000</v>
      </c>
      <c r="BB16" s="10">
        <v>-14625000</v>
      </c>
      <c r="BD16" s="10">
        <v>-3651000</v>
      </c>
      <c r="BF16" s="10">
        <v>53619000</v>
      </c>
      <c r="BG16" s="10">
        <v>-94000</v>
      </c>
      <c r="BI16" s="10">
        <v>6933000</v>
      </c>
      <c r="BK16" s="10">
        <v>51082000</v>
      </c>
      <c r="BM16" s="10">
        <v>-9928000</v>
      </c>
      <c r="BN16" s="10">
        <v>-3651000</v>
      </c>
      <c r="BO16" s="10">
        <v>0</v>
      </c>
      <c r="BP16" s="10">
        <v>-123224000</v>
      </c>
      <c r="BR16" s="10">
        <v>119886000</v>
      </c>
      <c r="BT16" s="41">
        <v>271000</v>
      </c>
      <c r="BU16" s="10">
        <v>11153000</v>
      </c>
      <c r="BW16"/>
      <c r="CF16" s="10">
        <v>21542000</v>
      </c>
      <c r="CJ16" s="41"/>
      <c r="CK16" s="41"/>
      <c r="CO16" s="41">
        <v>2020</v>
      </c>
      <c r="CR16" s="10"/>
      <c r="CS16" s="10"/>
      <c r="CT16" s="10"/>
      <c r="CU16" s="10">
        <v>2732000</v>
      </c>
      <c r="CV16" s="10">
        <v>-1125000000</v>
      </c>
      <c r="CW16" s="10">
        <v>-1125000000</v>
      </c>
      <c r="CX16" t="s">
        <v>652</v>
      </c>
    </row>
    <row r="17" spans="1:102" x14ac:dyDescent="0.35">
      <c r="A17" t="s">
        <v>651</v>
      </c>
      <c r="B17" s="22">
        <v>44561</v>
      </c>
      <c r="C17">
        <v>2021</v>
      </c>
      <c r="D17" t="s">
        <v>212</v>
      </c>
      <c r="E17" s="41"/>
      <c r="F17" t="s">
        <v>213</v>
      </c>
      <c r="G17" s="10">
        <v>830621000</v>
      </c>
      <c r="H17" s="10">
        <v>60759000</v>
      </c>
      <c r="I17" s="10">
        <v>-2629235000</v>
      </c>
      <c r="J17" s="10">
        <v>2541685000</v>
      </c>
      <c r="K17" s="10">
        <v>-2629235000</v>
      </c>
      <c r="L17" s="10">
        <v>93833000</v>
      </c>
      <c r="M17" s="10">
        <v>3749000</v>
      </c>
      <c r="N17" s="10">
        <v>1222000</v>
      </c>
      <c r="O17" s="10">
        <v>3675000</v>
      </c>
      <c r="Q17" s="10">
        <v>-11844000</v>
      </c>
      <c r="R17" s="10">
        <v>17084000</v>
      </c>
      <c r="S17" s="10">
        <v>3749000</v>
      </c>
      <c r="T17" s="10">
        <v>4971000</v>
      </c>
      <c r="U17" s="10">
        <v>-1738000</v>
      </c>
      <c r="V17" s="10">
        <v>2618000</v>
      </c>
      <c r="W17" s="10">
        <v>11091000</v>
      </c>
      <c r="X17" s="10">
        <v>2618000</v>
      </c>
      <c r="Y17" s="10">
        <v>6283000</v>
      </c>
      <c r="Z17" s="10">
        <v>1000000000</v>
      </c>
      <c r="AA17" s="10">
        <v>0</v>
      </c>
      <c r="AB17" s="10">
        <v>-284782000</v>
      </c>
      <c r="AC17" s="10">
        <v>-284782000</v>
      </c>
      <c r="AD17" s="10">
        <v>11358000</v>
      </c>
      <c r="AE17" s="10">
        <v>11358000</v>
      </c>
      <c r="AG17" s="10">
        <v>-2608000</v>
      </c>
      <c r="AH17" s="10">
        <v>64434000</v>
      </c>
      <c r="AI17" s="10">
        <v>2541685000</v>
      </c>
      <c r="AJ17" s="10">
        <v>-2535402000</v>
      </c>
      <c r="AM17" s="10">
        <v>7010000</v>
      </c>
      <c r="AN17" s="10">
        <v>20416000</v>
      </c>
      <c r="AO17" s="10">
        <v>-2629235000</v>
      </c>
      <c r="AP17" s="10">
        <v>1000000000</v>
      </c>
      <c r="AQ17" s="10">
        <v>1550000000</v>
      </c>
      <c r="AR17" s="10">
        <v>1550000000</v>
      </c>
      <c r="AS17" s="10">
        <v>0</v>
      </c>
      <c r="AU17" s="10">
        <v>1000000000</v>
      </c>
      <c r="AW17" s="10">
        <v>-535480000</v>
      </c>
      <c r="AX17" s="10">
        <v>-535480000</v>
      </c>
      <c r="AY17" s="10">
        <v>0</v>
      </c>
      <c r="AZ17" s="10">
        <v>1550000000</v>
      </c>
      <c r="BA17" s="10">
        <v>1550000000</v>
      </c>
      <c r="BB17" s="10">
        <v>-51820000</v>
      </c>
      <c r="BD17" s="10">
        <v>-2706000</v>
      </c>
      <c r="BF17" s="10">
        <v>93833000</v>
      </c>
      <c r="BI17" s="10">
        <v>15390000</v>
      </c>
      <c r="BK17" s="10">
        <v>43505000</v>
      </c>
      <c r="BM17" s="10">
        <v>0</v>
      </c>
      <c r="BN17" s="10">
        <v>-2706000</v>
      </c>
      <c r="BO17" s="10">
        <v>0</v>
      </c>
      <c r="BP17" s="10">
        <v>0</v>
      </c>
      <c r="BR17" s="10">
        <v>0</v>
      </c>
      <c r="BT17" s="41">
        <v>1222000</v>
      </c>
      <c r="BU17" s="10">
        <v>44126000</v>
      </c>
      <c r="BW17">
        <v>0</v>
      </c>
      <c r="CJ17" s="41"/>
      <c r="CK17" s="41"/>
      <c r="CO17" s="41">
        <v>2021</v>
      </c>
      <c r="CR17" s="10"/>
      <c r="CS17" s="10"/>
      <c r="CT17" s="10"/>
      <c r="CU17" s="10">
        <v>1509000</v>
      </c>
      <c r="CV17" s="10">
        <v>-2626529000</v>
      </c>
      <c r="CW17" s="10">
        <v>-2626529000</v>
      </c>
      <c r="CX17" t="s">
        <v>652</v>
      </c>
    </row>
    <row r="18" spans="1:102" x14ac:dyDescent="0.35">
      <c r="A18" t="s">
        <v>651</v>
      </c>
      <c r="B18" s="22">
        <v>44926</v>
      </c>
      <c r="C18">
        <v>2022</v>
      </c>
      <c r="D18" t="s">
        <v>212</v>
      </c>
      <c r="E18" s="41"/>
      <c r="F18" t="s">
        <v>213</v>
      </c>
      <c r="G18" s="10">
        <v>1286286000</v>
      </c>
      <c r="H18" s="10">
        <v>64434000</v>
      </c>
      <c r="I18" s="10">
        <v>-290407000</v>
      </c>
      <c r="J18" s="10">
        <v>265188000</v>
      </c>
      <c r="K18" s="10">
        <v>-278590000</v>
      </c>
      <c r="L18" s="10">
        <v>3211000</v>
      </c>
      <c r="M18" s="10">
        <v>-3521000</v>
      </c>
      <c r="N18" s="10">
        <v>1336000</v>
      </c>
      <c r="O18" s="10">
        <v>-13566000</v>
      </c>
      <c r="Q18" s="10">
        <v>-17830000</v>
      </c>
      <c r="R18" s="10">
        <v>2495000</v>
      </c>
      <c r="S18" s="10">
        <v>-3521000</v>
      </c>
      <c r="T18" s="10">
        <v>-2185000</v>
      </c>
      <c r="U18" s="10">
        <v>-13797000</v>
      </c>
      <c r="V18" s="10">
        <v>-5292000</v>
      </c>
      <c r="W18" s="10">
        <v>-36609000</v>
      </c>
      <c r="X18" s="10">
        <v>-5292000</v>
      </c>
      <c r="Y18" s="10">
        <v>-10191000</v>
      </c>
      <c r="Z18" s="10">
        <v>46592000</v>
      </c>
      <c r="AA18" s="10">
        <v>0</v>
      </c>
      <c r="AB18" s="10">
        <v>131133000</v>
      </c>
      <c r="AC18" s="10">
        <v>131133000</v>
      </c>
      <c r="AD18" s="10">
        <v>10874000</v>
      </c>
      <c r="AE18" s="10">
        <v>10874000</v>
      </c>
      <c r="AG18" s="10">
        <v>-3375000</v>
      </c>
      <c r="AH18" s="10">
        <v>50868000</v>
      </c>
      <c r="AI18" s="10">
        <v>265188000</v>
      </c>
      <c r="AJ18" s="10">
        <v>-287196000</v>
      </c>
      <c r="AM18" s="10">
        <v>21973000</v>
      </c>
      <c r="AN18" s="10">
        <v>43448000</v>
      </c>
      <c r="AO18" s="10">
        <v>-278590000</v>
      </c>
      <c r="AP18" s="10">
        <v>46592000</v>
      </c>
      <c r="AQ18" s="10">
        <v>215793000</v>
      </c>
      <c r="AR18" s="10">
        <v>215793000</v>
      </c>
      <c r="AS18" s="10">
        <v>-246000</v>
      </c>
      <c r="AU18" s="10">
        <v>46592000</v>
      </c>
      <c r="AW18" s="10">
        <v>-1469797000</v>
      </c>
      <c r="AX18" s="10">
        <v>-1469797000</v>
      </c>
      <c r="AY18" s="10">
        <v>0</v>
      </c>
      <c r="AZ18" s="10">
        <v>215547000</v>
      </c>
      <c r="BA18" s="10">
        <v>215547000</v>
      </c>
      <c r="BB18" s="10">
        <v>-2817000</v>
      </c>
      <c r="BD18" s="10">
        <v>-2486000</v>
      </c>
      <c r="BF18" s="10">
        <v>3211000</v>
      </c>
      <c r="BI18" s="10">
        <v>16766000</v>
      </c>
      <c r="BK18" s="10">
        <v>5866000</v>
      </c>
      <c r="BM18" s="10">
        <v>0</v>
      </c>
      <c r="BN18" s="10">
        <v>-2486000</v>
      </c>
      <c r="BO18" s="10">
        <v>-246000</v>
      </c>
      <c r="BP18" s="10">
        <v>0</v>
      </c>
      <c r="BR18" s="10">
        <v>0</v>
      </c>
      <c r="BT18" s="41">
        <v>1336000</v>
      </c>
      <c r="BU18" s="10">
        <v>63619000</v>
      </c>
      <c r="BW18">
        <v>11817000</v>
      </c>
      <c r="CJ18" s="41"/>
      <c r="CK18" s="41"/>
      <c r="CO18" s="41">
        <v>2022</v>
      </c>
      <c r="CR18" s="10"/>
      <c r="CS18" s="10"/>
      <c r="CT18" s="10"/>
      <c r="CU18" s="10">
        <v>939000</v>
      </c>
      <c r="CV18" s="10">
        <v>-276104000</v>
      </c>
      <c r="CW18" s="10">
        <v>-287921000</v>
      </c>
      <c r="CX18" t="s">
        <v>652</v>
      </c>
    </row>
    <row r="19" spans="1:102" x14ac:dyDescent="0.35">
      <c r="A19" t="s">
        <v>651</v>
      </c>
      <c r="B19" s="22">
        <v>45291</v>
      </c>
      <c r="C19">
        <v>2023</v>
      </c>
      <c r="D19" t="s">
        <v>212</v>
      </c>
      <c r="E19" s="41"/>
      <c r="F19" t="s">
        <v>213</v>
      </c>
      <c r="G19" s="10">
        <v>115851000</v>
      </c>
      <c r="H19" s="10">
        <v>50868000</v>
      </c>
      <c r="I19" s="10">
        <v>-1905237000</v>
      </c>
      <c r="J19" s="10">
        <v>1889886000</v>
      </c>
      <c r="K19" s="10">
        <v>-1905237000</v>
      </c>
      <c r="L19" s="10">
        <v>12712000</v>
      </c>
      <c r="M19" s="10">
        <v>-634000</v>
      </c>
      <c r="N19" s="10">
        <v>-1336000</v>
      </c>
      <c r="O19" s="10">
        <v>-2195000</v>
      </c>
      <c r="Q19" s="10">
        <v>-7764000</v>
      </c>
      <c r="R19" s="10">
        <v>-9638000</v>
      </c>
      <c r="S19" s="10">
        <v>-634000</v>
      </c>
      <c r="T19" s="10">
        <v>-1970000</v>
      </c>
      <c r="U19" s="10">
        <v>-11990000</v>
      </c>
      <c r="V19" s="10">
        <v>10307000</v>
      </c>
      <c r="W19" s="10">
        <v>-21055000</v>
      </c>
      <c r="X19" s="10">
        <v>10307000</v>
      </c>
      <c r="Y19" s="10">
        <v>-2639000</v>
      </c>
      <c r="Z19" s="10">
        <v>2029214000</v>
      </c>
      <c r="AB19" s="10">
        <v>-569455000</v>
      </c>
      <c r="AC19" s="10">
        <v>-569455000</v>
      </c>
      <c r="AD19" s="10">
        <v>14527000</v>
      </c>
      <c r="AE19" s="10">
        <v>14527000</v>
      </c>
      <c r="AG19" s="10">
        <v>444000</v>
      </c>
      <c r="AH19" s="10">
        <v>48673000</v>
      </c>
      <c r="AI19" s="10">
        <v>1889886000</v>
      </c>
      <c r="AJ19" s="10">
        <v>-1892525000</v>
      </c>
      <c r="AM19" s="10">
        <v>30318000</v>
      </c>
      <c r="AN19" s="10">
        <v>41229000</v>
      </c>
      <c r="AO19" s="10">
        <v>-1905237000</v>
      </c>
      <c r="AP19" s="10">
        <v>2029214000</v>
      </c>
      <c r="AQ19" s="10">
        <v>0</v>
      </c>
      <c r="AR19" s="10">
        <v>0</v>
      </c>
      <c r="AS19" s="10">
        <v>-160546000</v>
      </c>
      <c r="AU19" s="10">
        <v>2029214000</v>
      </c>
      <c r="AW19" s="10">
        <v>429121000</v>
      </c>
      <c r="AX19" s="10">
        <v>429121000</v>
      </c>
      <c r="AZ19" s="10">
        <v>-160546000</v>
      </c>
      <c r="BA19" s="10">
        <v>-160546000</v>
      </c>
      <c r="BB19" s="10">
        <v>-13255000</v>
      </c>
      <c r="BD19" s="10">
        <v>-2938000</v>
      </c>
      <c r="BF19" s="10">
        <v>12712000</v>
      </c>
      <c r="BG19" s="10">
        <v>-44686000</v>
      </c>
      <c r="BI19" s="10">
        <v>17451000</v>
      </c>
      <c r="BK19" s="10">
        <v>34473000</v>
      </c>
      <c r="BN19" s="10">
        <v>-2938000</v>
      </c>
      <c r="BO19" s="10">
        <v>-160546000</v>
      </c>
      <c r="BT19" s="41">
        <v>-1336000</v>
      </c>
      <c r="BU19" s="10">
        <v>69571000</v>
      </c>
      <c r="BW19">
        <v>0</v>
      </c>
      <c r="CJ19" s="41"/>
      <c r="CK19" s="41"/>
      <c r="CO19" s="41">
        <v>2023</v>
      </c>
      <c r="CR19" s="10"/>
      <c r="CS19" s="10"/>
      <c r="CT19" s="10"/>
      <c r="CU19" s="10">
        <v>1387000</v>
      </c>
      <c r="CV19" s="10">
        <v>-1902299000</v>
      </c>
      <c r="CW19" s="10">
        <v>-1902299000</v>
      </c>
      <c r="CX19" t="s">
        <v>652</v>
      </c>
    </row>
    <row r="20" spans="1:102" x14ac:dyDescent="0.35">
      <c r="A20" t="s">
        <v>651</v>
      </c>
      <c r="B20" s="22">
        <v>45473</v>
      </c>
      <c r="C20">
        <v>2024</v>
      </c>
      <c r="D20" t="s">
        <v>214</v>
      </c>
      <c r="E20" s="41"/>
      <c r="F20" t="s">
        <v>213</v>
      </c>
      <c r="G20" s="10">
        <v>444520000</v>
      </c>
      <c r="H20" s="10">
        <v>68053000</v>
      </c>
      <c r="I20" s="10">
        <v>-3813226000</v>
      </c>
      <c r="J20" s="10">
        <v>3815806000</v>
      </c>
      <c r="K20" s="10">
        <v>-3813226000</v>
      </c>
      <c r="L20" s="10">
        <v>-955000</v>
      </c>
      <c r="M20" s="10">
        <v>602000</v>
      </c>
      <c r="N20" s="10">
        <v>1141000</v>
      </c>
      <c r="O20" s="10">
        <v>748000</v>
      </c>
      <c r="Q20" s="10">
        <v>-12827000</v>
      </c>
      <c r="R20" s="10">
        <v>-11596000</v>
      </c>
      <c r="S20" s="10">
        <v>602000</v>
      </c>
      <c r="T20" s="10">
        <v>1743000</v>
      </c>
      <c r="U20" s="10">
        <v>-18289000</v>
      </c>
      <c r="V20" s="10">
        <v>12689000</v>
      </c>
      <c r="W20" s="10">
        <v>-28280000</v>
      </c>
      <c r="X20" s="10">
        <v>12689000</v>
      </c>
      <c r="Y20" s="10">
        <v>1625000</v>
      </c>
      <c r="Z20" s="10">
        <v>1490911000</v>
      </c>
      <c r="AB20" s="10">
        <v>-316865000</v>
      </c>
      <c r="AC20" s="10">
        <v>-316865000</v>
      </c>
      <c r="AD20" s="10">
        <v>14567000</v>
      </c>
      <c r="AE20" s="10">
        <v>14567000</v>
      </c>
      <c r="AG20" s="10">
        <v>-877000</v>
      </c>
      <c r="AH20" s="10">
        <v>69678000</v>
      </c>
      <c r="AI20" s="10">
        <v>3815806000</v>
      </c>
      <c r="AJ20" s="10">
        <v>-3814181000</v>
      </c>
      <c r="AO20" s="10">
        <v>-3813226000</v>
      </c>
      <c r="AP20" s="10">
        <v>1490911000</v>
      </c>
      <c r="AQ20" s="10">
        <v>2203750000</v>
      </c>
      <c r="AR20" s="10">
        <v>2203750000</v>
      </c>
      <c r="AS20" s="10">
        <v>-569000</v>
      </c>
      <c r="AU20" s="10">
        <v>1490911000</v>
      </c>
      <c r="AW20" s="10">
        <v>-209992000</v>
      </c>
      <c r="AX20" s="10">
        <v>-209992000</v>
      </c>
      <c r="AZ20" s="10">
        <v>2203181000</v>
      </c>
      <c r="BA20" s="10">
        <v>2203181000</v>
      </c>
      <c r="BB20" s="10">
        <v>-53695000</v>
      </c>
      <c r="BD20" s="10">
        <v>-4068000</v>
      </c>
      <c r="BF20" s="10">
        <v>-955000</v>
      </c>
      <c r="BI20" s="10">
        <v>19256000</v>
      </c>
      <c r="BK20" s="10">
        <v>175409000</v>
      </c>
      <c r="BN20" s="10">
        <v>-4068000</v>
      </c>
      <c r="BO20" s="10">
        <v>-569000</v>
      </c>
      <c r="BT20" s="41">
        <v>3641000</v>
      </c>
      <c r="BU20" s="10">
        <v>74934000</v>
      </c>
      <c r="BW20"/>
      <c r="CJ20" s="41"/>
      <c r="CK20" s="41"/>
      <c r="CO20" s="41">
        <v>2024</v>
      </c>
      <c r="CR20" s="10"/>
      <c r="CS20" s="10"/>
      <c r="CT20" s="10"/>
      <c r="CU20" s="10">
        <v>905000</v>
      </c>
      <c r="CV20" s="10">
        <v>-3809158000</v>
      </c>
      <c r="CW20" s="10">
        <v>-3809158000</v>
      </c>
      <c r="CX20" t="s">
        <v>652</v>
      </c>
    </row>
    <row r="21" spans="1:102" x14ac:dyDescent="0.35">
      <c r="A21" t="s">
        <v>653</v>
      </c>
      <c r="B21" s="22">
        <v>43830</v>
      </c>
      <c r="C21">
        <v>2019</v>
      </c>
      <c r="D21" t="s">
        <v>212</v>
      </c>
      <c r="E21" s="41"/>
      <c r="F21" t="s">
        <v>213</v>
      </c>
      <c r="Z21" s="10">
        <v>0</v>
      </c>
      <c r="AL21" s="10">
        <v>0</v>
      </c>
      <c r="AP21" s="10">
        <v>0</v>
      </c>
      <c r="AY21" s="10">
        <v>0</v>
      </c>
      <c r="BQ21" s="10">
        <v>2500000</v>
      </c>
      <c r="BT21" s="41"/>
      <c r="BW21"/>
      <c r="CJ21" s="41"/>
      <c r="CK21" s="41"/>
      <c r="CO21" s="41">
        <v>2019</v>
      </c>
      <c r="CR21" s="10"/>
      <c r="CS21" s="10"/>
      <c r="CT21" s="10"/>
      <c r="CU21" s="10">
        <v>84000</v>
      </c>
      <c r="CV21" s="10"/>
      <c r="CW21" s="10"/>
      <c r="CX21" t="s">
        <v>654</v>
      </c>
    </row>
    <row r="22" spans="1:102" x14ac:dyDescent="0.35">
      <c r="A22" t="s">
        <v>653</v>
      </c>
      <c r="B22" s="22">
        <v>44196</v>
      </c>
      <c r="C22">
        <v>2020</v>
      </c>
      <c r="D22" t="s">
        <v>212</v>
      </c>
      <c r="E22" s="41"/>
      <c r="F22" t="s">
        <v>213</v>
      </c>
      <c r="G22" s="10">
        <v>2580000</v>
      </c>
      <c r="H22" s="10">
        <v>305874000</v>
      </c>
      <c r="I22" s="10">
        <v>-28600000</v>
      </c>
      <c r="J22" s="10">
        <v>-4587000</v>
      </c>
      <c r="K22" s="10">
        <v>-35310000</v>
      </c>
      <c r="L22" s="10">
        <v>165072000</v>
      </c>
      <c r="M22" s="10">
        <v>8587000</v>
      </c>
      <c r="O22" s="10">
        <v>122700000</v>
      </c>
      <c r="R22" s="10">
        <v>89000</v>
      </c>
      <c r="S22" s="10">
        <v>9662000</v>
      </c>
      <c r="T22" s="10">
        <v>9662000</v>
      </c>
      <c r="U22" s="10">
        <v>9775000</v>
      </c>
      <c r="V22" s="10">
        <v>513000</v>
      </c>
      <c r="W22" s="10">
        <v>20039000</v>
      </c>
      <c r="X22" s="10">
        <v>513000</v>
      </c>
      <c r="Y22" s="10">
        <v>125175000</v>
      </c>
      <c r="Z22" s="10">
        <v>23153000</v>
      </c>
      <c r="AA22" s="10">
        <v>0</v>
      </c>
      <c r="AB22" s="10">
        <v>1019000</v>
      </c>
      <c r="AC22" s="10">
        <v>1019000</v>
      </c>
      <c r="AD22" s="10">
        <v>41359000</v>
      </c>
      <c r="AE22" s="10">
        <v>41359000</v>
      </c>
      <c r="AG22" s="10">
        <v>-2475000</v>
      </c>
      <c r="AH22" s="10">
        <v>428574000</v>
      </c>
      <c r="AI22" s="10">
        <v>-4587000</v>
      </c>
      <c r="AJ22" s="10">
        <v>136472000</v>
      </c>
      <c r="AL22" s="10">
        <v>0</v>
      </c>
      <c r="AM22" s="10">
        <v>8751000</v>
      </c>
      <c r="AO22" s="10">
        <v>-35310000</v>
      </c>
      <c r="AP22" s="10">
        <v>23153000</v>
      </c>
      <c r="AT22" s="10">
        <v>0</v>
      </c>
      <c r="AU22" s="10">
        <v>23153000</v>
      </c>
      <c r="AW22" s="10">
        <v>71766000</v>
      </c>
      <c r="AX22" s="10">
        <v>71766000</v>
      </c>
      <c r="AY22" s="10">
        <v>-5000000</v>
      </c>
      <c r="BB22" s="10">
        <v>-4510000</v>
      </c>
      <c r="BC22" s="10">
        <v>-1710000</v>
      </c>
      <c r="BF22" s="10">
        <v>165072000</v>
      </c>
      <c r="BK22" s="10">
        <v>1171000</v>
      </c>
      <c r="BL22" s="10">
        <v>0</v>
      </c>
      <c r="BP22" s="10">
        <v>0</v>
      </c>
      <c r="BQ22" s="10">
        <v>0</v>
      </c>
      <c r="BT22" s="41"/>
      <c r="BU22" s="10">
        <v>28309000</v>
      </c>
      <c r="BW22"/>
      <c r="BZ22" s="10">
        <v>-25630000</v>
      </c>
      <c r="CA22" s="10">
        <v>-24401000</v>
      </c>
      <c r="CE22" s="10">
        <v>-24401000</v>
      </c>
      <c r="CJ22" s="41"/>
      <c r="CK22" s="41"/>
      <c r="CO22" s="41">
        <v>2020</v>
      </c>
      <c r="CR22" s="10"/>
      <c r="CS22" s="10"/>
      <c r="CT22" s="10"/>
      <c r="CU22" s="10"/>
      <c r="CV22" s="10">
        <v>-2970000</v>
      </c>
      <c r="CW22" s="10">
        <v>-2970000</v>
      </c>
      <c r="CX22" t="s">
        <v>654</v>
      </c>
    </row>
    <row r="23" spans="1:102" x14ac:dyDescent="0.35">
      <c r="A23" t="s">
        <v>653</v>
      </c>
      <c r="B23" s="22">
        <v>44561</v>
      </c>
      <c r="C23">
        <v>2021</v>
      </c>
      <c r="D23" t="s">
        <v>212</v>
      </c>
      <c r="E23" s="41"/>
      <c r="F23" t="s">
        <v>213</v>
      </c>
      <c r="G23" s="10">
        <v>137000</v>
      </c>
      <c r="H23" s="10">
        <v>428574000</v>
      </c>
      <c r="I23" s="10">
        <v>-36999000</v>
      </c>
      <c r="J23" s="10">
        <v>-77722000</v>
      </c>
      <c r="K23" s="10">
        <v>-250438000</v>
      </c>
      <c r="L23" s="10">
        <v>216372000</v>
      </c>
      <c r="M23" s="10">
        <v>34444000</v>
      </c>
      <c r="O23" s="10">
        <v>-114557000</v>
      </c>
      <c r="R23" s="10">
        <v>23108000</v>
      </c>
      <c r="S23" s="10">
        <v>35342000</v>
      </c>
      <c r="T23" s="10">
        <v>35342000</v>
      </c>
      <c r="U23" s="10">
        <v>-13184000</v>
      </c>
      <c r="V23" s="10">
        <v>-4093000</v>
      </c>
      <c r="W23" s="10">
        <v>41173000</v>
      </c>
      <c r="X23" s="10">
        <v>-4093000</v>
      </c>
      <c r="Y23" s="10">
        <v>-111788000</v>
      </c>
      <c r="Z23" s="10">
        <v>0</v>
      </c>
      <c r="AA23" s="10">
        <v>-26493000</v>
      </c>
      <c r="AB23" s="10">
        <v>-1771000</v>
      </c>
      <c r="AC23" s="10">
        <v>-1771000</v>
      </c>
      <c r="AD23" s="10">
        <v>48771000</v>
      </c>
      <c r="AE23" s="10">
        <v>48771000</v>
      </c>
      <c r="AG23" s="10">
        <v>-2769000</v>
      </c>
      <c r="AH23" s="10">
        <v>314017000</v>
      </c>
      <c r="AI23" s="10">
        <v>-77722000</v>
      </c>
      <c r="AJ23" s="10">
        <v>179373000</v>
      </c>
      <c r="AM23" s="10">
        <v>19092000</v>
      </c>
      <c r="AN23" s="10">
        <v>0</v>
      </c>
      <c r="AO23" s="10">
        <v>-250438000</v>
      </c>
      <c r="AP23" s="10">
        <v>0</v>
      </c>
      <c r="AQ23" s="10">
        <v>0</v>
      </c>
      <c r="AT23" s="10">
        <v>-181609000</v>
      </c>
      <c r="AU23" s="10">
        <v>-26493000</v>
      </c>
      <c r="AW23" s="10">
        <v>91883000</v>
      </c>
      <c r="AX23" s="10">
        <v>91883000</v>
      </c>
      <c r="AY23" s="10">
        <v>0</v>
      </c>
      <c r="AZ23" s="10">
        <v>0</v>
      </c>
      <c r="BB23" s="10">
        <v>-22726000</v>
      </c>
      <c r="BC23" s="10">
        <v>-31830000</v>
      </c>
      <c r="BF23" s="10">
        <v>216372000</v>
      </c>
      <c r="BK23" s="10">
        <v>2148000</v>
      </c>
      <c r="BL23" s="10">
        <v>-181609000</v>
      </c>
      <c r="BO23" s="10">
        <v>0</v>
      </c>
      <c r="BP23" s="10">
        <v>-26493000</v>
      </c>
      <c r="BQ23" s="10">
        <v>0</v>
      </c>
      <c r="BT23" s="41"/>
      <c r="BU23" s="10">
        <v>36179000</v>
      </c>
      <c r="BW23"/>
      <c r="BX23" s="10">
        <v>17100000</v>
      </c>
      <c r="BY23" s="10">
        <v>17100000</v>
      </c>
      <c r="BZ23" s="10">
        <v>-28125000</v>
      </c>
      <c r="CA23" s="10">
        <v>-30651000</v>
      </c>
      <c r="CE23" s="10">
        <v>-30651000</v>
      </c>
      <c r="CF23" s="10">
        <v>31700000</v>
      </c>
      <c r="CH23" s="10">
        <v>0</v>
      </c>
      <c r="CJ23" s="41"/>
      <c r="CK23" s="41"/>
      <c r="CL23" s="10">
        <v>0</v>
      </c>
      <c r="CM23" s="10">
        <v>0</v>
      </c>
      <c r="CO23" s="41">
        <v>2021</v>
      </c>
      <c r="CR23" s="10"/>
      <c r="CS23" s="10"/>
      <c r="CT23" s="10"/>
      <c r="CU23" s="10"/>
      <c r="CV23" s="10">
        <v>-8874000</v>
      </c>
      <c r="CW23" s="10">
        <v>-8874000</v>
      </c>
      <c r="CX23" t="s">
        <v>654</v>
      </c>
    </row>
    <row r="24" spans="1:102" x14ac:dyDescent="0.35">
      <c r="A24" t="s">
        <v>653</v>
      </c>
      <c r="B24" s="22">
        <v>44926</v>
      </c>
      <c r="C24">
        <v>2022</v>
      </c>
      <c r="D24" t="s">
        <v>212</v>
      </c>
      <c r="E24" s="41"/>
      <c r="F24" t="s">
        <v>213</v>
      </c>
      <c r="G24" s="10">
        <v>22361000</v>
      </c>
      <c r="H24" s="10">
        <v>314017000</v>
      </c>
      <c r="I24" s="10">
        <v>-60117000</v>
      </c>
      <c r="J24" s="10">
        <v>-79487000</v>
      </c>
      <c r="K24" s="10">
        <v>-275550000</v>
      </c>
      <c r="L24" s="10">
        <v>158451000</v>
      </c>
      <c r="M24" s="10">
        <v>-24328000</v>
      </c>
      <c r="O24" s="10">
        <v>-198863000</v>
      </c>
      <c r="R24" s="10">
        <v>4493000</v>
      </c>
      <c r="S24" s="10">
        <v>-16556000</v>
      </c>
      <c r="T24" s="10">
        <v>-16556000</v>
      </c>
      <c r="U24" s="10">
        <v>532000</v>
      </c>
      <c r="V24" s="10">
        <v>-22105000</v>
      </c>
      <c r="W24" s="10">
        <v>-33636000</v>
      </c>
      <c r="X24" s="10">
        <v>-22105000</v>
      </c>
      <c r="Y24" s="10">
        <v>-196586000</v>
      </c>
      <c r="Z24" s="10">
        <v>0</v>
      </c>
      <c r="AA24" s="10">
        <v>-73488000</v>
      </c>
      <c r="AB24" s="10">
        <v>-10587000</v>
      </c>
      <c r="AC24" s="10">
        <v>-10587000</v>
      </c>
      <c r="AD24" s="10">
        <v>68470000</v>
      </c>
      <c r="AE24" s="10">
        <v>68470000</v>
      </c>
      <c r="AG24" s="10">
        <v>-2277000</v>
      </c>
      <c r="AH24" s="10">
        <v>115154000</v>
      </c>
      <c r="AI24" s="10">
        <v>-79487000</v>
      </c>
      <c r="AJ24" s="10">
        <v>98334000</v>
      </c>
      <c r="AM24" s="10">
        <v>23444000</v>
      </c>
      <c r="AN24" s="10">
        <v>1045000</v>
      </c>
      <c r="AO24" s="10">
        <v>-275550000</v>
      </c>
      <c r="AP24" s="10">
        <v>0</v>
      </c>
      <c r="AQ24" s="10">
        <v>50000000</v>
      </c>
      <c r="AT24" s="10">
        <v>-211843000</v>
      </c>
      <c r="AU24" s="10">
        <v>-73488000</v>
      </c>
      <c r="AW24" s="10">
        <v>76103000</v>
      </c>
      <c r="AX24" s="10">
        <v>76103000</v>
      </c>
      <c r="AY24" s="10">
        <v>0</v>
      </c>
      <c r="AZ24" s="10">
        <v>50000000</v>
      </c>
      <c r="BB24" s="10">
        <v>-23220000</v>
      </c>
      <c r="BC24" s="10">
        <v>-3590000</v>
      </c>
      <c r="BF24" s="10">
        <v>158451000</v>
      </c>
      <c r="BK24" s="10">
        <v>1810000</v>
      </c>
      <c r="BL24" s="10">
        <v>-211843000</v>
      </c>
      <c r="BO24" s="10">
        <v>0</v>
      </c>
      <c r="BP24" s="10">
        <v>-73488000</v>
      </c>
      <c r="BT24" s="41"/>
      <c r="BU24" s="10">
        <v>35740000</v>
      </c>
      <c r="BW24"/>
      <c r="BX24" s="10">
        <v>34500000</v>
      </c>
      <c r="BY24" s="10">
        <v>34500000</v>
      </c>
      <c r="BZ24" s="10">
        <v>-43296000</v>
      </c>
      <c r="CA24" s="10">
        <v>-34589000</v>
      </c>
      <c r="CE24" s="10">
        <v>-34589000</v>
      </c>
      <c r="CF24" s="10">
        <v>34000000</v>
      </c>
      <c r="CH24" s="10">
        <v>50000000</v>
      </c>
      <c r="CJ24" s="41"/>
      <c r="CK24" s="41"/>
      <c r="CL24" s="10">
        <v>50000000</v>
      </c>
      <c r="CM24" s="10">
        <v>0</v>
      </c>
      <c r="CO24" s="41">
        <v>2022</v>
      </c>
      <c r="CR24" s="10"/>
      <c r="CS24" s="10"/>
      <c r="CT24" s="10"/>
      <c r="CU24" s="10"/>
      <c r="CV24" s="10">
        <v>-16821000</v>
      </c>
      <c r="CW24" s="10">
        <v>-16821000</v>
      </c>
      <c r="CX24" t="s">
        <v>654</v>
      </c>
    </row>
    <row r="25" spans="1:102" x14ac:dyDescent="0.35">
      <c r="A25" t="s">
        <v>653</v>
      </c>
      <c r="B25" s="22">
        <v>45291</v>
      </c>
      <c r="C25">
        <v>2023</v>
      </c>
      <c r="D25" t="s">
        <v>212</v>
      </c>
      <c r="E25" s="41"/>
      <c r="F25" t="s">
        <v>213</v>
      </c>
      <c r="G25" s="10">
        <v>1894000</v>
      </c>
      <c r="H25" s="10">
        <v>115154000</v>
      </c>
      <c r="I25" s="10">
        <v>-55741000</v>
      </c>
      <c r="J25" s="10">
        <v>-102704000</v>
      </c>
      <c r="K25" s="10">
        <v>-54316000</v>
      </c>
      <c r="L25" s="10">
        <v>140552000</v>
      </c>
      <c r="M25" s="10">
        <v>20892000</v>
      </c>
      <c r="O25" s="10">
        <v>-14664000</v>
      </c>
      <c r="R25" s="10">
        <v>14697000</v>
      </c>
      <c r="S25" s="10">
        <v>36733000</v>
      </c>
      <c r="T25" s="10">
        <v>36733000</v>
      </c>
      <c r="U25" s="10">
        <v>-50501000</v>
      </c>
      <c r="V25" s="10">
        <v>-24409000</v>
      </c>
      <c r="W25" s="10">
        <v>-23480000</v>
      </c>
      <c r="X25" s="10">
        <v>-24409000</v>
      </c>
      <c r="Y25" s="10">
        <v>-16468000</v>
      </c>
      <c r="AA25" s="10">
        <v>-28205000</v>
      </c>
      <c r="AB25" s="10">
        <v>-26176000</v>
      </c>
      <c r="AC25" s="10">
        <v>-26176000</v>
      </c>
      <c r="AD25" s="10">
        <v>79729000</v>
      </c>
      <c r="AE25" s="10">
        <v>79729000</v>
      </c>
      <c r="AG25" s="10">
        <v>1804000</v>
      </c>
      <c r="AH25" s="10">
        <v>100490000</v>
      </c>
      <c r="AI25" s="10">
        <v>-102704000</v>
      </c>
      <c r="AJ25" s="10">
        <v>84811000</v>
      </c>
      <c r="AM25" s="10">
        <v>33067000</v>
      </c>
      <c r="AN25" s="10">
        <v>1724000</v>
      </c>
      <c r="AO25" s="10">
        <v>-54316000</v>
      </c>
      <c r="AQ25" s="10">
        <v>30000000</v>
      </c>
      <c r="AT25" s="10">
        <v>-53721000</v>
      </c>
      <c r="AU25" s="10">
        <v>-28205000</v>
      </c>
      <c r="AW25" s="10">
        <v>110269000</v>
      </c>
      <c r="AX25" s="10">
        <v>110269000</v>
      </c>
      <c r="AZ25" s="10">
        <v>-20000000</v>
      </c>
      <c r="BB25" s="10">
        <v>-15834000</v>
      </c>
      <c r="BC25" s="10">
        <v>55146000</v>
      </c>
      <c r="BF25" s="10">
        <v>140552000</v>
      </c>
      <c r="BI25" s="10">
        <v>-50261000</v>
      </c>
      <c r="BK25" s="10">
        <v>2000</v>
      </c>
      <c r="BL25" s="10">
        <v>-53721000</v>
      </c>
      <c r="BO25" s="10">
        <v>-50000000</v>
      </c>
      <c r="BP25" s="10">
        <v>-28205000</v>
      </c>
      <c r="BT25" s="41"/>
      <c r="BU25" s="10">
        <v>48577000</v>
      </c>
      <c r="BW25"/>
      <c r="BX25" s="10">
        <v>42000000</v>
      </c>
      <c r="BY25" s="10">
        <v>42000000</v>
      </c>
      <c r="BZ25" s="10">
        <v>-44645000</v>
      </c>
      <c r="CA25" s="10">
        <v>-38667000</v>
      </c>
      <c r="CE25" s="10">
        <v>-38667000</v>
      </c>
      <c r="CF25" s="10">
        <v>37700000</v>
      </c>
      <c r="CH25" s="10">
        <v>-20000000</v>
      </c>
      <c r="CJ25" s="41"/>
      <c r="CK25" s="41"/>
      <c r="CL25" s="10">
        <v>30000000</v>
      </c>
      <c r="CM25" s="10">
        <v>-50000000</v>
      </c>
      <c r="CO25" s="41">
        <v>2023</v>
      </c>
      <c r="CR25" s="10"/>
      <c r="CS25" s="10"/>
      <c r="CT25" s="10"/>
      <c r="CU25" s="10"/>
      <c r="CV25" s="10">
        <v>-11096000</v>
      </c>
      <c r="CW25" s="10">
        <v>-11096000</v>
      </c>
      <c r="CX25" t="s">
        <v>654</v>
      </c>
    </row>
    <row r="26" spans="1:102" x14ac:dyDescent="0.35">
      <c r="A26" t="s">
        <v>653</v>
      </c>
      <c r="B26" s="22">
        <v>45473</v>
      </c>
      <c r="C26">
        <v>2024</v>
      </c>
      <c r="D26" t="s">
        <v>214</v>
      </c>
      <c r="E26" s="41"/>
      <c r="F26" t="s">
        <v>213</v>
      </c>
      <c r="G26" s="10">
        <v>-903000</v>
      </c>
      <c r="H26" s="10">
        <v>87146000</v>
      </c>
      <c r="I26" s="10">
        <v>-52976000</v>
      </c>
      <c r="J26" s="10">
        <v>-95553000</v>
      </c>
      <c r="K26" s="10">
        <v>3585000</v>
      </c>
      <c r="L26" s="10">
        <v>80228000</v>
      </c>
      <c r="M26" s="10">
        <v>8137000</v>
      </c>
      <c r="O26" s="10">
        <v>-12275000</v>
      </c>
      <c r="R26" s="10">
        <v>-20370000</v>
      </c>
      <c r="S26" s="10">
        <v>32844000</v>
      </c>
      <c r="T26" s="10">
        <v>32844000</v>
      </c>
      <c r="U26" s="10">
        <v>-45966000</v>
      </c>
      <c r="V26" s="10">
        <v>-33997000</v>
      </c>
      <c r="W26" s="10">
        <v>-67489000</v>
      </c>
      <c r="X26" s="10">
        <v>-33997000</v>
      </c>
      <c r="Y26" s="10">
        <v>-11740000</v>
      </c>
      <c r="AA26" s="10">
        <v>-44797000</v>
      </c>
      <c r="AB26" s="10">
        <v>-25527000</v>
      </c>
      <c r="AC26" s="10">
        <v>-25527000</v>
      </c>
      <c r="AD26" s="10">
        <v>84323000</v>
      </c>
      <c r="AE26" s="10">
        <v>84323000</v>
      </c>
      <c r="AG26" s="10">
        <v>-535000</v>
      </c>
      <c r="AH26" s="10">
        <v>75406000</v>
      </c>
      <c r="AI26" s="10">
        <v>-95553000</v>
      </c>
      <c r="AJ26" s="10">
        <v>27252000</v>
      </c>
      <c r="AM26" s="10">
        <v>38832000</v>
      </c>
      <c r="AN26" s="10">
        <v>2300000</v>
      </c>
      <c r="AO26" s="10">
        <v>3585000</v>
      </c>
      <c r="AQ26" s="10">
        <v>0</v>
      </c>
      <c r="AT26" s="10">
        <v>-19474000</v>
      </c>
      <c r="AU26" s="10">
        <v>-44797000</v>
      </c>
      <c r="AW26" s="10">
        <v>47159000</v>
      </c>
      <c r="AX26" s="10">
        <v>47159000</v>
      </c>
      <c r="AZ26" s="10">
        <v>0</v>
      </c>
      <c r="BB26" s="10">
        <v>-10148000</v>
      </c>
      <c r="BC26" s="10">
        <v>76035000</v>
      </c>
      <c r="BF26" s="10">
        <v>80228000</v>
      </c>
      <c r="BK26" s="10">
        <v>-1000</v>
      </c>
      <c r="BL26" s="10">
        <v>-19474000</v>
      </c>
      <c r="BO26" s="10">
        <v>0</v>
      </c>
      <c r="BP26" s="10">
        <v>-44797000</v>
      </c>
      <c r="BT26" s="41"/>
      <c r="BU26" s="10">
        <v>51117000</v>
      </c>
      <c r="BW26"/>
      <c r="BZ26" s="10">
        <v>-45311000</v>
      </c>
      <c r="CA26" s="10">
        <v>-40607000</v>
      </c>
      <c r="CE26" s="10">
        <v>-40607000</v>
      </c>
      <c r="CJ26" s="41"/>
      <c r="CK26" s="41"/>
      <c r="CO26" s="41">
        <v>2024</v>
      </c>
      <c r="CR26" s="10"/>
      <c r="CS26" s="10"/>
      <c r="CT26" s="10"/>
      <c r="CU26" s="10"/>
      <c r="CV26" s="10">
        <v>-7665000</v>
      </c>
      <c r="CW26" s="10">
        <v>-7665000</v>
      </c>
      <c r="CX26" t="s">
        <v>654</v>
      </c>
    </row>
    <row r="27" spans="1:102" x14ac:dyDescent="0.35">
      <c r="A27" t="s">
        <v>655</v>
      </c>
      <c r="B27" s="22">
        <v>44196</v>
      </c>
      <c r="C27">
        <v>2020</v>
      </c>
      <c r="D27" t="s">
        <v>212</v>
      </c>
      <c r="E27" s="41"/>
      <c r="F27" t="s">
        <v>213</v>
      </c>
      <c r="H27" s="10">
        <v>106586000</v>
      </c>
      <c r="O27" s="10">
        <v>203745000</v>
      </c>
      <c r="Q27" s="10">
        <v>0</v>
      </c>
      <c r="S27" s="10">
        <v>8023000</v>
      </c>
      <c r="V27" s="10">
        <v>-24282000</v>
      </c>
      <c r="W27" s="10">
        <v>-16259000</v>
      </c>
      <c r="Y27" s="10">
        <v>203745000</v>
      </c>
      <c r="Z27" s="10">
        <v>298070000</v>
      </c>
      <c r="AE27" s="10">
        <v>3580000</v>
      </c>
      <c r="AH27" s="10">
        <v>310331000</v>
      </c>
      <c r="AI27" s="10">
        <v>962115000</v>
      </c>
      <c r="AJ27" s="10">
        <v>73282000</v>
      </c>
      <c r="AK27" s="10">
        <v>-41602000</v>
      </c>
      <c r="AO27" s="10">
        <v>-831652000</v>
      </c>
      <c r="AP27" s="10">
        <v>298070000</v>
      </c>
      <c r="AQ27" s="10">
        <v>1056938000</v>
      </c>
      <c r="AR27" s="10">
        <v>1056938000</v>
      </c>
      <c r="AS27" s="10">
        <v>-260563000</v>
      </c>
      <c r="AU27" s="10">
        <v>298070000</v>
      </c>
      <c r="AW27" s="10">
        <v>82416000</v>
      </c>
      <c r="AX27" s="10">
        <v>82759000</v>
      </c>
      <c r="AY27" s="10">
        <v>-919070000</v>
      </c>
      <c r="AZ27" s="10">
        <v>796375000</v>
      </c>
      <c r="BA27" s="10">
        <v>796375000</v>
      </c>
      <c r="BB27" s="10">
        <v>-32463000</v>
      </c>
      <c r="BC27" s="10">
        <v>-11153000</v>
      </c>
      <c r="BF27" s="10">
        <v>73282000</v>
      </c>
      <c r="BI27" s="10">
        <v>47775000</v>
      </c>
      <c r="BM27" s="10">
        <v>-1182370000</v>
      </c>
      <c r="BO27" s="10">
        <v>-260563000</v>
      </c>
      <c r="BR27" s="10">
        <v>263300000</v>
      </c>
      <c r="BT27" s="41"/>
      <c r="BW27"/>
      <c r="CA27" s="10">
        <v>-99867000</v>
      </c>
      <c r="CE27" s="10">
        <v>-99867000</v>
      </c>
      <c r="CF27" s="10">
        <v>3580000</v>
      </c>
      <c r="CJ27" s="41"/>
      <c r="CK27" s="41"/>
      <c r="CO27" s="41">
        <v>2020</v>
      </c>
      <c r="CR27" s="10">
        <v>98571000</v>
      </c>
      <c r="CS27" s="10"/>
      <c r="CT27" s="10"/>
      <c r="CU27" s="10"/>
      <c r="CV27" s="10"/>
      <c r="CW27" s="10"/>
      <c r="CX27" t="s">
        <v>656</v>
      </c>
    </row>
    <row r="28" spans="1:102" x14ac:dyDescent="0.35">
      <c r="A28" t="s">
        <v>655</v>
      </c>
      <c r="B28" s="22">
        <v>44561</v>
      </c>
      <c r="C28">
        <v>2021</v>
      </c>
      <c r="D28" t="s">
        <v>212</v>
      </c>
      <c r="E28" s="41"/>
      <c r="F28" t="s">
        <v>213</v>
      </c>
      <c r="H28" s="10">
        <v>310331000</v>
      </c>
      <c r="O28" s="10">
        <v>-59258000</v>
      </c>
      <c r="Q28" s="10">
        <v>0</v>
      </c>
      <c r="S28" s="10">
        <v>11313000</v>
      </c>
      <c r="V28" s="10">
        <v>-22894000</v>
      </c>
      <c r="W28" s="10">
        <v>-11581000</v>
      </c>
      <c r="Y28" s="10">
        <v>-59258000</v>
      </c>
      <c r="Z28" s="10">
        <v>200641000</v>
      </c>
      <c r="AE28" s="10">
        <v>3801000</v>
      </c>
      <c r="AH28" s="10">
        <v>251073000</v>
      </c>
      <c r="AI28" s="10">
        <v>630835000</v>
      </c>
      <c r="AJ28" s="10">
        <v>13309000</v>
      </c>
      <c r="AK28" s="10">
        <v>-49052000</v>
      </c>
      <c r="AO28" s="10">
        <v>-703402000</v>
      </c>
      <c r="AP28" s="10">
        <v>200641000</v>
      </c>
      <c r="AQ28" s="10">
        <v>1150000000</v>
      </c>
      <c r="AR28" s="10">
        <v>1150000000</v>
      </c>
      <c r="AS28" s="10">
        <v>-560415000</v>
      </c>
      <c r="AU28" s="10">
        <v>200641000</v>
      </c>
      <c r="AW28" s="10">
        <v>126579000</v>
      </c>
      <c r="AX28" s="10">
        <v>127346000</v>
      </c>
      <c r="AY28" s="10">
        <v>-720204000</v>
      </c>
      <c r="AZ28" s="10">
        <v>589585000</v>
      </c>
      <c r="BA28" s="10">
        <v>589585000</v>
      </c>
      <c r="BB28" s="10">
        <v>-28131000</v>
      </c>
      <c r="BC28" s="10">
        <v>-4975000</v>
      </c>
      <c r="BF28" s="10">
        <v>13309000</v>
      </c>
      <c r="BI28" s="10">
        <v>-51330000</v>
      </c>
      <c r="BM28" s="10">
        <v>-960052000</v>
      </c>
      <c r="BO28" s="10">
        <v>-560415000</v>
      </c>
      <c r="BR28" s="10">
        <v>239848000</v>
      </c>
      <c r="BT28" s="41"/>
      <c r="BW28"/>
      <c r="CA28" s="10">
        <v>-113510000</v>
      </c>
      <c r="CE28" s="10">
        <v>-113510000</v>
      </c>
      <c r="CF28" s="10">
        <v>3801000</v>
      </c>
      <c r="CJ28" s="41"/>
      <c r="CK28" s="41"/>
      <c r="CO28" s="41">
        <v>2021</v>
      </c>
      <c r="CR28" s="10">
        <v>21777000</v>
      </c>
      <c r="CS28" s="10"/>
      <c r="CT28" s="10"/>
      <c r="CU28" s="10"/>
      <c r="CV28" s="10"/>
      <c r="CW28" s="10"/>
      <c r="CX28" t="s">
        <v>656</v>
      </c>
    </row>
    <row r="29" spans="1:102" x14ac:dyDescent="0.35">
      <c r="A29" t="s">
        <v>655</v>
      </c>
      <c r="B29" s="22">
        <v>44926</v>
      </c>
      <c r="C29">
        <v>2022</v>
      </c>
      <c r="D29" t="s">
        <v>212</v>
      </c>
      <c r="E29" s="41"/>
      <c r="F29" t="s">
        <v>213</v>
      </c>
      <c r="H29" s="10">
        <v>251073000</v>
      </c>
      <c r="O29" s="10">
        <v>-75101000</v>
      </c>
      <c r="Q29" s="10">
        <v>0</v>
      </c>
      <c r="S29" s="10">
        <v>18176000</v>
      </c>
      <c r="V29" s="10">
        <v>-78367000</v>
      </c>
      <c r="W29" s="10">
        <v>-60191000</v>
      </c>
      <c r="Y29" s="10">
        <v>-75101000</v>
      </c>
      <c r="Z29" s="10">
        <v>188881000</v>
      </c>
      <c r="AE29" s="10">
        <v>3993000</v>
      </c>
      <c r="AH29" s="10">
        <v>175972000</v>
      </c>
      <c r="AI29" s="10">
        <v>516779000</v>
      </c>
      <c r="AJ29" s="10">
        <v>230000</v>
      </c>
      <c r="AK29" s="10">
        <v>-28832000</v>
      </c>
      <c r="AO29" s="10">
        <v>-592110000</v>
      </c>
      <c r="AP29" s="10">
        <v>188881000</v>
      </c>
      <c r="AQ29" s="10">
        <v>715923000</v>
      </c>
      <c r="AR29" s="10">
        <v>715923000</v>
      </c>
      <c r="AS29" s="10">
        <v>-231042000</v>
      </c>
      <c r="AU29" s="10">
        <v>188881000</v>
      </c>
      <c r="AW29" s="10">
        <v>41502000</v>
      </c>
      <c r="AX29" s="10">
        <v>41911000</v>
      </c>
      <c r="AY29" s="10">
        <v>-717384000</v>
      </c>
      <c r="AZ29" s="10">
        <v>484881000</v>
      </c>
      <c r="BA29" s="10">
        <v>484881000</v>
      </c>
      <c r="BB29" s="10">
        <v>-13031000</v>
      </c>
      <c r="BC29" s="10">
        <v>15210000</v>
      </c>
      <c r="BF29" s="10">
        <v>230000</v>
      </c>
      <c r="BI29" s="10">
        <v>60987000</v>
      </c>
      <c r="BM29" s="10">
        <v>-857127000</v>
      </c>
      <c r="BO29" s="10">
        <v>-231042000</v>
      </c>
      <c r="BR29" s="10">
        <v>139743000</v>
      </c>
      <c r="BT29" s="41"/>
      <c r="BW29"/>
      <c r="CA29" s="10">
        <v>-132198000</v>
      </c>
      <c r="CE29" s="10">
        <v>-132198000</v>
      </c>
      <c r="CF29" s="10">
        <v>3993000</v>
      </c>
      <c r="CJ29" s="41"/>
      <c r="CK29" s="41"/>
      <c r="CO29" s="41">
        <v>2022</v>
      </c>
      <c r="CR29" s="10">
        <v>110064000</v>
      </c>
      <c r="CS29" s="10"/>
      <c r="CT29" s="10"/>
      <c r="CU29" s="10"/>
      <c r="CV29" s="10"/>
      <c r="CW29" s="10"/>
      <c r="CX29" t="s">
        <v>656</v>
      </c>
    </row>
    <row r="30" spans="1:102" x14ac:dyDescent="0.35">
      <c r="A30" t="s">
        <v>655</v>
      </c>
      <c r="B30" s="22">
        <v>45291</v>
      </c>
      <c r="C30">
        <v>2023</v>
      </c>
      <c r="D30" t="s">
        <v>212</v>
      </c>
      <c r="E30" s="41"/>
      <c r="F30" t="s">
        <v>213</v>
      </c>
      <c r="H30" s="10">
        <v>175972000</v>
      </c>
      <c r="O30" s="10">
        <v>-100890000</v>
      </c>
      <c r="Q30" s="10">
        <v>0</v>
      </c>
      <c r="S30" s="10">
        <v>48485000</v>
      </c>
      <c r="V30" s="10">
        <v>7433000</v>
      </c>
      <c r="W30" s="10">
        <v>55918000</v>
      </c>
      <c r="Y30" s="10">
        <v>-100890000</v>
      </c>
      <c r="Z30" s="10">
        <v>492377000</v>
      </c>
      <c r="AE30" s="10">
        <v>3127000</v>
      </c>
      <c r="AH30" s="10">
        <v>75082000</v>
      </c>
      <c r="AI30" s="10">
        <v>1792224000</v>
      </c>
      <c r="AJ30" s="10">
        <v>99689000</v>
      </c>
      <c r="AK30" s="10">
        <v>-42237000</v>
      </c>
      <c r="AO30" s="10">
        <v>-1992803000</v>
      </c>
      <c r="AP30" s="10">
        <v>492377000</v>
      </c>
      <c r="AQ30" s="10">
        <v>2524500000</v>
      </c>
      <c r="AR30" s="10">
        <v>2524500000</v>
      </c>
      <c r="AS30" s="10">
        <v>-1046667000</v>
      </c>
      <c r="AU30" s="10">
        <v>492377000</v>
      </c>
      <c r="AW30" s="10">
        <v>148836000</v>
      </c>
      <c r="AX30" s="10">
        <v>150757000</v>
      </c>
      <c r="AY30" s="10">
        <v>-2017258000</v>
      </c>
      <c r="AZ30" s="10">
        <v>1477833000</v>
      </c>
      <c r="BA30" s="10">
        <v>1477833000</v>
      </c>
      <c r="BB30" s="10">
        <v>4694000</v>
      </c>
      <c r="BC30" s="10">
        <v>-5685000</v>
      </c>
      <c r="BF30" s="10">
        <v>99689000</v>
      </c>
      <c r="BI30" s="10">
        <v>-64849000</v>
      </c>
      <c r="BM30" s="10">
        <v>-2222676000</v>
      </c>
      <c r="BO30" s="10">
        <v>-1046667000</v>
      </c>
      <c r="BR30" s="10">
        <v>205418000</v>
      </c>
      <c r="BT30" s="41"/>
      <c r="BW30"/>
      <c r="CA30" s="10">
        <v>-159786000</v>
      </c>
      <c r="CE30" s="10">
        <v>-159786000</v>
      </c>
      <c r="CF30" s="10">
        <v>3127000</v>
      </c>
      <c r="CJ30" s="41"/>
      <c r="CK30" s="41"/>
      <c r="CO30" s="41">
        <v>2023</v>
      </c>
      <c r="CR30" s="10">
        <v>30140000</v>
      </c>
      <c r="CS30" s="10"/>
      <c r="CT30" s="10"/>
      <c r="CU30" s="10"/>
      <c r="CV30" s="10"/>
      <c r="CW30" s="10"/>
      <c r="CX30" t="s">
        <v>656</v>
      </c>
    </row>
    <row r="31" spans="1:102" x14ac:dyDescent="0.35">
      <c r="A31" t="s">
        <v>655</v>
      </c>
      <c r="B31" s="22">
        <v>45473</v>
      </c>
      <c r="C31">
        <v>2024</v>
      </c>
      <c r="D31" t="s">
        <v>214</v>
      </c>
      <c r="E31" s="41"/>
      <c r="F31" t="s">
        <v>213</v>
      </c>
      <c r="H31" s="10">
        <v>151778000</v>
      </c>
      <c r="O31" s="10">
        <v>9570000</v>
      </c>
      <c r="Q31" s="10">
        <v>0</v>
      </c>
      <c r="S31" s="10">
        <v>109019000</v>
      </c>
      <c r="V31" s="10">
        <v>-69579000</v>
      </c>
      <c r="W31" s="10">
        <v>39440000</v>
      </c>
      <c r="Y31" s="10">
        <v>9570000</v>
      </c>
      <c r="Z31" s="10">
        <v>216797000</v>
      </c>
      <c r="AE31" s="10">
        <v>1780000</v>
      </c>
      <c r="AH31" s="10">
        <v>161348000</v>
      </c>
      <c r="AI31" s="10">
        <v>1098685000</v>
      </c>
      <c r="AJ31" s="10">
        <v>30077000</v>
      </c>
      <c r="AK31" s="10">
        <v>-74298000</v>
      </c>
      <c r="AO31" s="10">
        <v>-1119192000</v>
      </c>
      <c r="AP31" s="10">
        <v>216797000</v>
      </c>
      <c r="AQ31" s="10">
        <v>3203792000</v>
      </c>
      <c r="AR31" s="10">
        <v>3203792000</v>
      </c>
      <c r="AS31" s="10">
        <v>-2129583000</v>
      </c>
      <c r="AU31" s="10">
        <v>216797000</v>
      </c>
      <c r="AW31" s="10">
        <v>260774000</v>
      </c>
      <c r="AX31" s="10">
        <v>264129000</v>
      </c>
      <c r="AY31" s="10">
        <v>-870847000</v>
      </c>
      <c r="AZ31" s="10">
        <v>1074209000</v>
      </c>
      <c r="BA31" s="10">
        <v>1074209000</v>
      </c>
      <c r="BB31" s="10">
        <v>30300000</v>
      </c>
      <c r="BC31" s="10">
        <v>-548863000</v>
      </c>
      <c r="BF31" s="10">
        <v>30077000</v>
      </c>
      <c r="BI31" s="10">
        <v>-220038000</v>
      </c>
      <c r="BM31" s="10">
        <v>-870847000</v>
      </c>
      <c r="BO31" s="10">
        <v>-2129583000</v>
      </c>
      <c r="BR31" s="10">
        <v>695517000</v>
      </c>
      <c r="BT31" s="41"/>
      <c r="BW31"/>
      <c r="CA31" s="10">
        <v>-180937000</v>
      </c>
      <c r="CE31" s="10">
        <v>-180937000</v>
      </c>
      <c r="CF31" s="10">
        <v>1780000</v>
      </c>
      <c r="CJ31" s="41"/>
      <c r="CK31" s="41"/>
      <c r="CO31" s="41">
        <v>2024</v>
      </c>
      <c r="CR31" s="10">
        <v>37363000</v>
      </c>
      <c r="CS31" s="10"/>
      <c r="CT31" s="10"/>
      <c r="CU31" s="10"/>
      <c r="CV31" s="10"/>
      <c r="CW31" s="10"/>
      <c r="CX31" t="s">
        <v>656</v>
      </c>
    </row>
    <row r="32" spans="1:102" x14ac:dyDescent="0.35">
      <c r="A32" t="s">
        <v>657</v>
      </c>
      <c r="B32" s="22">
        <v>43830</v>
      </c>
      <c r="C32">
        <v>2019</v>
      </c>
      <c r="D32" t="s">
        <v>212</v>
      </c>
      <c r="E32" s="41"/>
      <c r="F32" t="s">
        <v>213</v>
      </c>
      <c r="V32" s="10">
        <v>20324000</v>
      </c>
      <c r="X32" s="10">
        <v>20324000</v>
      </c>
      <c r="BT32" s="41"/>
      <c r="BW32"/>
      <c r="CJ32" s="41"/>
      <c r="CK32" s="41"/>
      <c r="CM32" s="10">
        <v>-1300000</v>
      </c>
      <c r="CO32" s="41">
        <v>2019</v>
      </c>
      <c r="CR32" s="10"/>
      <c r="CS32" s="10"/>
      <c r="CT32" s="10"/>
      <c r="CU32" s="10"/>
      <c r="CV32" s="10"/>
      <c r="CW32" s="10"/>
      <c r="CX32" t="s">
        <v>658</v>
      </c>
    </row>
    <row r="33" spans="1:102" x14ac:dyDescent="0.35">
      <c r="A33" t="s">
        <v>657</v>
      </c>
      <c r="B33" s="22">
        <v>44196</v>
      </c>
      <c r="C33">
        <v>2020</v>
      </c>
      <c r="D33" t="s">
        <v>212</v>
      </c>
      <c r="E33" s="41"/>
      <c r="F33" t="s">
        <v>213</v>
      </c>
      <c r="H33" s="10">
        <v>140832000</v>
      </c>
      <c r="I33" s="10">
        <v>-24000</v>
      </c>
      <c r="J33" s="10">
        <v>-328478000</v>
      </c>
      <c r="K33" s="10">
        <v>93031000</v>
      </c>
      <c r="L33" s="10">
        <v>238767000</v>
      </c>
      <c r="O33" s="10">
        <v>3320000</v>
      </c>
      <c r="P33" s="10">
        <v>2713000</v>
      </c>
      <c r="T33" s="10">
        <v>-4115000</v>
      </c>
      <c r="V33" s="10">
        <v>6628000</v>
      </c>
      <c r="W33" s="10">
        <v>26719000</v>
      </c>
      <c r="X33" s="10">
        <v>6628000</v>
      </c>
      <c r="Y33" s="10">
        <v>3320000</v>
      </c>
      <c r="AA33" s="10">
        <v>-1215000</v>
      </c>
      <c r="AD33" s="10">
        <v>1784000</v>
      </c>
      <c r="AE33" s="10">
        <v>1784000</v>
      </c>
      <c r="AH33" s="10">
        <v>144152000</v>
      </c>
      <c r="AI33" s="10">
        <v>-328478000</v>
      </c>
      <c r="AJ33" s="10">
        <v>238743000</v>
      </c>
      <c r="AN33" s="10">
        <v>93571000</v>
      </c>
      <c r="AO33" s="10">
        <v>93031000</v>
      </c>
      <c r="AQ33" s="10">
        <v>721293000</v>
      </c>
      <c r="AR33" s="10">
        <v>721293000</v>
      </c>
      <c r="AS33" s="10">
        <v>-1027373000</v>
      </c>
      <c r="AU33" s="10">
        <v>-1215000</v>
      </c>
      <c r="AW33" s="10">
        <v>21677000</v>
      </c>
      <c r="AX33" s="10">
        <v>21677000</v>
      </c>
      <c r="AZ33" s="10">
        <v>-322351000</v>
      </c>
      <c r="BA33" s="10">
        <v>-306080000</v>
      </c>
      <c r="BB33" s="10">
        <v>-5861000</v>
      </c>
      <c r="BC33" s="10">
        <v>3746000</v>
      </c>
      <c r="BD33" s="10">
        <v>-24000</v>
      </c>
      <c r="BF33" s="10">
        <v>238767000</v>
      </c>
      <c r="BI33" s="10">
        <v>134909000</v>
      </c>
      <c r="BK33" s="10">
        <v>949000</v>
      </c>
      <c r="BN33" s="10">
        <v>-24000</v>
      </c>
      <c r="BO33" s="10">
        <v>-1043644000</v>
      </c>
      <c r="BP33" s="10">
        <v>-1215000</v>
      </c>
      <c r="BT33" s="41"/>
      <c r="BU33" s="10">
        <v>1935000</v>
      </c>
      <c r="BV33" s="10">
        <v>29528000</v>
      </c>
      <c r="BW33"/>
      <c r="CH33" s="10">
        <v>-16271000</v>
      </c>
      <c r="CJ33" s="41"/>
      <c r="CK33" s="41"/>
      <c r="CM33" s="10">
        <v>-16271000</v>
      </c>
      <c r="CO33" s="41">
        <v>2020</v>
      </c>
      <c r="CR33" s="10"/>
      <c r="CS33" s="10"/>
      <c r="CT33" s="10"/>
      <c r="CU33" s="10"/>
      <c r="CV33" s="10"/>
      <c r="CW33" s="10"/>
      <c r="CX33" t="s">
        <v>658</v>
      </c>
    </row>
    <row r="34" spans="1:102" x14ac:dyDescent="0.35">
      <c r="A34" t="s">
        <v>657</v>
      </c>
      <c r="B34" s="22">
        <v>44561</v>
      </c>
      <c r="C34">
        <v>2021</v>
      </c>
      <c r="D34" t="s">
        <v>212</v>
      </c>
      <c r="E34" s="41"/>
      <c r="F34" t="s">
        <v>213</v>
      </c>
      <c r="H34" s="10">
        <v>144152000</v>
      </c>
      <c r="I34" s="10">
        <v>-1976000</v>
      </c>
      <c r="J34" s="10">
        <v>-50440000</v>
      </c>
      <c r="K34" s="10">
        <v>-115358000</v>
      </c>
      <c r="L34" s="10">
        <v>198194000</v>
      </c>
      <c r="O34" s="10">
        <v>32396000</v>
      </c>
      <c r="P34" s="10">
        <v>-1039000</v>
      </c>
      <c r="T34" s="10">
        <v>7485000</v>
      </c>
      <c r="V34" s="10">
        <v>2748000</v>
      </c>
      <c r="W34" s="10">
        <v>15383000</v>
      </c>
      <c r="X34" s="10">
        <v>2748000</v>
      </c>
      <c r="Y34" s="10">
        <v>32396000</v>
      </c>
      <c r="AA34" s="10">
        <v>-25676000</v>
      </c>
      <c r="AD34" s="10">
        <v>1675000</v>
      </c>
      <c r="AE34" s="10">
        <v>1675000</v>
      </c>
      <c r="AH34" s="10">
        <v>176548000</v>
      </c>
      <c r="AI34" s="10">
        <v>-50440000</v>
      </c>
      <c r="AJ34" s="10">
        <v>196218000</v>
      </c>
      <c r="AM34" s="10">
        <v>14253000</v>
      </c>
      <c r="AN34" s="10">
        <v>69476000</v>
      </c>
      <c r="AO34" s="10">
        <v>-115358000</v>
      </c>
      <c r="AQ34" s="10">
        <v>1147470000</v>
      </c>
      <c r="AR34" s="10">
        <v>1147470000</v>
      </c>
      <c r="AS34" s="10">
        <v>-1155966000</v>
      </c>
      <c r="AU34" s="10">
        <v>-25676000</v>
      </c>
      <c r="AW34" s="10">
        <v>47524000</v>
      </c>
      <c r="AX34" s="10">
        <v>47524000</v>
      </c>
      <c r="AZ34" s="10">
        <v>-22999000</v>
      </c>
      <c r="BA34" s="10">
        <v>-8496000</v>
      </c>
      <c r="BB34" s="10">
        <v>-7813000</v>
      </c>
      <c r="BC34" s="10">
        <v>1329000</v>
      </c>
      <c r="BD34" s="10">
        <v>-1976000</v>
      </c>
      <c r="BF34" s="10">
        <v>198194000</v>
      </c>
      <c r="BI34" s="10">
        <v>134671000</v>
      </c>
      <c r="BK34" s="10">
        <v>6048000</v>
      </c>
      <c r="BN34" s="10">
        <v>-1976000</v>
      </c>
      <c r="BO34" s="10">
        <v>-1155966000</v>
      </c>
      <c r="BP34" s="10">
        <v>-25676000</v>
      </c>
      <c r="BT34" s="41"/>
      <c r="BU34" s="10">
        <v>2000000</v>
      </c>
      <c r="BV34" s="10">
        <v>4417000</v>
      </c>
      <c r="BW34"/>
      <c r="CH34" s="10">
        <v>-14503000</v>
      </c>
      <c r="CJ34" s="41"/>
      <c r="CK34" s="41"/>
      <c r="CM34" s="10">
        <v>-14503000</v>
      </c>
      <c r="CO34" s="41">
        <v>2021</v>
      </c>
      <c r="CR34" s="10"/>
      <c r="CS34" s="10"/>
      <c r="CT34" s="10"/>
      <c r="CU34" s="10"/>
      <c r="CV34" s="10"/>
      <c r="CW34" s="10"/>
      <c r="CX34" t="s">
        <v>658</v>
      </c>
    </row>
    <row r="35" spans="1:102" x14ac:dyDescent="0.35">
      <c r="A35" t="s">
        <v>657</v>
      </c>
      <c r="B35" s="22">
        <v>44834</v>
      </c>
      <c r="C35">
        <v>2022</v>
      </c>
      <c r="D35" t="s">
        <v>214</v>
      </c>
      <c r="E35" s="41"/>
      <c r="F35" t="s">
        <v>213</v>
      </c>
      <c r="H35" s="10">
        <v>173765000</v>
      </c>
      <c r="I35" s="10">
        <v>-2207000</v>
      </c>
      <c r="J35" s="10">
        <v>430787000</v>
      </c>
      <c r="K35" s="10">
        <v>-631708000</v>
      </c>
      <c r="L35" s="10">
        <v>199862000</v>
      </c>
      <c r="O35" s="10">
        <v>-1059000</v>
      </c>
      <c r="P35" s="10">
        <v>-7164000</v>
      </c>
      <c r="T35" s="10">
        <v>11010000</v>
      </c>
      <c r="V35" s="10">
        <v>2154000</v>
      </c>
      <c r="W35" s="10">
        <v>16796000</v>
      </c>
      <c r="X35" s="10">
        <v>2154000</v>
      </c>
      <c r="Y35" s="10">
        <v>-1059000</v>
      </c>
      <c r="AA35" s="10">
        <v>-63252000</v>
      </c>
      <c r="AD35" s="10">
        <v>1628000</v>
      </c>
      <c r="AE35" s="10">
        <v>1628000</v>
      </c>
      <c r="AH35" s="10">
        <v>172706000</v>
      </c>
      <c r="AI35" s="10">
        <v>430787000</v>
      </c>
      <c r="AJ35" s="10">
        <v>197655000</v>
      </c>
      <c r="AM35" s="10">
        <v>19233000</v>
      </c>
      <c r="AN35" s="10">
        <v>66845000</v>
      </c>
      <c r="AO35" s="10">
        <v>-631708000</v>
      </c>
      <c r="AQ35" s="10">
        <v>1446808000</v>
      </c>
      <c r="AR35" s="10">
        <v>1446808000</v>
      </c>
      <c r="AS35" s="10">
        <v>-1105943000</v>
      </c>
      <c r="AU35" s="10">
        <v>-63252000</v>
      </c>
      <c r="AW35" s="10">
        <v>90813000</v>
      </c>
      <c r="AX35" s="10">
        <v>90813000</v>
      </c>
      <c r="AZ35" s="10">
        <v>487928000</v>
      </c>
      <c r="BA35" s="10">
        <v>340865000</v>
      </c>
      <c r="BB35" s="10">
        <v>-12468000</v>
      </c>
      <c r="BC35" s="10">
        <v>1456000</v>
      </c>
      <c r="BD35" s="10">
        <v>-2207000</v>
      </c>
      <c r="BF35" s="10">
        <v>199862000</v>
      </c>
      <c r="BI35" s="10">
        <v>111293000</v>
      </c>
      <c r="BK35" s="10">
        <v>18579000</v>
      </c>
      <c r="BN35" s="10">
        <v>-2207000</v>
      </c>
      <c r="BO35" s="10">
        <v>-1120446000</v>
      </c>
      <c r="BP35" s="10">
        <v>-63252000</v>
      </c>
      <c r="BT35" s="41"/>
      <c r="BU35" s="10">
        <v>3701000</v>
      </c>
      <c r="BW35"/>
      <c r="CH35" s="10">
        <v>147063000</v>
      </c>
      <c r="CJ35" s="41"/>
      <c r="CK35" s="41"/>
      <c r="CO35" s="41">
        <v>2022</v>
      </c>
      <c r="CR35" s="10"/>
      <c r="CS35" s="10"/>
      <c r="CT35" s="10"/>
      <c r="CU35" s="10"/>
      <c r="CV35" s="10"/>
      <c r="CW35" s="10"/>
      <c r="CX35" t="s">
        <v>658</v>
      </c>
    </row>
    <row r="36" spans="1:102" x14ac:dyDescent="0.35">
      <c r="A36" t="s">
        <v>657</v>
      </c>
      <c r="B36" s="22">
        <v>44926</v>
      </c>
      <c r="C36">
        <v>2022</v>
      </c>
      <c r="D36" t="s">
        <v>212</v>
      </c>
      <c r="E36" s="41"/>
      <c r="F36" t="s">
        <v>213</v>
      </c>
      <c r="H36" s="10">
        <v>176548000</v>
      </c>
      <c r="I36" s="10">
        <v>-2149000</v>
      </c>
      <c r="J36" s="10">
        <v>484209000</v>
      </c>
      <c r="K36" s="10">
        <v>-713900000</v>
      </c>
      <c r="L36" s="10">
        <v>215932000</v>
      </c>
      <c r="O36" s="10">
        <v>-13759000</v>
      </c>
      <c r="P36" s="10">
        <v>4171000</v>
      </c>
      <c r="T36" s="10">
        <v>10364000</v>
      </c>
      <c r="V36" s="10">
        <v>1620000</v>
      </c>
      <c r="W36" s="10">
        <v>23933000</v>
      </c>
      <c r="X36" s="10">
        <v>1620000</v>
      </c>
      <c r="Y36" s="10">
        <v>-13759000</v>
      </c>
      <c r="AA36" s="10">
        <v>-46096000</v>
      </c>
      <c r="AD36" s="10">
        <v>1618000</v>
      </c>
      <c r="AE36" s="10">
        <v>1618000</v>
      </c>
      <c r="AH36" s="10">
        <v>162789000</v>
      </c>
      <c r="AI36" s="10">
        <v>484209000</v>
      </c>
      <c r="AJ36" s="10">
        <v>213783000</v>
      </c>
      <c r="AM36" s="10">
        <v>16182000</v>
      </c>
      <c r="AN36" s="10">
        <v>76696000</v>
      </c>
      <c r="AO36" s="10">
        <v>-713900000</v>
      </c>
      <c r="AQ36" s="10">
        <v>1415022000</v>
      </c>
      <c r="AR36" s="10">
        <v>1415022000</v>
      </c>
      <c r="AS36" s="10">
        <v>-1069563000</v>
      </c>
      <c r="AU36" s="10">
        <v>-46096000</v>
      </c>
      <c r="AW36" s="10">
        <v>85983000</v>
      </c>
      <c r="AX36" s="10">
        <v>85983000</v>
      </c>
      <c r="AZ36" s="10">
        <v>527327000</v>
      </c>
      <c r="BA36" s="10">
        <v>345459000</v>
      </c>
      <c r="BB36" s="10">
        <v>-12299000</v>
      </c>
      <c r="BC36" s="10">
        <v>1899000</v>
      </c>
      <c r="BD36" s="10">
        <v>-2149000</v>
      </c>
      <c r="BF36" s="10">
        <v>215932000</v>
      </c>
      <c r="BI36" s="10">
        <v>135147000</v>
      </c>
      <c r="BK36" s="10">
        <v>15277000</v>
      </c>
      <c r="BN36" s="10">
        <v>-2149000</v>
      </c>
      <c r="BO36" s="10">
        <v>-1069563000</v>
      </c>
      <c r="BP36" s="10">
        <v>-46096000</v>
      </c>
      <c r="BT36" s="41"/>
      <c r="BU36" s="10">
        <v>4427000</v>
      </c>
      <c r="BV36" s="10">
        <v>-15283000</v>
      </c>
      <c r="BW36"/>
      <c r="CH36" s="10">
        <v>181868000</v>
      </c>
      <c r="CJ36" s="41"/>
      <c r="CK36" s="41"/>
      <c r="CO36" s="41">
        <v>2022</v>
      </c>
      <c r="CR36" s="10"/>
      <c r="CS36" s="10"/>
      <c r="CT36" s="10"/>
      <c r="CU36" s="10"/>
      <c r="CV36" s="10"/>
      <c r="CW36" s="10"/>
      <c r="CX36" t="s">
        <v>658</v>
      </c>
    </row>
    <row r="37" spans="1:102" x14ac:dyDescent="0.35">
      <c r="A37" t="s">
        <v>657</v>
      </c>
      <c r="B37" s="22">
        <v>45291</v>
      </c>
      <c r="C37">
        <v>2023</v>
      </c>
      <c r="D37" t="s">
        <v>212</v>
      </c>
      <c r="E37" s="41"/>
      <c r="F37" t="s">
        <v>213</v>
      </c>
      <c r="H37" s="10">
        <v>162789000</v>
      </c>
      <c r="I37" s="10">
        <v>-559000</v>
      </c>
      <c r="J37" s="10">
        <v>84194000</v>
      </c>
      <c r="K37" s="10">
        <v>-359532000</v>
      </c>
      <c r="L37" s="10">
        <v>237980000</v>
      </c>
      <c r="O37" s="10">
        <v>-37358000</v>
      </c>
      <c r="P37" s="10">
        <v>4667000</v>
      </c>
      <c r="T37" s="10">
        <v>8287000</v>
      </c>
      <c r="W37" s="10">
        <v>19395000</v>
      </c>
      <c r="Y37" s="10">
        <v>-37358000</v>
      </c>
      <c r="AA37" s="10">
        <v>-20273000</v>
      </c>
      <c r="AD37" s="10">
        <v>847000</v>
      </c>
      <c r="AE37" s="10">
        <v>847000</v>
      </c>
      <c r="AH37" s="10">
        <v>125431000</v>
      </c>
      <c r="AI37" s="10">
        <v>84194000</v>
      </c>
      <c r="AJ37" s="10">
        <v>237421000</v>
      </c>
      <c r="AM37" s="10">
        <v>3552000</v>
      </c>
      <c r="AN37" s="10">
        <v>135203000</v>
      </c>
      <c r="AO37" s="10">
        <v>-359532000</v>
      </c>
      <c r="AQ37" s="10">
        <v>1235534000</v>
      </c>
      <c r="AR37" s="10">
        <v>1235534000</v>
      </c>
      <c r="AS37" s="10">
        <v>-1086507000</v>
      </c>
      <c r="AU37" s="10">
        <v>-20273000</v>
      </c>
      <c r="AW37" s="10">
        <v>45343000</v>
      </c>
      <c r="AX37" s="10">
        <v>45343000</v>
      </c>
      <c r="AZ37" s="10">
        <v>95774000</v>
      </c>
      <c r="BA37" s="10">
        <v>149027000</v>
      </c>
      <c r="BB37" s="10">
        <v>-7888000</v>
      </c>
      <c r="BC37" s="10">
        <v>446000</v>
      </c>
      <c r="BD37" s="10">
        <v>-559000</v>
      </c>
      <c r="BF37" s="10">
        <v>237980000</v>
      </c>
      <c r="BI37" s="10">
        <v>193541000</v>
      </c>
      <c r="BK37" s="10">
        <v>16581000</v>
      </c>
      <c r="BN37" s="10">
        <v>-559000</v>
      </c>
      <c r="BO37" s="10">
        <v>-1086507000</v>
      </c>
      <c r="BP37" s="10">
        <v>-20273000</v>
      </c>
      <c r="BT37" s="41"/>
      <c r="BU37" s="10">
        <v>3464000</v>
      </c>
      <c r="BV37" s="10">
        <v>-12000000</v>
      </c>
      <c r="BW37"/>
      <c r="CH37" s="10">
        <v>-53253000</v>
      </c>
      <c r="CJ37" s="41"/>
      <c r="CK37" s="41"/>
      <c r="CO37" s="41">
        <v>2023</v>
      </c>
      <c r="CR37" s="10"/>
      <c r="CS37" s="10"/>
      <c r="CT37" s="10"/>
      <c r="CU37" s="10"/>
      <c r="CV37" s="10"/>
      <c r="CW37" s="10"/>
      <c r="CX37" t="s">
        <v>658</v>
      </c>
    </row>
    <row r="38" spans="1:102" x14ac:dyDescent="0.35">
      <c r="A38" t="s">
        <v>657</v>
      </c>
      <c r="B38" s="22">
        <v>45473</v>
      </c>
      <c r="C38">
        <v>2024</v>
      </c>
      <c r="D38" t="s">
        <v>214</v>
      </c>
      <c r="E38" s="41"/>
      <c r="F38" t="s">
        <v>213</v>
      </c>
      <c r="H38" s="10">
        <v>155144000</v>
      </c>
      <c r="I38" s="10">
        <v>-749000</v>
      </c>
      <c r="J38" s="10">
        <v>382442000</v>
      </c>
      <c r="K38" s="10">
        <v>-484290000</v>
      </c>
      <c r="L38" s="10">
        <v>213315000</v>
      </c>
      <c r="O38" s="10">
        <v>111467000</v>
      </c>
      <c r="P38" s="10">
        <v>-18896000</v>
      </c>
      <c r="T38" s="10">
        <v>10173000</v>
      </c>
      <c r="W38" s="10">
        <v>-3774000</v>
      </c>
      <c r="Y38" s="10">
        <v>111467000</v>
      </c>
      <c r="AA38" s="10">
        <v>-12981000</v>
      </c>
      <c r="AD38" s="10">
        <v>841000</v>
      </c>
      <c r="AE38" s="10">
        <v>841000</v>
      </c>
      <c r="AH38" s="10">
        <v>266611000</v>
      </c>
      <c r="AI38" s="10">
        <v>382442000</v>
      </c>
      <c r="AJ38" s="10">
        <v>212566000</v>
      </c>
      <c r="AM38" s="10">
        <v>8158000</v>
      </c>
      <c r="AN38" s="10">
        <v>155682000</v>
      </c>
      <c r="AO38" s="10">
        <v>-484290000</v>
      </c>
      <c r="AQ38" s="10">
        <v>1670475000</v>
      </c>
      <c r="AR38" s="10">
        <v>1670475000</v>
      </c>
      <c r="AS38" s="10">
        <v>-1105490000</v>
      </c>
      <c r="AU38" s="10">
        <v>-12981000</v>
      </c>
      <c r="AW38" s="10">
        <v>26828000</v>
      </c>
      <c r="AX38" s="10">
        <v>26828000</v>
      </c>
      <c r="AZ38" s="10">
        <v>402104000</v>
      </c>
      <c r="BA38" s="10">
        <v>564985000</v>
      </c>
      <c r="BB38" s="10">
        <v>-13499000</v>
      </c>
      <c r="BC38" s="10">
        <v>284000</v>
      </c>
      <c r="BD38" s="10">
        <v>-749000</v>
      </c>
      <c r="BF38" s="10">
        <v>213315000</v>
      </c>
      <c r="BI38" s="10">
        <v>195384000</v>
      </c>
      <c r="BK38" s="10">
        <v>6818000</v>
      </c>
      <c r="BN38" s="10">
        <v>-749000</v>
      </c>
      <c r="BO38" s="10">
        <v>-1105490000</v>
      </c>
      <c r="BP38" s="10">
        <v>-12981000</v>
      </c>
      <c r="BT38" s="41"/>
      <c r="BU38" s="10">
        <v>3288000</v>
      </c>
      <c r="BW38"/>
      <c r="CH38" s="10">
        <v>-162881000</v>
      </c>
      <c r="CJ38" s="41"/>
      <c r="CK38" s="41"/>
      <c r="CO38" s="41">
        <v>2024</v>
      </c>
      <c r="CR38" s="10"/>
      <c r="CS38" s="10"/>
      <c r="CT38" s="10"/>
      <c r="CU38" s="10"/>
      <c r="CV38" s="10"/>
      <c r="CW38" s="10"/>
      <c r="CX38" t="s">
        <v>658</v>
      </c>
    </row>
    <row r="39" spans="1:102" x14ac:dyDescent="0.35">
      <c r="A39" t="s">
        <v>659</v>
      </c>
      <c r="B39" s="22">
        <v>43830</v>
      </c>
      <c r="C39">
        <v>2019</v>
      </c>
      <c r="D39" t="s">
        <v>212</v>
      </c>
      <c r="E39" s="41"/>
      <c r="F39" t="s">
        <v>213</v>
      </c>
      <c r="R39" s="10">
        <v>983000</v>
      </c>
      <c r="AF39" s="10">
        <v>79000</v>
      </c>
      <c r="AL39" s="10">
        <v>-1000000</v>
      </c>
      <c r="AQ39" s="10">
        <v>35000</v>
      </c>
      <c r="AR39" s="10">
        <v>35000</v>
      </c>
      <c r="BG39" s="10">
        <v>-921000</v>
      </c>
      <c r="BQ39" s="10">
        <v>1000000</v>
      </c>
      <c r="BT39" s="41"/>
      <c r="BW39"/>
      <c r="CJ39" s="41"/>
      <c r="CK39" s="41"/>
      <c r="CO39" s="41">
        <v>2019</v>
      </c>
      <c r="CR39" s="10"/>
      <c r="CS39" s="10"/>
      <c r="CT39" s="10"/>
      <c r="CU39" s="10"/>
      <c r="CV39" s="10"/>
      <c r="CW39" s="10"/>
      <c r="CX39" t="s">
        <v>660</v>
      </c>
    </row>
    <row r="40" spans="1:102" x14ac:dyDescent="0.35">
      <c r="A40" t="s">
        <v>659</v>
      </c>
      <c r="B40" s="22">
        <v>43830</v>
      </c>
      <c r="C40">
        <v>2019</v>
      </c>
      <c r="D40" t="s">
        <v>214</v>
      </c>
      <c r="E40" s="41"/>
      <c r="F40" t="s">
        <v>213</v>
      </c>
      <c r="BG40" s="10">
        <v>-921000</v>
      </c>
      <c r="BT40" s="41"/>
      <c r="BW40"/>
      <c r="CJ40" s="41"/>
      <c r="CK40" s="41"/>
      <c r="CO40" s="41">
        <v>2019</v>
      </c>
      <c r="CR40" s="10"/>
      <c r="CS40" s="10"/>
      <c r="CT40" s="10"/>
      <c r="CU40" s="10"/>
      <c r="CV40" s="10"/>
      <c r="CW40" s="10"/>
      <c r="CX40" t="s">
        <v>660</v>
      </c>
    </row>
    <row r="41" spans="1:102" x14ac:dyDescent="0.35">
      <c r="A41" t="s">
        <v>659</v>
      </c>
      <c r="B41" s="22">
        <v>44196</v>
      </c>
      <c r="C41">
        <v>2020</v>
      </c>
      <c r="D41" t="s">
        <v>212</v>
      </c>
      <c r="E41" s="41"/>
      <c r="F41" t="s">
        <v>213</v>
      </c>
      <c r="H41" s="10">
        <v>9095000</v>
      </c>
      <c r="I41" s="10">
        <v>-9131000</v>
      </c>
      <c r="J41" s="10">
        <v>7086000</v>
      </c>
      <c r="K41" s="10">
        <v>-9442000</v>
      </c>
      <c r="L41" s="10">
        <v>14566000</v>
      </c>
      <c r="M41" s="10">
        <v>-176000</v>
      </c>
      <c r="O41" s="10">
        <v>12210000</v>
      </c>
      <c r="P41" s="10">
        <v>-442000</v>
      </c>
      <c r="Q41" s="10">
        <v>2852000</v>
      </c>
      <c r="R41" s="10">
        <v>2531000</v>
      </c>
      <c r="S41" s="10">
        <v>-176000</v>
      </c>
      <c r="T41" s="10">
        <v>-176000</v>
      </c>
      <c r="V41" s="10">
        <v>-641000</v>
      </c>
      <c r="W41" s="10">
        <v>1593000</v>
      </c>
      <c r="X41" s="10">
        <v>-641000</v>
      </c>
      <c r="Y41" s="10">
        <v>12210000</v>
      </c>
      <c r="Z41" s="10">
        <v>11738000</v>
      </c>
      <c r="AB41" s="10">
        <v>-1275000</v>
      </c>
      <c r="AC41" s="10">
        <v>-1275000</v>
      </c>
      <c r="AD41" s="10">
        <v>9031000</v>
      </c>
      <c r="AE41" s="10">
        <v>9031000</v>
      </c>
      <c r="AF41" s="10">
        <v>0</v>
      </c>
      <c r="AH41" s="10">
        <v>21305000</v>
      </c>
      <c r="AI41" s="10">
        <v>7086000</v>
      </c>
      <c r="AJ41" s="10">
        <v>5435000</v>
      </c>
      <c r="AL41" s="10">
        <v>0</v>
      </c>
      <c r="AO41" s="10">
        <v>-9442000</v>
      </c>
      <c r="AP41" s="10">
        <v>11738000</v>
      </c>
      <c r="AQ41" s="10">
        <v>0</v>
      </c>
      <c r="AR41" s="10">
        <v>0</v>
      </c>
      <c r="AS41" s="10">
        <v>-131000</v>
      </c>
      <c r="AT41" s="10">
        <v>-302000</v>
      </c>
      <c r="AU41" s="10">
        <v>11738000</v>
      </c>
      <c r="AW41" s="10">
        <v>1105000</v>
      </c>
      <c r="AX41" s="10">
        <v>1105000</v>
      </c>
      <c r="AZ41" s="10">
        <v>-131000</v>
      </c>
      <c r="BA41" s="10">
        <v>-131000</v>
      </c>
      <c r="BB41" s="10">
        <v>2018000</v>
      </c>
      <c r="BC41" s="10">
        <v>-9000</v>
      </c>
      <c r="BF41" s="10">
        <v>14566000</v>
      </c>
      <c r="BI41" s="10">
        <v>686000</v>
      </c>
      <c r="BK41" s="10">
        <v>0</v>
      </c>
      <c r="BL41" s="10">
        <v>-302000</v>
      </c>
      <c r="BO41" s="10">
        <v>-131000</v>
      </c>
      <c r="BQ41" s="10">
        <v>0</v>
      </c>
      <c r="BT41" s="41"/>
      <c r="BU41" s="10">
        <v>3286000</v>
      </c>
      <c r="BW41"/>
      <c r="BZ41" s="10">
        <v>-9131000</v>
      </c>
      <c r="CA41" s="10">
        <v>-6539000</v>
      </c>
      <c r="CE41" s="10">
        <v>-6539000</v>
      </c>
      <c r="CJ41" s="41"/>
      <c r="CK41" s="41"/>
      <c r="CO41" s="41">
        <v>2020</v>
      </c>
      <c r="CR41" s="10"/>
      <c r="CS41" s="10"/>
      <c r="CT41" s="10"/>
      <c r="CU41" s="10">
        <v>140000</v>
      </c>
      <c r="CV41" s="10"/>
      <c r="CW41" s="10"/>
      <c r="CX41" t="s">
        <v>660</v>
      </c>
    </row>
    <row r="42" spans="1:102" x14ac:dyDescent="0.35">
      <c r="A42" t="s">
        <v>659</v>
      </c>
      <c r="B42" s="22">
        <v>44561</v>
      </c>
      <c r="C42">
        <v>2021</v>
      </c>
      <c r="D42" t="s">
        <v>212</v>
      </c>
      <c r="E42" s="41"/>
      <c r="F42" t="s">
        <v>213</v>
      </c>
      <c r="H42" s="10">
        <v>21305000</v>
      </c>
      <c r="I42" s="10">
        <v>-18250000</v>
      </c>
      <c r="J42" s="10">
        <v>-7929000</v>
      </c>
      <c r="K42" s="10">
        <v>-20319000</v>
      </c>
      <c r="L42" s="10">
        <v>20386000</v>
      </c>
      <c r="M42" s="10">
        <v>415000</v>
      </c>
      <c r="O42" s="10">
        <v>-7862000</v>
      </c>
      <c r="P42" s="10">
        <v>-1376000</v>
      </c>
      <c r="Q42" s="10">
        <v>5395000</v>
      </c>
      <c r="S42" s="10">
        <v>415000</v>
      </c>
      <c r="T42" s="10">
        <v>415000</v>
      </c>
      <c r="V42" s="10">
        <v>82000</v>
      </c>
      <c r="W42" s="10">
        <v>4516000</v>
      </c>
      <c r="X42" s="10">
        <v>82000</v>
      </c>
      <c r="Y42" s="10">
        <v>-7862000</v>
      </c>
      <c r="Z42" s="10">
        <v>0</v>
      </c>
      <c r="AB42" s="10">
        <v>-307000</v>
      </c>
      <c r="AC42" s="10">
        <v>-307000</v>
      </c>
      <c r="AD42" s="10">
        <v>9490000</v>
      </c>
      <c r="AE42" s="10">
        <v>9490000</v>
      </c>
      <c r="AH42" s="10">
        <v>13443000</v>
      </c>
      <c r="AI42" s="10">
        <v>-7929000</v>
      </c>
      <c r="AJ42" s="10">
        <v>2136000</v>
      </c>
      <c r="AM42" s="10">
        <v>1613000</v>
      </c>
      <c r="AN42" s="10">
        <v>5226000</v>
      </c>
      <c r="AO42" s="10">
        <v>-20319000</v>
      </c>
      <c r="AP42" s="10">
        <v>0</v>
      </c>
      <c r="AS42" s="10">
        <v>-2068000</v>
      </c>
      <c r="AT42" s="10">
        <v>-2068000</v>
      </c>
      <c r="AU42" s="10">
        <v>0</v>
      </c>
      <c r="AW42" s="10">
        <v>3609000</v>
      </c>
      <c r="AX42" s="10">
        <v>3609000</v>
      </c>
      <c r="AZ42" s="10">
        <v>-2068000</v>
      </c>
      <c r="BA42" s="10">
        <v>-2068000</v>
      </c>
      <c r="BB42" s="10">
        <v>744000</v>
      </c>
      <c r="BC42" s="10">
        <v>-1000</v>
      </c>
      <c r="BF42" s="10">
        <v>20386000</v>
      </c>
      <c r="BG42" s="10">
        <v>18000</v>
      </c>
      <c r="BI42" s="10">
        <v>90000</v>
      </c>
      <c r="BK42" s="10">
        <v>4000</v>
      </c>
      <c r="BL42" s="10">
        <v>-2068000</v>
      </c>
      <c r="BO42" s="10">
        <v>-2068000</v>
      </c>
      <c r="BT42" s="41"/>
      <c r="BU42" s="10">
        <v>2884000</v>
      </c>
      <c r="BW42"/>
      <c r="BZ42" s="10">
        <v>-18250000</v>
      </c>
      <c r="CA42" s="10">
        <v>-6609000</v>
      </c>
      <c r="CE42" s="10">
        <v>-6609000</v>
      </c>
      <c r="CF42" s="10">
        <v>9490000</v>
      </c>
      <c r="CG42" s="10">
        <v>18000</v>
      </c>
      <c r="CJ42" s="41"/>
      <c r="CK42" s="41"/>
      <c r="CO42" s="41">
        <v>2021</v>
      </c>
      <c r="CR42" s="10"/>
      <c r="CS42" s="10"/>
      <c r="CT42" s="10"/>
      <c r="CU42" s="10">
        <v>86000</v>
      </c>
      <c r="CV42" s="10"/>
      <c r="CW42" s="10"/>
      <c r="CX42" t="s">
        <v>660</v>
      </c>
    </row>
    <row r="43" spans="1:102" x14ac:dyDescent="0.35">
      <c r="A43" t="s">
        <v>659</v>
      </c>
      <c r="B43" s="22">
        <v>44926</v>
      </c>
      <c r="C43">
        <v>2022</v>
      </c>
      <c r="D43" t="s">
        <v>212</v>
      </c>
      <c r="E43" s="41"/>
      <c r="F43" t="s">
        <v>213</v>
      </c>
      <c r="H43" s="10">
        <v>13443000</v>
      </c>
      <c r="I43" s="10">
        <v>-33984000</v>
      </c>
      <c r="J43" s="10">
        <v>4971000</v>
      </c>
      <c r="K43" s="10">
        <v>-34188000</v>
      </c>
      <c r="L43" s="10">
        <v>23336000</v>
      </c>
      <c r="M43" s="10">
        <v>-1830000</v>
      </c>
      <c r="O43" s="10">
        <v>-5881000</v>
      </c>
      <c r="P43" s="10">
        <v>597000</v>
      </c>
      <c r="Q43" s="10">
        <v>6193000</v>
      </c>
      <c r="S43" s="10">
        <v>-1830000</v>
      </c>
      <c r="T43" s="10">
        <v>-1830000</v>
      </c>
      <c r="V43" s="10">
        <v>-248000</v>
      </c>
      <c r="W43" s="10">
        <v>4712000</v>
      </c>
      <c r="X43" s="10">
        <v>-248000</v>
      </c>
      <c r="Y43" s="10">
        <v>-5881000</v>
      </c>
      <c r="Z43" s="10">
        <v>14812000</v>
      </c>
      <c r="AB43" s="10">
        <v>1367000</v>
      </c>
      <c r="AC43" s="10">
        <v>1367000</v>
      </c>
      <c r="AD43" s="10">
        <v>10071000</v>
      </c>
      <c r="AE43" s="10">
        <v>10071000</v>
      </c>
      <c r="AH43" s="10">
        <v>7562000</v>
      </c>
      <c r="AI43" s="10">
        <v>4971000</v>
      </c>
      <c r="AJ43" s="10">
        <v>-10648000</v>
      </c>
      <c r="AM43" s="10">
        <v>1589000</v>
      </c>
      <c r="AN43" s="10">
        <v>1450000</v>
      </c>
      <c r="AO43" s="10">
        <v>-34188000</v>
      </c>
      <c r="AP43" s="10">
        <v>14812000</v>
      </c>
      <c r="AQ43" s="10">
        <v>259000</v>
      </c>
      <c r="AR43" s="10">
        <v>259000</v>
      </c>
      <c r="AS43" s="10">
        <v>-3833000</v>
      </c>
      <c r="AT43" s="10">
        <v>-180000</v>
      </c>
      <c r="AU43" s="10">
        <v>14812000</v>
      </c>
      <c r="AW43" s="10">
        <v>5506000</v>
      </c>
      <c r="AX43" s="10">
        <v>5506000</v>
      </c>
      <c r="AZ43" s="10">
        <v>-3574000</v>
      </c>
      <c r="BA43" s="10">
        <v>-3574000</v>
      </c>
      <c r="BB43" s="10">
        <v>619000</v>
      </c>
      <c r="BC43" s="10">
        <v>-24000</v>
      </c>
      <c r="BF43" s="10">
        <v>23336000</v>
      </c>
      <c r="BG43" s="10">
        <v>4000</v>
      </c>
      <c r="BI43" s="10">
        <v>44000</v>
      </c>
      <c r="BK43" s="10">
        <v>3000</v>
      </c>
      <c r="BL43" s="10">
        <v>-180000</v>
      </c>
      <c r="BO43" s="10">
        <v>-3833000</v>
      </c>
      <c r="BT43" s="41"/>
      <c r="BU43" s="10">
        <v>1529000</v>
      </c>
      <c r="BW43"/>
      <c r="BZ43" s="10">
        <v>-33984000</v>
      </c>
      <c r="CA43" s="10">
        <v>-6889000</v>
      </c>
      <c r="CE43" s="10">
        <v>-6889000</v>
      </c>
      <c r="CF43" s="10">
        <v>10071000</v>
      </c>
      <c r="CG43" s="10">
        <v>4000</v>
      </c>
      <c r="CJ43" s="41"/>
      <c r="CK43" s="41"/>
      <c r="CO43" s="41">
        <v>2022</v>
      </c>
      <c r="CR43" s="10"/>
      <c r="CS43" s="10"/>
      <c r="CT43" s="10"/>
      <c r="CU43" s="10">
        <v>103000</v>
      </c>
      <c r="CV43" s="10"/>
      <c r="CW43" s="10"/>
      <c r="CX43" t="s">
        <v>660</v>
      </c>
    </row>
    <row r="44" spans="1:102" x14ac:dyDescent="0.35">
      <c r="A44" t="s">
        <v>659</v>
      </c>
      <c r="B44" s="22">
        <v>45291</v>
      </c>
      <c r="C44">
        <v>2023</v>
      </c>
      <c r="D44" t="s">
        <v>212</v>
      </c>
      <c r="E44" s="41"/>
      <c r="F44" t="s">
        <v>213</v>
      </c>
      <c r="H44" s="10">
        <v>7562000</v>
      </c>
      <c r="I44" s="10">
        <v>-22312000</v>
      </c>
      <c r="J44" s="10">
        <v>406000</v>
      </c>
      <c r="K44" s="10">
        <v>-28598000</v>
      </c>
      <c r="L44" s="10">
        <v>25393000</v>
      </c>
      <c r="M44" s="10">
        <v>-635000</v>
      </c>
      <c r="O44" s="10">
        <v>-2799000</v>
      </c>
      <c r="P44" s="10">
        <v>20000</v>
      </c>
      <c r="Q44" s="10">
        <v>3199000</v>
      </c>
      <c r="S44" s="10">
        <v>-635000</v>
      </c>
      <c r="T44" s="10">
        <v>-635000</v>
      </c>
      <c r="V44" s="10">
        <v>-702000</v>
      </c>
      <c r="W44" s="10">
        <v>1882000</v>
      </c>
      <c r="X44" s="10">
        <v>-702000</v>
      </c>
      <c r="Y44" s="10">
        <v>-2799000</v>
      </c>
      <c r="Z44" s="10">
        <v>2748000</v>
      </c>
      <c r="AB44" s="10">
        <v>2394000</v>
      </c>
      <c r="AC44" s="10">
        <v>2394000</v>
      </c>
      <c r="AD44" s="10">
        <v>11761000</v>
      </c>
      <c r="AE44" s="10">
        <v>11761000</v>
      </c>
      <c r="AH44" s="10">
        <v>4763000</v>
      </c>
      <c r="AI44" s="10">
        <v>406000</v>
      </c>
      <c r="AJ44" s="10">
        <v>3081000</v>
      </c>
      <c r="AM44" s="10">
        <v>706000</v>
      </c>
      <c r="AN44" s="10">
        <v>4686000</v>
      </c>
      <c r="AO44" s="10">
        <v>-28598000</v>
      </c>
      <c r="AP44" s="10">
        <v>2748000</v>
      </c>
      <c r="AQ44" s="10">
        <v>2575000</v>
      </c>
      <c r="AR44" s="10">
        <v>2575000</v>
      </c>
      <c r="AS44" s="10">
        <v>-4387000</v>
      </c>
      <c r="AT44" s="10">
        <v>-6246000</v>
      </c>
      <c r="AU44" s="10">
        <v>2748000</v>
      </c>
      <c r="AW44" s="10">
        <v>7982000</v>
      </c>
      <c r="AX44" s="10">
        <v>7982000</v>
      </c>
      <c r="AZ44" s="10">
        <v>-1812000</v>
      </c>
      <c r="BA44" s="10">
        <v>-1812000</v>
      </c>
      <c r="BB44" s="10">
        <v>6646000</v>
      </c>
      <c r="BC44" s="10">
        <v>-40000</v>
      </c>
      <c r="BF44" s="10">
        <v>25393000</v>
      </c>
      <c r="BG44" s="10">
        <v>-63000</v>
      </c>
      <c r="BI44" s="10">
        <v>44000</v>
      </c>
      <c r="BK44" s="10">
        <v>9000</v>
      </c>
      <c r="BL44" s="10">
        <v>-6246000</v>
      </c>
      <c r="BO44" s="10">
        <v>-4387000</v>
      </c>
      <c r="BT44" s="41"/>
      <c r="BU44" s="10">
        <v>1325000</v>
      </c>
      <c r="BW44"/>
      <c r="BZ44" s="10">
        <v>-22312000</v>
      </c>
      <c r="CA44" s="10">
        <v>-7185000</v>
      </c>
      <c r="CE44" s="10">
        <v>-7185000</v>
      </c>
      <c r="CF44" s="10">
        <v>11761000</v>
      </c>
      <c r="CG44" s="10">
        <v>-63000</v>
      </c>
      <c r="CJ44" s="41"/>
      <c r="CK44" s="41"/>
      <c r="CO44" s="41">
        <v>2023</v>
      </c>
      <c r="CR44" s="10"/>
      <c r="CS44" s="10"/>
      <c r="CT44" s="10"/>
      <c r="CU44" s="10">
        <v>68000</v>
      </c>
      <c r="CV44" s="10"/>
      <c r="CW44" s="10"/>
      <c r="CX44" t="s">
        <v>660</v>
      </c>
    </row>
    <row r="45" spans="1:102" x14ac:dyDescent="0.35">
      <c r="A45" t="s">
        <v>659</v>
      </c>
      <c r="B45" s="22">
        <v>45473</v>
      </c>
      <c r="C45">
        <v>2024</v>
      </c>
      <c r="D45" t="s">
        <v>214</v>
      </c>
      <c r="E45" s="41"/>
      <c r="F45" t="s">
        <v>213</v>
      </c>
      <c r="H45" s="10">
        <v>4355000</v>
      </c>
      <c r="I45" s="10">
        <v>-20826000</v>
      </c>
      <c r="J45" s="10">
        <v>9902000</v>
      </c>
      <c r="K45" s="10">
        <v>-20870000</v>
      </c>
      <c r="L45" s="10">
        <v>26309000</v>
      </c>
      <c r="M45" s="10">
        <v>-926000</v>
      </c>
      <c r="O45" s="10">
        <v>15341000</v>
      </c>
      <c r="P45" s="10">
        <v>-946000</v>
      </c>
      <c r="Q45" s="10">
        <v>5969000</v>
      </c>
      <c r="S45" s="10">
        <v>-926000</v>
      </c>
      <c r="T45" s="10">
        <v>-926000</v>
      </c>
      <c r="V45" s="10">
        <v>145000</v>
      </c>
      <c r="W45" s="10">
        <v>4242000</v>
      </c>
      <c r="X45" s="10">
        <v>145000</v>
      </c>
      <c r="Y45" s="10">
        <v>15341000</v>
      </c>
      <c r="Z45" s="10">
        <v>0</v>
      </c>
      <c r="AB45" s="10">
        <v>2142000</v>
      </c>
      <c r="AC45" s="10">
        <v>2142000</v>
      </c>
      <c r="AD45" s="10">
        <v>12353000</v>
      </c>
      <c r="AE45" s="10">
        <v>12353000</v>
      </c>
      <c r="AH45" s="10">
        <v>19696000</v>
      </c>
      <c r="AI45" s="10">
        <v>9902000</v>
      </c>
      <c r="AJ45" s="10">
        <v>5483000</v>
      </c>
      <c r="AO45" s="10">
        <v>-20870000</v>
      </c>
      <c r="AP45" s="10">
        <v>0</v>
      </c>
      <c r="AQ45" s="10">
        <v>4122000</v>
      </c>
      <c r="AR45" s="10">
        <v>4122000</v>
      </c>
      <c r="AS45" s="10">
        <v>4858000</v>
      </c>
      <c r="AT45" s="10">
        <v>0</v>
      </c>
      <c r="AU45" s="10">
        <v>0</v>
      </c>
      <c r="AW45" s="10">
        <v>6198000</v>
      </c>
      <c r="AX45" s="10">
        <v>6198000</v>
      </c>
      <c r="AZ45" s="10">
        <v>8980000</v>
      </c>
      <c r="BA45" s="10">
        <v>8980000</v>
      </c>
      <c r="BB45" s="10">
        <v>8166000</v>
      </c>
      <c r="BF45" s="10">
        <v>26309000</v>
      </c>
      <c r="BG45" s="10">
        <v>-14000</v>
      </c>
      <c r="BI45" s="10">
        <v>134000</v>
      </c>
      <c r="BL45" s="10">
        <v>0</v>
      </c>
      <c r="BO45" s="10">
        <v>4858000</v>
      </c>
      <c r="BT45" s="41"/>
      <c r="BU45" s="10">
        <v>1186000</v>
      </c>
      <c r="BW45"/>
      <c r="BZ45" s="10">
        <v>-20826000</v>
      </c>
      <c r="CA45" s="10">
        <v>-7253000</v>
      </c>
      <c r="CE45" s="10">
        <v>-7253000</v>
      </c>
      <c r="CF45" s="10">
        <v>12353000</v>
      </c>
      <c r="CG45" s="10">
        <v>-14000</v>
      </c>
      <c r="CJ45" s="41"/>
      <c r="CK45" s="41"/>
      <c r="CO45" s="41">
        <v>2024</v>
      </c>
      <c r="CR45" s="10"/>
      <c r="CS45" s="10"/>
      <c r="CT45" s="10"/>
      <c r="CU45" s="10">
        <v>68000</v>
      </c>
      <c r="CV45" s="10"/>
      <c r="CW45" s="10"/>
      <c r="CX45" t="s">
        <v>660</v>
      </c>
    </row>
    <row r="46" spans="1:102" x14ac:dyDescent="0.35">
      <c r="A46" t="s">
        <v>661</v>
      </c>
      <c r="B46" s="22">
        <v>43830</v>
      </c>
      <c r="C46">
        <v>2019</v>
      </c>
      <c r="D46" t="s">
        <v>212</v>
      </c>
      <c r="E46" s="41"/>
      <c r="F46" t="s">
        <v>213</v>
      </c>
      <c r="M46" s="10">
        <v>-4141000</v>
      </c>
      <c r="N46" s="10">
        <v>9499000</v>
      </c>
      <c r="S46" s="10">
        <v>-4144000</v>
      </c>
      <c r="AQ46" s="10">
        <v>35000000</v>
      </c>
      <c r="AR46" s="10">
        <v>35000000</v>
      </c>
      <c r="BB46" s="10">
        <v>-618000</v>
      </c>
      <c r="BI46" s="10">
        <v>332000</v>
      </c>
      <c r="BQ46" s="10">
        <v>0</v>
      </c>
      <c r="BT46" s="41"/>
      <c r="BW46"/>
      <c r="CH46" s="10">
        <v>0</v>
      </c>
      <c r="CJ46" s="41"/>
      <c r="CK46" s="41"/>
      <c r="CL46" s="10">
        <v>0</v>
      </c>
      <c r="CM46" s="10">
        <v>0</v>
      </c>
      <c r="CO46" s="41">
        <v>2019</v>
      </c>
      <c r="CR46" s="10"/>
      <c r="CS46" s="10"/>
      <c r="CT46" s="10"/>
      <c r="CU46" s="10"/>
      <c r="CV46" s="10"/>
      <c r="CW46" s="10"/>
      <c r="CX46" t="s">
        <v>662</v>
      </c>
    </row>
    <row r="47" spans="1:102" x14ac:dyDescent="0.35">
      <c r="A47" t="s">
        <v>661</v>
      </c>
      <c r="B47" s="22">
        <v>44196</v>
      </c>
      <c r="C47">
        <v>2020</v>
      </c>
      <c r="D47" t="s">
        <v>212</v>
      </c>
      <c r="E47" s="41"/>
      <c r="F47" t="s">
        <v>213</v>
      </c>
      <c r="H47" s="10">
        <v>46889000</v>
      </c>
      <c r="I47" s="10">
        <v>-380000</v>
      </c>
      <c r="J47" s="10">
        <v>-767000</v>
      </c>
      <c r="K47" s="10">
        <v>-380000</v>
      </c>
      <c r="L47" s="10">
        <v>38891000</v>
      </c>
      <c r="M47" s="10">
        <v>4710000</v>
      </c>
      <c r="N47" s="10">
        <v>3246000</v>
      </c>
      <c r="O47" s="10">
        <v>37744000</v>
      </c>
      <c r="P47" s="10">
        <v>1194000</v>
      </c>
      <c r="Q47" s="10">
        <v>25214000</v>
      </c>
      <c r="S47" s="10">
        <v>4740000</v>
      </c>
      <c r="T47" s="10">
        <v>9706000</v>
      </c>
      <c r="U47" s="10">
        <v>-962000</v>
      </c>
      <c r="V47" s="10">
        <v>-21779000</v>
      </c>
      <c r="W47" s="10">
        <v>13373000</v>
      </c>
      <c r="X47" s="10">
        <v>-21779000</v>
      </c>
      <c r="Y47" s="10">
        <v>37744000</v>
      </c>
      <c r="Z47" s="10">
        <v>0</v>
      </c>
      <c r="AB47" s="10">
        <v>-7834000</v>
      </c>
      <c r="AC47" s="10">
        <v>-7834000</v>
      </c>
      <c r="AD47" s="10">
        <v>1830000</v>
      </c>
      <c r="AE47" s="10">
        <v>1830000</v>
      </c>
      <c r="AH47" s="10">
        <v>84633000</v>
      </c>
      <c r="AI47" s="10">
        <v>-767000</v>
      </c>
      <c r="AJ47" s="10">
        <v>38511000</v>
      </c>
      <c r="AM47" s="10">
        <v>381000</v>
      </c>
      <c r="AN47" s="10">
        <v>1928000</v>
      </c>
      <c r="AO47" s="10">
        <v>-380000</v>
      </c>
      <c r="AP47" s="10">
        <v>0</v>
      </c>
      <c r="AQ47" s="10">
        <v>10000000</v>
      </c>
      <c r="AR47" s="10">
        <v>0</v>
      </c>
      <c r="AS47" s="10">
        <v>-875000</v>
      </c>
      <c r="AT47" s="10">
        <v>0</v>
      </c>
      <c r="AU47" s="10">
        <v>0</v>
      </c>
      <c r="AW47" s="10">
        <v>31244000</v>
      </c>
      <c r="AX47" s="10">
        <v>30904000</v>
      </c>
      <c r="AZ47" s="10">
        <v>-875000</v>
      </c>
      <c r="BA47" s="10">
        <v>-875000</v>
      </c>
      <c r="BD47" s="10">
        <v>-380000</v>
      </c>
      <c r="BF47" s="10">
        <v>38891000</v>
      </c>
      <c r="BI47" s="10">
        <v>134000</v>
      </c>
      <c r="BK47" s="10">
        <v>108000</v>
      </c>
      <c r="BL47" s="10">
        <v>0</v>
      </c>
      <c r="BN47" s="10">
        <v>-380000</v>
      </c>
      <c r="BO47" s="10">
        <v>-10875000</v>
      </c>
      <c r="BQ47" s="10">
        <v>0</v>
      </c>
      <c r="BT47" s="41"/>
      <c r="BU47" s="10">
        <v>484000</v>
      </c>
      <c r="BW47"/>
      <c r="BX47" s="10">
        <v>642000</v>
      </c>
      <c r="BY47" s="10">
        <v>642000</v>
      </c>
      <c r="CF47" s="10">
        <v>1188000</v>
      </c>
      <c r="CH47" s="10">
        <v>0</v>
      </c>
      <c r="CJ47" s="41"/>
      <c r="CK47" s="41"/>
      <c r="CL47" s="10">
        <v>10000000</v>
      </c>
      <c r="CM47" s="10">
        <v>-10000000</v>
      </c>
      <c r="CO47" s="41">
        <v>2020</v>
      </c>
      <c r="CR47" s="10"/>
      <c r="CS47" s="10"/>
      <c r="CT47" s="10"/>
      <c r="CU47" s="10"/>
      <c r="CV47" s="10"/>
      <c r="CW47" s="10"/>
      <c r="CX47" t="s">
        <v>662</v>
      </c>
    </row>
    <row r="48" spans="1:102" x14ac:dyDescent="0.35">
      <c r="A48" t="s">
        <v>661</v>
      </c>
      <c r="B48" s="22">
        <v>44561</v>
      </c>
      <c r="C48">
        <v>2021</v>
      </c>
      <c r="D48" t="s">
        <v>212</v>
      </c>
      <c r="E48" s="41"/>
      <c r="F48" t="s">
        <v>213</v>
      </c>
      <c r="H48" s="10">
        <v>84633000</v>
      </c>
      <c r="I48" s="10">
        <v>-547000</v>
      </c>
      <c r="J48" s="10">
        <v>213661000</v>
      </c>
      <c r="K48" s="10">
        <v>-32775000</v>
      </c>
      <c r="L48" s="10">
        <v>55058000</v>
      </c>
      <c r="O48" s="10">
        <v>235944000</v>
      </c>
      <c r="P48" s="10">
        <v>-9680000</v>
      </c>
      <c r="Q48" s="10">
        <v>42295000</v>
      </c>
      <c r="T48" s="10">
        <v>1262000</v>
      </c>
      <c r="U48" s="10">
        <v>-1269000</v>
      </c>
      <c r="V48" s="10">
        <v>-14642000</v>
      </c>
      <c r="W48" s="10">
        <v>17966000</v>
      </c>
      <c r="X48" s="10">
        <v>-14642000</v>
      </c>
      <c r="Y48" s="10">
        <v>235944000</v>
      </c>
      <c r="Z48" s="10">
        <v>223685000</v>
      </c>
      <c r="AB48" s="10">
        <v>-28411000</v>
      </c>
      <c r="AC48" s="10">
        <v>-28411000</v>
      </c>
      <c r="AD48" s="10">
        <v>2464000</v>
      </c>
      <c r="AE48" s="10">
        <v>2464000</v>
      </c>
      <c r="AH48" s="10">
        <v>320577000</v>
      </c>
      <c r="AI48" s="10">
        <v>213661000</v>
      </c>
      <c r="AJ48" s="10">
        <v>54511000</v>
      </c>
      <c r="AM48" s="10">
        <v>504000</v>
      </c>
      <c r="AN48" s="10">
        <v>888000</v>
      </c>
      <c r="AO48" s="10">
        <v>-32775000</v>
      </c>
      <c r="AP48" s="10">
        <v>223685000</v>
      </c>
      <c r="AQ48" s="10">
        <v>0</v>
      </c>
      <c r="AR48" s="10">
        <v>0</v>
      </c>
      <c r="AS48" s="10">
        <v>-875000</v>
      </c>
      <c r="AT48" s="10">
        <v>-32228000</v>
      </c>
      <c r="AU48" s="10">
        <v>223685000</v>
      </c>
      <c r="AW48" s="10">
        <v>-188230000</v>
      </c>
      <c r="AX48" s="10">
        <v>-190649000</v>
      </c>
      <c r="AZ48" s="10">
        <v>-875000</v>
      </c>
      <c r="BA48" s="10">
        <v>-875000</v>
      </c>
      <c r="BB48" s="10">
        <v>-12978000</v>
      </c>
      <c r="BD48" s="10">
        <v>-547000</v>
      </c>
      <c r="BF48" s="10">
        <v>55058000</v>
      </c>
      <c r="BI48" s="10">
        <v>157000</v>
      </c>
      <c r="BK48" s="10">
        <v>3829000</v>
      </c>
      <c r="BL48" s="10">
        <v>-32228000</v>
      </c>
      <c r="BN48" s="10">
        <v>-547000</v>
      </c>
      <c r="BO48" s="10">
        <v>-875000</v>
      </c>
      <c r="BT48" s="41"/>
      <c r="BU48" s="10">
        <v>253531000</v>
      </c>
      <c r="BW48"/>
      <c r="BX48" s="10">
        <v>1312000</v>
      </c>
      <c r="BY48" s="10">
        <v>1312000</v>
      </c>
      <c r="CF48" s="10">
        <v>1152000</v>
      </c>
      <c r="CH48" s="10">
        <v>0</v>
      </c>
      <c r="CJ48" s="41"/>
      <c r="CK48" s="41"/>
      <c r="CL48" s="10">
        <v>0</v>
      </c>
      <c r="CM48" s="10">
        <v>0</v>
      </c>
      <c r="CO48" s="41">
        <v>2021</v>
      </c>
      <c r="CR48" s="10"/>
      <c r="CS48" s="10"/>
      <c r="CT48" s="10"/>
      <c r="CU48" s="10"/>
      <c r="CV48" s="10"/>
      <c r="CW48" s="10"/>
      <c r="CX48" t="s">
        <v>662</v>
      </c>
    </row>
    <row r="49" spans="1:102" x14ac:dyDescent="0.35">
      <c r="A49" t="s">
        <v>661</v>
      </c>
      <c r="B49" s="22">
        <v>44926</v>
      </c>
      <c r="C49">
        <v>2022</v>
      </c>
      <c r="D49" t="s">
        <v>212</v>
      </c>
      <c r="E49" s="41"/>
      <c r="F49" t="s">
        <v>213</v>
      </c>
      <c r="H49" s="10">
        <v>320577000</v>
      </c>
      <c r="I49" s="10">
        <v>-104000</v>
      </c>
      <c r="J49" s="10">
        <v>-19677000</v>
      </c>
      <c r="K49" s="10">
        <v>-104000</v>
      </c>
      <c r="L49" s="10">
        <v>47196000</v>
      </c>
      <c r="O49" s="10">
        <v>27415000</v>
      </c>
      <c r="P49" s="10">
        <v>1383000</v>
      </c>
      <c r="Q49" s="10">
        <v>63283000</v>
      </c>
      <c r="T49" s="10">
        <v>6852000</v>
      </c>
      <c r="U49" s="10">
        <v>-5669000</v>
      </c>
      <c r="V49" s="10">
        <v>-72202000</v>
      </c>
      <c r="W49" s="10">
        <v>-6353000</v>
      </c>
      <c r="X49" s="10">
        <v>-72202000</v>
      </c>
      <c r="Y49" s="10">
        <v>27415000</v>
      </c>
      <c r="Z49" s="10">
        <v>0</v>
      </c>
      <c r="AB49" s="10">
        <v>-7004000</v>
      </c>
      <c r="AC49" s="10">
        <v>-7004000</v>
      </c>
      <c r="AD49" s="10">
        <v>4571000</v>
      </c>
      <c r="AE49" s="10">
        <v>4571000</v>
      </c>
      <c r="AH49" s="10">
        <v>347992000</v>
      </c>
      <c r="AI49" s="10">
        <v>-19677000</v>
      </c>
      <c r="AJ49" s="10">
        <v>47092000</v>
      </c>
      <c r="AM49" s="10">
        <v>307000</v>
      </c>
      <c r="AN49" s="10">
        <v>713000</v>
      </c>
      <c r="AO49" s="10">
        <v>-104000</v>
      </c>
      <c r="AP49" s="10">
        <v>0</v>
      </c>
      <c r="AQ49" s="10">
        <v>0</v>
      </c>
      <c r="AS49" s="10">
        <v>-33250000</v>
      </c>
      <c r="AT49" s="10">
        <v>0</v>
      </c>
      <c r="AU49" s="10">
        <v>0</v>
      </c>
      <c r="AW49" s="10">
        <v>-8585000</v>
      </c>
      <c r="AX49" s="10">
        <v>-12064000</v>
      </c>
      <c r="AZ49" s="10">
        <v>-33250000</v>
      </c>
      <c r="BA49" s="10">
        <v>-33250000</v>
      </c>
      <c r="BB49" s="10">
        <v>125000</v>
      </c>
      <c r="BD49" s="10">
        <v>-104000</v>
      </c>
      <c r="BF49" s="10">
        <v>47196000</v>
      </c>
      <c r="BI49" s="10">
        <v>687000</v>
      </c>
      <c r="BK49" s="10">
        <v>13448000</v>
      </c>
      <c r="BL49" s="10">
        <v>0</v>
      </c>
      <c r="BN49" s="10">
        <v>-104000</v>
      </c>
      <c r="BO49" s="10">
        <v>-33250000</v>
      </c>
      <c r="BT49" s="41"/>
      <c r="BU49" s="10">
        <v>67359000</v>
      </c>
      <c r="BW49"/>
      <c r="BX49" s="10">
        <v>3351000</v>
      </c>
      <c r="BY49" s="10">
        <v>3351000</v>
      </c>
      <c r="CF49" s="10">
        <v>1220000</v>
      </c>
      <c r="CH49" s="10">
        <v>0</v>
      </c>
      <c r="CJ49" s="41"/>
      <c r="CK49" s="41"/>
      <c r="CL49" s="10">
        <v>0</v>
      </c>
      <c r="CM49" s="10">
        <v>0</v>
      </c>
      <c r="CO49" s="41">
        <v>2022</v>
      </c>
      <c r="CR49" s="10"/>
      <c r="CS49" s="10"/>
      <c r="CT49" s="10"/>
      <c r="CU49" s="10"/>
      <c r="CV49" s="10"/>
      <c r="CW49" s="10"/>
      <c r="CX49" t="s">
        <v>662</v>
      </c>
    </row>
    <row r="50" spans="1:102" x14ac:dyDescent="0.35">
      <c r="A50" t="s">
        <v>661</v>
      </c>
      <c r="B50" s="22">
        <v>45291</v>
      </c>
      <c r="C50">
        <v>2023</v>
      </c>
      <c r="D50" t="s">
        <v>212</v>
      </c>
      <c r="E50" s="41"/>
      <c r="F50" t="s">
        <v>213</v>
      </c>
      <c r="H50" s="10">
        <v>347992000</v>
      </c>
      <c r="I50" s="10">
        <v>-113000</v>
      </c>
      <c r="J50" s="10">
        <v>3705000</v>
      </c>
      <c r="K50" s="10">
        <v>-42971000</v>
      </c>
      <c r="L50" s="10">
        <v>80785000</v>
      </c>
      <c r="O50" s="10">
        <v>41519000</v>
      </c>
      <c r="P50" s="10">
        <v>-2418000</v>
      </c>
      <c r="Q50" s="10">
        <v>109121000</v>
      </c>
      <c r="T50" s="10">
        <v>4994000</v>
      </c>
      <c r="U50" s="10">
        <v>-6159000</v>
      </c>
      <c r="V50" s="10">
        <v>-96877000</v>
      </c>
      <c r="W50" s="10">
        <v>8661000</v>
      </c>
      <c r="X50" s="10">
        <v>-96877000</v>
      </c>
      <c r="Y50" s="10">
        <v>41519000</v>
      </c>
      <c r="Z50" s="10">
        <v>0</v>
      </c>
      <c r="AB50" s="10">
        <v>7465000</v>
      </c>
      <c r="AC50" s="10">
        <v>7465000</v>
      </c>
      <c r="AD50" s="10">
        <v>6533000</v>
      </c>
      <c r="AE50" s="10">
        <v>6533000</v>
      </c>
      <c r="AH50" s="10">
        <v>389511000</v>
      </c>
      <c r="AI50" s="10">
        <v>3705000</v>
      </c>
      <c r="AJ50" s="10">
        <v>80672000</v>
      </c>
      <c r="AM50" s="10">
        <v>1040000</v>
      </c>
      <c r="AN50" s="10">
        <v>40000</v>
      </c>
      <c r="AO50" s="10">
        <v>-42971000</v>
      </c>
      <c r="AP50" s="10">
        <v>0</v>
      </c>
      <c r="AS50" s="10">
        <v>0</v>
      </c>
      <c r="AT50" s="10">
        <v>-42858000</v>
      </c>
      <c r="AU50" s="10">
        <v>0</v>
      </c>
      <c r="AW50" s="10">
        <v>23079000</v>
      </c>
      <c r="AX50" s="10">
        <v>21028000</v>
      </c>
      <c r="AZ50" s="10">
        <v>0</v>
      </c>
      <c r="BA50" s="10">
        <v>0</v>
      </c>
      <c r="BB50" s="10">
        <v>-5035000</v>
      </c>
      <c r="BD50" s="10">
        <v>-113000</v>
      </c>
      <c r="BF50" s="10">
        <v>80785000</v>
      </c>
      <c r="BK50" s="10">
        <v>8740000</v>
      </c>
      <c r="BL50" s="10">
        <v>-42858000</v>
      </c>
      <c r="BN50" s="10">
        <v>-113000</v>
      </c>
      <c r="BO50" s="10">
        <v>0</v>
      </c>
      <c r="BT50" s="41"/>
      <c r="BU50" s="10">
        <v>37098000</v>
      </c>
      <c r="BW50"/>
      <c r="BX50" s="10">
        <v>5359000</v>
      </c>
      <c r="BY50" s="10">
        <v>5359000</v>
      </c>
      <c r="CF50" s="10">
        <v>1174000</v>
      </c>
      <c r="CJ50" s="41"/>
      <c r="CK50" s="41"/>
      <c r="CO50" s="41">
        <v>2023</v>
      </c>
      <c r="CR50" s="10"/>
      <c r="CS50" s="10"/>
      <c r="CT50" s="10"/>
      <c r="CU50" s="10"/>
      <c r="CV50" s="10"/>
      <c r="CW50" s="10"/>
      <c r="CX50" t="s">
        <v>662</v>
      </c>
    </row>
    <row r="51" spans="1:102" x14ac:dyDescent="0.35">
      <c r="A51" t="s">
        <v>661</v>
      </c>
      <c r="B51" s="22">
        <v>45473</v>
      </c>
      <c r="C51">
        <v>2024</v>
      </c>
      <c r="D51" t="s">
        <v>214</v>
      </c>
      <c r="E51" s="41"/>
      <c r="F51" t="s">
        <v>213</v>
      </c>
      <c r="H51" s="10">
        <v>317945000</v>
      </c>
      <c r="J51" s="10">
        <v>5271000</v>
      </c>
      <c r="K51" s="10">
        <v>-23756000</v>
      </c>
      <c r="L51" s="10">
        <v>87892000</v>
      </c>
      <c r="O51" s="10">
        <v>69407000</v>
      </c>
      <c r="P51" s="10">
        <v>-3567000</v>
      </c>
      <c r="Q51" s="10">
        <v>51514000</v>
      </c>
      <c r="T51" s="10">
        <v>11948000</v>
      </c>
      <c r="U51" s="10">
        <v>-6048000</v>
      </c>
      <c r="V51" s="10">
        <v>-45929000</v>
      </c>
      <c r="W51" s="10">
        <v>7918000</v>
      </c>
      <c r="X51" s="10">
        <v>-45929000</v>
      </c>
      <c r="Y51" s="10">
        <v>69407000</v>
      </c>
      <c r="AB51" s="10">
        <v>8102000</v>
      </c>
      <c r="AC51" s="10">
        <v>8102000</v>
      </c>
      <c r="AD51" s="10">
        <v>7142000</v>
      </c>
      <c r="AE51" s="10">
        <v>7142000</v>
      </c>
      <c r="AH51" s="10">
        <v>387352000</v>
      </c>
      <c r="AI51" s="10">
        <v>5271000</v>
      </c>
      <c r="AJ51" s="10">
        <v>87779000</v>
      </c>
      <c r="AM51" s="10">
        <v>3322000</v>
      </c>
      <c r="AN51" s="10">
        <v>139000</v>
      </c>
      <c r="AO51" s="10">
        <v>-23756000</v>
      </c>
      <c r="AT51" s="10">
        <v>-18709000</v>
      </c>
      <c r="AW51" s="10">
        <v>14932000</v>
      </c>
      <c r="AX51" s="10">
        <v>15965000</v>
      </c>
      <c r="BB51" s="10">
        <v>1090000</v>
      </c>
      <c r="BF51" s="10">
        <v>87892000</v>
      </c>
      <c r="BK51" s="10">
        <v>4181000</v>
      </c>
      <c r="BL51" s="10">
        <v>-18709000</v>
      </c>
      <c r="BT51" s="41"/>
      <c r="BU51" s="10">
        <v>48765000</v>
      </c>
      <c r="BW51"/>
      <c r="BX51" s="10">
        <v>5964000</v>
      </c>
      <c r="BY51" s="10">
        <v>5964000</v>
      </c>
      <c r="CF51" s="10">
        <v>1178000</v>
      </c>
      <c r="CJ51" s="41"/>
      <c r="CK51" s="41"/>
      <c r="CO51" s="41">
        <v>2024</v>
      </c>
      <c r="CR51" s="10"/>
      <c r="CS51" s="10"/>
      <c r="CT51" s="10"/>
      <c r="CU51" s="10"/>
      <c r="CV51" s="10"/>
      <c r="CW51" s="10"/>
      <c r="CX51" t="s">
        <v>662</v>
      </c>
    </row>
    <row r="52" spans="1:102" x14ac:dyDescent="0.35">
      <c r="A52" t="s">
        <v>663</v>
      </c>
      <c r="B52" s="22">
        <v>43830</v>
      </c>
      <c r="C52">
        <v>2019</v>
      </c>
      <c r="D52" t="s">
        <v>212</v>
      </c>
      <c r="E52" s="41"/>
      <c r="F52" t="s">
        <v>213</v>
      </c>
      <c r="BB52" s="10">
        <v>-59000</v>
      </c>
      <c r="BQ52" s="10">
        <v>29442000</v>
      </c>
      <c r="BT52" s="41"/>
      <c r="BW52"/>
      <c r="CJ52" s="41">
        <v>1318000</v>
      </c>
      <c r="CK52" s="41">
        <v>1318000</v>
      </c>
      <c r="CL52" s="10">
        <v>135800000</v>
      </c>
      <c r="CM52" s="10">
        <v>-116776000</v>
      </c>
      <c r="CO52" s="41">
        <v>2019</v>
      </c>
      <c r="CR52" s="10"/>
      <c r="CS52" s="10"/>
      <c r="CT52" s="10"/>
      <c r="CU52" s="10"/>
      <c r="CV52" s="10"/>
      <c r="CW52" s="10"/>
      <c r="CX52" t="s">
        <v>664</v>
      </c>
    </row>
    <row r="53" spans="1:102" x14ac:dyDescent="0.35">
      <c r="A53" t="s">
        <v>663</v>
      </c>
      <c r="B53" s="22">
        <v>44196</v>
      </c>
      <c r="C53">
        <v>2020</v>
      </c>
      <c r="D53" t="s">
        <v>212</v>
      </c>
      <c r="E53" s="41"/>
      <c r="F53" t="s">
        <v>213</v>
      </c>
      <c r="G53" s="10">
        <v>697000</v>
      </c>
      <c r="H53" s="10">
        <v>55963000</v>
      </c>
      <c r="I53" s="10">
        <v>-1303000</v>
      </c>
      <c r="J53" s="10">
        <v>331689000</v>
      </c>
      <c r="K53" s="10">
        <v>-292565000</v>
      </c>
      <c r="L53" s="10">
        <v>30171000</v>
      </c>
      <c r="M53" s="10">
        <v>953000</v>
      </c>
      <c r="O53" s="10">
        <v>69295000</v>
      </c>
      <c r="Q53" s="10">
        <v>953000</v>
      </c>
      <c r="S53" s="10">
        <v>953000</v>
      </c>
      <c r="T53" s="10">
        <v>953000</v>
      </c>
      <c r="V53" s="10">
        <v>-2887000</v>
      </c>
      <c r="W53" s="10">
        <v>-1934000</v>
      </c>
      <c r="X53" s="10">
        <v>-2887000</v>
      </c>
      <c r="Y53" s="10">
        <v>69295000</v>
      </c>
      <c r="AA53" s="10">
        <v>-1887000</v>
      </c>
      <c r="AB53" s="10">
        <v>-1973000</v>
      </c>
      <c r="AC53" s="10">
        <v>-1973000</v>
      </c>
      <c r="AD53" s="10">
        <v>6573000</v>
      </c>
      <c r="AE53" s="10">
        <v>6573000</v>
      </c>
      <c r="AF53" s="10">
        <v>0</v>
      </c>
      <c r="AH53" s="10">
        <v>125258000</v>
      </c>
      <c r="AI53" s="10">
        <v>331689000</v>
      </c>
      <c r="AJ53" s="10">
        <v>28868000</v>
      </c>
      <c r="AK53" s="10">
        <v>16000</v>
      </c>
      <c r="AM53" s="10">
        <v>550000</v>
      </c>
      <c r="AN53" s="10">
        <v>16665000</v>
      </c>
      <c r="AO53" s="10">
        <v>-292565000</v>
      </c>
      <c r="AQ53" s="10">
        <v>126599000</v>
      </c>
      <c r="AR53" s="10">
        <v>126599000</v>
      </c>
      <c r="AS53" s="10">
        <v>-131622000</v>
      </c>
      <c r="AT53" s="10">
        <v>0</v>
      </c>
      <c r="AU53" s="10">
        <v>-1887000</v>
      </c>
      <c r="AW53" s="10">
        <v>26463000</v>
      </c>
      <c r="AX53" s="10">
        <v>26463000</v>
      </c>
      <c r="AY53" s="10">
        <v>29548000</v>
      </c>
      <c r="AZ53" s="10">
        <v>-140425000</v>
      </c>
      <c r="BA53" s="10">
        <v>-5023000</v>
      </c>
      <c r="BB53" s="10">
        <v>218000</v>
      </c>
      <c r="BC53" s="10">
        <v>6472000</v>
      </c>
      <c r="BD53" s="10">
        <v>-1303000</v>
      </c>
      <c r="BF53" s="10">
        <v>30171000</v>
      </c>
      <c r="BG53" s="10">
        <v>-8642000</v>
      </c>
      <c r="BI53" s="10">
        <v>6051000</v>
      </c>
      <c r="BK53" s="10">
        <v>116000</v>
      </c>
      <c r="BM53" s="10">
        <v>-26691000</v>
      </c>
      <c r="BN53" s="10">
        <v>-1303000</v>
      </c>
      <c r="BO53" s="10">
        <v>-267024000</v>
      </c>
      <c r="BP53" s="10">
        <v>-1887000</v>
      </c>
      <c r="BQ53" s="10">
        <v>0</v>
      </c>
      <c r="BR53" s="10">
        <v>56239000</v>
      </c>
      <c r="BT53" s="41"/>
      <c r="BU53" s="10">
        <v>2092000</v>
      </c>
      <c r="BW53"/>
      <c r="CA53" s="10">
        <v>-7610000</v>
      </c>
      <c r="CE53" s="10">
        <v>-7610000</v>
      </c>
      <c r="CG53" s="10">
        <v>2000</v>
      </c>
      <c r="CH53" s="10">
        <v>-135402000</v>
      </c>
      <c r="CJ53" s="41"/>
      <c r="CK53" s="41"/>
      <c r="CL53" s="10">
        <v>126599000</v>
      </c>
      <c r="CM53" s="10">
        <v>-135402000</v>
      </c>
      <c r="CO53" s="41">
        <v>2020</v>
      </c>
      <c r="CR53" s="10">
        <v>0</v>
      </c>
      <c r="CS53" s="10"/>
      <c r="CT53" s="10"/>
      <c r="CU53" s="10"/>
      <c r="CV53" s="10"/>
      <c r="CW53" s="10"/>
      <c r="CX53" t="s">
        <v>664</v>
      </c>
    </row>
    <row r="54" spans="1:102" x14ac:dyDescent="0.35">
      <c r="A54" t="s">
        <v>663</v>
      </c>
      <c r="B54" s="22">
        <v>44561</v>
      </c>
      <c r="C54">
        <v>2021</v>
      </c>
      <c r="D54" t="s">
        <v>212</v>
      </c>
      <c r="E54" s="41"/>
      <c r="F54" t="s">
        <v>213</v>
      </c>
      <c r="G54" s="10">
        <v>0</v>
      </c>
      <c r="H54" s="10">
        <v>125258000</v>
      </c>
      <c r="I54" s="10">
        <v>-1254000</v>
      </c>
      <c r="J54" s="10">
        <v>44654000</v>
      </c>
      <c r="K54" s="10">
        <v>-2013000</v>
      </c>
      <c r="L54" s="10">
        <v>40811000</v>
      </c>
      <c r="M54" s="10">
        <v>1281000</v>
      </c>
      <c r="O54" s="10">
        <v>83452000</v>
      </c>
      <c r="Q54" s="10">
        <v>1167000</v>
      </c>
      <c r="S54" s="10">
        <v>1281000</v>
      </c>
      <c r="T54" s="10">
        <v>1281000</v>
      </c>
      <c r="V54" s="10">
        <v>-3200000</v>
      </c>
      <c r="W54" s="10">
        <v>-1919000</v>
      </c>
      <c r="X54" s="10">
        <v>-3200000</v>
      </c>
      <c r="Y54" s="10">
        <v>83452000</v>
      </c>
      <c r="AA54" s="10">
        <v>-2383000</v>
      </c>
      <c r="AB54" s="10">
        <v>942000</v>
      </c>
      <c r="AC54" s="10">
        <v>942000</v>
      </c>
      <c r="AD54" s="10">
        <v>5305000</v>
      </c>
      <c r="AE54" s="10">
        <v>5305000</v>
      </c>
      <c r="AF54" s="10">
        <v>0</v>
      </c>
      <c r="AH54" s="10">
        <v>208710000</v>
      </c>
      <c r="AI54" s="10">
        <v>44654000</v>
      </c>
      <c r="AJ54" s="10">
        <v>39557000</v>
      </c>
      <c r="AK54" s="10">
        <v>-638000</v>
      </c>
      <c r="AM54" s="10">
        <v>4400000</v>
      </c>
      <c r="AN54" s="10">
        <v>6805000</v>
      </c>
      <c r="AO54" s="10">
        <v>-2013000</v>
      </c>
      <c r="AQ54" s="10">
        <v>3835000</v>
      </c>
      <c r="AR54" s="10">
        <v>0</v>
      </c>
      <c r="AS54" s="10">
        <v>-56149000</v>
      </c>
      <c r="AT54" s="10">
        <v>0</v>
      </c>
      <c r="AU54" s="10">
        <v>-2383000</v>
      </c>
      <c r="AW54" s="10">
        <v>32881000</v>
      </c>
      <c r="AX54" s="10">
        <v>32881000</v>
      </c>
      <c r="AY54" s="10">
        <v>-6929000</v>
      </c>
      <c r="AZ54" s="10">
        <v>-52314000</v>
      </c>
      <c r="BA54" s="10">
        <v>-56149000</v>
      </c>
      <c r="BB54" s="10">
        <v>-525000</v>
      </c>
      <c r="BC54" s="10">
        <v>4389000</v>
      </c>
      <c r="BD54" s="10">
        <v>-1254000</v>
      </c>
      <c r="BF54" s="10">
        <v>40811000</v>
      </c>
      <c r="BG54" s="10">
        <v>-5124000</v>
      </c>
      <c r="BI54" s="10">
        <v>6123000</v>
      </c>
      <c r="BK54" s="10">
        <v>136000</v>
      </c>
      <c r="BL54" s="10">
        <v>0</v>
      </c>
      <c r="BM54" s="10">
        <v>-195049000</v>
      </c>
      <c r="BN54" s="10">
        <v>-1254000</v>
      </c>
      <c r="BO54" s="10">
        <v>-56149000</v>
      </c>
      <c r="BP54" s="10">
        <v>-2383000</v>
      </c>
      <c r="BQ54" s="10">
        <v>0</v>
      </c>
      <c r="BR54" s="10">
        <v>188120000</v>
      </c>
      <c r="BS54" s="10">
        <v>0</v>
      </c>
      <c r="BT54" s="41"/>
      <c r="BU54" s="10">
        <v>1949000</v>
      </c>
      <c r="BW54"/>
      <c r="CA54" s="10">
        <v>-8280000</v>
      </c>
      <c r="CE54" s="10">
        <v>-8280000</v>
      </c>
      <c r="CG54" s="10">
        <v>22000</v>
      </c>
      <c r="CH54" s="10">
        <v>3835000</v>
      </c>
      <c r="CJ54" s="41"/>
      <c r="CK54" s="41"/>
      <c r="CL54" s="10">
        <v>3835000</v>
      </c>
      <c r="CM54" s="10">
        <v>-56149000</v>
      </c>
      <c r="CO54" s="41">
        <v>2021</v>
      </c>
      <c r="CR54" s="10">
        <v>0</v>
      </c>
      <c r="CS54" s="10"/>
      <c r="CT54" s="10"/>
      <c r="CU54" s="10"/>
      <c r="CV54" s="10"/>
      <c r="CW54" s="10"/>
      <c r="CX54" t="s">
        <v>664</v>
      </c>
    </row>
    <row r="55" spans="1:102" x14ac:dyDescent="0.35">
      <c r="A55" t="s">
        <v>663</v>
      </c>
      <c r="B55" s="22">
        <v>44926</v>
      </c>
      <c r="C55">
        <v>2022</v>
      </c>
      <c r="D55" t="s">
        <v>212</v>
      </c>
      <c r="E55" s="41"/>
      <c r="F55" t="s">
        <v>213</v>
      </c>
      <c r="G55" s="10">
        <v>1297000</v>
      </c>
      <c r="H55" s="10">
        <v>208710000</v>
      </c>
      <c r="I55" s="10">
        <v>-895000</v>
      </c>
      <c r="J55" s="10">
        <v>86912000</v>
      </c>
      <c r="K55" s="10">
        <v>-270991000</v>
      </c>
      <c r="L55" s="10">
        <v>36192000</v>
      </c>
      <c r="M55" s="10">
        <v>10891000</v>
      </c>
      <c r="O55" s="10">
        <v>-147887000</v>
      </c>
      <c r="Q55" s="10">
        <v>20492000</v>
      </c>
      <c r="S55" s="10">
        <v>10891000</v>
      </c>
      <c r="T55" s="10">
        <v>10891000</v>
      </c>
      <c r="V55" s="10">
        <v>-4168000</v>
      </c>
      <c r="W55" s="10">
        <v>6723000</v>
      </c>
      <c r="X55" s="10">
        <v>-4168000</v>
      </c>
      <c r="Y55" s="10">
        <v>-147887000</v>
      </c>
      <c r="AA55" s="10">
        <v>-14457000</v>
      </c>
      <c r="AB55" s="10">
        <v>-591000</v>
      </c>
      <c r="AC55" s="10">
        <v>-591000</v>
      </c>
      <c r="AD55" s="10">
        <v>4620000</v>
      </c>
      <c r="AE55" s="10">
        <v>4620000</v>
      </c>
      <c r="AF55" s="10">
        <v>-976000</v>
      </c>
      <c r="AH55" s="10">
        <v>60823000</v>
      </c>
      <c r="AI55" s="10">
        <v>86912000</v>
      </c>
      <c r="AJ55" s="10">
        <v>35297000</v>
      </c>
      <c r="AK55" s="10">
        <v>160000</v>
      </c>
      <c r="AM55" s="10">
        <v>4900000</v>
      </c>
      <c r="AN55" s="10">
        <v>8721000</v>
      </c>
      <c r="AO55" s="10">
        <v>-270991000</v>
      </c>
      <c r="AQ55" s="10">
        <v>98634000</v>
      </c>
      <c r="AR55" s="10">
        <v>0</v>
      </c>
      <c r="AS55" s="10">
        <v>-441000</v>
      </c>
      <c r="AT55" s="10">
        <v>0</v>
      </c>
      <c r="AU55" s="10">
        <v>-14457000</v>
      </c>
      <c r="AW55" s="10">
        <v>22037000</v>
      </c>
      <c r="AX55" s="10">
        <v>22037000</v>
      </c>
      <c r="AY55" s="10">
        <v>-100094000</v>
      </c>
      <c r="AZ55" s="10">
        <v>98193000</v>
      </c>
      <c r="BA55" s="10">
        <v>-441000</v>
      </c>
      <c r="BC55" s="10">
        <v>-3248000</v>
      </c>
      <c r="BD55" s="10">
        <v>-895000</v>
      </c>
      <c r="BF55" s="10">
        <v>36192000</v>
      </c>
      <c r="BG55" s="10">
        <v>-1761000</v>
      </c>
      <c r="BI55" s="10">
        <v>-4340000</v>
      </c>
      <c r="BK55" s="10">
        <v>133000</v>
      </c>
      <c r="BL55" s="10">
        <v>0</v>
      </c>
      <c r="BM55" s="10">
        <v>-181529000</v>
      </c>
      <c r="BN55" s="10">
        <v>-895000</v>
      </c>
      <c r="BO55" s="10">
        <v>-441000</v>
      </c>
      <c r="BP55" s="10">
        <v>-14457000</v>
      </c>
      <c r="BR55" s="10">
        <v>81435000</v>
      </c>
      <c r="BS55" s="10">
        <v>0</v>
      </c>
      <c r="BT55" s="41"/>
      <c r="BU55" s="10">
        <v>2154000</v>
      </c>
      <c r="BW55"/>
      <c r="CA55" s="10">
        <v>-8264000</v>
      </c>
      <c r="CE55" s="10">
        <v>-8264000</v>
      </c>
      <c r="CG55" s="10">
        <v>530000</v>
      </c>
      <c r="CH55" s="10">
        <v>98634000</v>
      </c>
      <c r="CJ55" s="41"/>
      <c r="CK55" s="41"/>
      <c r="CL55" s="10">
        <v>98634000</v>
      </c>
      <c r="CO55" s="41">
        <v>2022</v>
      </c>
      <c r="CR55" s="10">
        <v>1410000</v>
      </c>
      <c r="CS55" s="10"/>
      <c r="CT55" s="10"/>
      <c r="CU55" s="10"/>
      <c r="CV55" s="10"/>
      <c r="CW55" s="10"/>
      <c r="CX55" t="s">
        <v>664</v>
      </c>
    </row>
    <row r="56" spans="1:102" x14ac:dyDescent="0.35">
      <c r="A56" t="s">
        <v>663</v>
      </c>
      <c r="B56" s="22">
        <v>45291</v>
      </c>
      <c r="C56">
        <v>2023</v>
      </c>
      <c r="D56" t="s">
        <v>212</v>
      </c>
      <c r="E56" s="41"/>
      <c r="F56" t="s">
        <v>213</v>
      </c>
      <c r="G56" s="10">
        <v>0</v>
      </c>
      <c r="H56" s="10">
        <v>60823000</v>
      </c>
      <c r="I56" s="10">
        <v>-2293000</v>
      </c>
      <c r="J56" s="10">
        <v>113885000</v>
      </c>
      <c r="K56" s="10">
        <v>-153248000</v>
      </c>
      <c r="L56" s="10">
        <v>43701000</v>
      </c>
      <c r="M56" s="10">
        <v>-5651000</v>
      </c>
      <c r="O56" s="10">
        <v>4338000</v>
      </c>
      <c r="S56" s="10">
        <v>-5651000</v>
      </c>
      <c r="T56" s="10">
        <v>-5651000</v>
      </c>
      <c r="V56" s="10">
        <v>1571000</v>
      </c>
      <c r="W56" s="10">
        <v>-4080000</v>
      </c>
      <c r="X56" s="10">
        <v>1571000</v>
      </c>
      <c r="Y56" s="10">
        <v>4338000</v>
      </c>
      <c r="AA56" s="10">
        <v>-2963000</v>
      </c>
      <c r="AB56" s="10">
        <v>-651000</v>
      </c>
      <c r="AC56" s="10">
        <v>-651000</v>
      </c>
      <c r="AD56" s="10">
        <v>4340000</v>
      </c>
      <c r="AE56" s="10">
        <v>4340000</v>
      </c>
      <c r="AF56" s="10">
        <v>-43000</v>
      </c>
      <c r="AH56" s="10">
        <v>65161000</v>
      </c>
      <c r="AI56" s="10">
        <v>113885000</v>
      </c>
      <c r="AJ56" s="10">
        <v>41408000</v>
      </c>
      <c r="AK56" s="10">
        <v>47000</v>
      </c>
      <c r="AM56" s="10">
        <v>7450000</v>
      </c>
      <c r="AN56" s="10">
        <v>42888000</v>
      </c>
      <c r="AO56" s="10">
        <v>-153248000</v>
      </c>
      <c r="AQ56" s="10">
        <v>40000000</v>
      </c>
      <c r="AR56" s="10">
        <v>40000000</v>
      </c>
      <c r="AS56" s="10">
        <v>-1455000</v>
      </c>
      <c r="AT56" s="10">
        <v>-17641000</v>
      </c>
      <c r="AU56" s="10">
        <v>-2963000</v>
      </c>
      <c r="AW56" s="10">
        <v>35663000</v>
      </c>
      <c r="AX56" s="10">
        <v>35663000</v>
      </c>
      <c r="AY56" s="10">
        <v>10393000</v>
      </c>
      <c r="AZ56" s="10">
        <v>23895000</v>
      </c>
      <c r="BA56" s="10">
        <v>38545000</v>
      </c>
      <c r="BC56" s="10">
        <v>1385000</v>
      </c>
      <c r="BD56" s="10">
        <v>-2250000</v>
      </c>
      <c r="BF56" s="10">
        <v>43701000</v>
      </c>
      <c r="BG56" s="10">
        <v>346000</v>
      </c>
      <c r="BI56" s="10">
        <v>2005000</v>
      </c>
      <c r="BK56" s="10">
        <v>136000</v>
      </c>
      <c r="BL56" s="10">
        <v>-17641000</v>
      </c>
      <c r="BM56" s="10">
        <v>-46602000</v>
      </c>
      <c r="BN56" s="10">
        <v>-2293000</v>
      </c>
      <c r="BO56" s="10">
        <v>-16105000</v>
      </c>
      <c r="BP56" s="10">
        <v>-2963000</v>
      </c>
      <c r="BR56" s="10">
        <v>56995000</v>
      </c>
      <c r="BS56" s="10">
        <v>43000</v>
      </c>
      <c r="BT56" s="41"/>
      <c r="BU56" s="10">
        <v>2356000</v>
      </c>
      <c r="BW56"/>
      <c r="CA56" s="10">
        <v>-8485000</v>
      </c>
      <c r="CE56" s="10">
        <v>-8485000</v>
      </c>
      <c r="CG56" s="10">
        <v>252000</v>
      </c>
      <c r="CH56" s="10">
        <v>-14650000</v>
      </c>
      <c r="CJ56" s="41"/>
      <c r="CK56" s="41"/>
      <c r="CM56" s="10">
        <v>-14650000</v>
      </c>
      <c r="CO56" s="41">
        <v>2023</v>
      </c>
      <c r="CR56" s="10">
        <v>166000</v>
      </c>
      <c r="CS56" s="10"/>
      <c r="CT56" s="10"/>
      <c r="CU56" s="10"/>
      <c r="CV56" s="10"/>
      <c r="CW56" s="10"/>
      <c r="CX56" t="s">
        <v>664</v>
      </c>
    </row>
    <row r="57" spans="1:102" x14ac:dyDescent="0.35">
      <c r="A57" t="s">
        <v>663</v>
      </c>
      <c r="B57" s="22">
        <v>45473</v>
      </c>
      <c r="C57">
        <v>2024</v>
      </c>
      <c r="D57" t="s">
        <v>214</v>
      </c>
      <c r="E57" s="41"/>
      <c r="F57" t="s">
        <v>213</v>
      </c>
      <c r="H57" s="10">
        <v>76318000</v>
      </c>
      <c r="I57" s="10">
        <v>-888000</v>
      </c>
      <c r="J57" s="10">
        <v>148306000</v>
      </c>
      <c r="K57" s="10">
        <v>-133263000</v>
      </c>
      <c r="L57" s="10">
        <v>41148000</v>
      </c>
      <c r="M57" s="10">
        <v>-550000</v>
      </c>
      <c r="O57" s="10">
        <v>56191000</v>
      </c>
      <c r="S57" s="10">
        <v>-550000</v>
      </c>
      <c r="T57" s="10">
        <v>-550000</v>
      </c>
      <c r="V57" s="10">
        <v>-3997000</v>
      </c>
      <c r="W57" s="10">
        <v>-4547000</v>
      </c>
      <c r="X57" s="10">
        <v>-3997000</v>
      </c>
      <c r="Y57" s="10">
        <v>56191000</v>
      </c>
      <c r="AA57" s="10">
        <v>-643000</v>
      </c>
      <c r="AB57" s="10">
        <v>-1216000</v>
      </c>
      <c r="AC57" s="10">
        <v>-1216000</v>
      </c>
      <c r="AD57" s="10">
        <v>4362000</v>
      </c>
      <c r="AE57" s="10">
        <v>4362000</v>
      </c>
      <c r="AF57" s="10">
        <v>-70000</v>
      </c>
      <c r="AH57" s="10">
        <v>132509000</v>
      </c>
      <c r="AI57" s="10">
        <v>148306000</v>
      </c>
      <c r="AJ57" s="10">
        <v>40260000</v>
      </c>
      <c r="AK57" s="10">
        <v>54000</v>
      </c>
      <c r="AM57" s="10">
        <v>10125000</v>
      </c>
      <c r="AN57" s="10">
        <v>57998000</v>
      </c>
      <c r="AO57" s="10">
        <v>-133263000</v>
      </c>
      <c r="AQ57" s="10">
        <v>0</v>
      </c>
      <c r="AR57" s="10">
        <v>0</v>
      </c>
      <c r="AS57" s="10">
        <v>-1227000</v>
      </c>
      <c r="AT57" s="10">
        <v>15000</v>
      </c>
      <c r="AU57" s="10">
        <v>-643000</v>
      </c>
      <c r="AW57" s="10">
        <v>32938000</v>
      </c>
      <c r="AX57" s="10">
        <v>32938000</v>
      </c>
      <c r="AY57" s="10">
        <v>-21510000</v>
      </c>
      <c r="AZ57" s="10">
        <v>-22604000</v>
      </c>
      <c r="BA57" s="10">
        <v>-1227000</v>
      </c>
      <c r="BC57" s="10">
        <v>2186000</v>
      </c>
      <c r="BD57" s="10">
        <v>-888000</v>
      </c>
      <c r="BF57" s="10">
        <v>41148000</v>
      </c>
      <c r="BG57" s="10">
        <v>-576000</v>
      </c>
      <c r="BI57" s="10">
        <v>3592000</v>
      </c>
      <c r="BK57" s="10">
        <v>150000</v>
      </c>
      <c r="BL57" s="10">
        <v>15000</v>
      </c>
      <c r="BM57" s="10">
        <v>-91164000</v>
      </c>
      <c r="BN57" s="10">
        <v>-888000</v>
      </c>
      <c r="BO57" s="10">
        <v>-15877000</v>
      </c>
      <c r="BP57" s="10">
        <v>-643000</v>
      </c>
      <c r="BR57" s="10">
        <v>69654000</v>
      </c>
      <c r="BS57" s="10">
        <v>0</v>
      </c>
      <c r="BT57" s="41"/>
      <c r="BU57" s="10">
        <v>3033000</v>
      </c>
      <c r="BW57"/>
      <c r="CA57" s="10">
        <v>-8507000</v>
      </c>
      <c r="CE57" s="10">
        <v>-8507000</v>
      </c>
      <c r="CG57" s="10">
        <v>26000</v>
      </c>
      <c r="CH57" s="10">
        <v>-21377000</v>
      </c>
      <c r="CJ57" s="41"/>
      <c r="CK57" s="41"/>
      <c r="CO57" s="41">
        <v>2024</v>
      </c>
      <c r="CR57" s="10"/>
      <c r="CS57" s="10"/>
      <c r="CT57" s="10"/>
      <c r="CU57" s="10"/>
      <c r="CV57" s="10"/>
      <c r="CW57" s="10"/>
      <c r="CX57" t="s">
        <v>664</v>
      </c>
    </row>
    <row r="58" spans="1:102" x14ac:dyDescent="0.35">
      <c r="A58" t="s">
        <v>665</v>
      </c>
      <c r="B58" s="22">
        <v>43830</v>
      </c>
      <c r="C58">
        <v>2019</v>
      </c>
      <c r="D58" t="s">
        <v>212</v>
      </c>
      <c r="E58" s="41"/>
      <c r="F58" t="s">
        <v>213</v>
      </c>
      <c r="P58" s="10">
        <v>-27206000</v>
      </c>
      <c r="X58" s="10">
        <v>6742000</v>
      </c>
      <c r="AT58" s="10">
        <v>10000000</v>
      </c>
      <c r="BG58" s="10">
        <v>5607000</v>
      </c>
      <c r="BL58" s="10">
        <v>0</v>
      </c>
      <c r="BQ58" s="10">
        <v>10000000</v>
      </c>
      <c r="BT58" s="41"/>
      <c r="BV58" s="10">
        <v>710000</v>
      </c>
      <c r="BW58"/>
      <c r="CB58" s="10">
        <v>-1457000</v>
      </c>
      <c r="CD58" s="10">
        <v>-1457000</v>
      </c>
      <c r="CJ58" s="41"/>
      <c r="CK58" s="41"/>
      <c r="CO58" s="41">
        <v>2019</v>
      </c>
      <c r="CR58" s="10"/>
      <c r="CS58" s="10"/>
      <c r="CT58" s="10"/>
      <c r="CU58" s="10"/>
      <c r="CV58" s="10"/>
      <c r="CW58" s="10"/>
      <c r="CX58" t="s">
        <v>666</v>
      </c>
    </row>
    <row r="59" spans="1:102" x14ac:dyDescent="0.35">
      <c r="A59" t="s">
        <v>665</v>
      </c>
      <c r="B59" s="22">
        <v>43830</v>
      </c>
      <c r="C59">
        <v>2019</v>
      </c>
      <c r="D59" t="s">
        <v>214</v>
      </c>
      <c r="E59" s="41"/>
      <c r="F59" t="s">
        <v>213</v>
      </c>
      <c r="X59" s="10">
        <v>6742000</v>
      </c>
      <c r="BT59" s="41"/>
      <c r="BW59"/>
      <c r="CJ59" s="41"/>
      <c r="CK59" s="41"/>
      <c r="CO59" s="41">
        <v>2019</v>
      </c>
      <c r="CR59" s="10"/>
      <c r="CS59" s="10"/>
      <c r="CT59" s="10"/>
      <c r="CU59" s="10"/>
      <c r="CV59" s="10"/>
      <c r="CW59" s="10"/>
      <c r="CX59" t="s">
        <v>666</v>
      </c>
    </row>
    <row r="60" spans="1:102" x14ac:dyDescent="0.35">
      <c r="A60" t="s">
        <v>665</v>
      </c>
      <c r="B60" s="22">
        <v>44196</v>
      </c>
      <c r="C60">
        <v>2020</v>
      </c>
      <c r="D60" t="s">
        <v>212</v>
      </c>
      <c r="E60" s="41"/>
      <c r="F60" t="s">
        <v>213</v>
      </c>
      <c r="G60" s="10">
        <v>0</v>
      </c>
      <c r="H60" s="10">
        <v>757098000</v>
      </c>
      <c r="I60" s="10">
        <v>-42408000</v>
      </c>
      <c r="J60" s="10">
        <v>-132856000</v>
      </c>
      <c r="K60" s="10">
        <v>-310046000</v>
      </c>
      <c r="L60" s="10">
        <v>163467000</v>
      </c>
      <c r="M60" s="10">
        <v>-2850000</v>
      </c>
      <c r="O60" s="10">
        <v>-279435000</v>
      </c>
      <c r="R60" s="10">
        <v>-12132000</v>
      </c>
      <c r="S60" s="10">
        <v>-2850000</v>
      </c>
      <c r="T60" s="10">
        <v>-2850000</v>
      </c>
      <c r="V60" s="10">
        <v>11354000</v>
      </c>
      <c r="W60" s="10">
        <v>-3628000</v>
      </c>
      <c r="Y60" s="10">
        <v>-279435000</v>
      </c>
      <c r="AA60" s="10">
        <v>-349000</v>
      </c>
      <c r="AB60" s="10">
        <v>-7182000</v>
      </c>
      <c r="AC60" s="10">
        <v>-7182000</v>
      </c>
      <c r="AD60" s="10">
        <v>81041000</v>
      </c>
      <c r="AE60" s="10">
        <v>81041000</v>
      </c>
      <c r="AH60" s="10">
        <v>477663000</v>
      </c>
      <c r="AI60" s="10">
        <v>-132856000</v>
      </c>
      <c r="AJ60" s="10">
        <v>121059000</v>
      </c>
      <c r="AO60" s="10">
        <v>-310046000</v>
      </c>
      <c r="AQ60" s="10">
        <v>0</v>
      </c>
      <c r="AR60" s="10">
        <v>0</v>
      </c>
      <c r="AS60" s="10">
        <v>-94909000</v>
      </c>
      <c r="AT60" s="10">
        <v>910000</v>
      </c>
      <c r="AU60" s="10">
        <v>-349000</v>
      </c>
      <c r="AW60" s="10">
        <v>44801000</v>
      </c>
      <c r="AX60" s="10">
        <v>37941000</v>
      </c>
      <c r="AY60" s="10">
        <v>-268548000</v>
      </c>
      <c r="AZ60" s="10">
        <v>-94909000</v>
      </c>
      <c r="BA60" s="10">
        <v>-94909000</v>
      </c>
      <c r="BB60" s="10">
        <v>3582000</v>
      </c>
      <c r="BD60" s="10">
        <v>-11793000</v>
      </c>
      <c r="BF60" s="10">
        <v>163467000</v>
      </c>
      <c r="BG60" s="10">
        <v>7539000</v>
      </c>
      <c r="BI60" s="10">
        <v>37314000</v>
      </c>
      <c r="BK60" s="10">
        <v>1892000</v>
      </c>
      <c r="BL60" s="10">
        <v>0</v>
      </c>
      <c r="BM60" s="10">
        <v>-529559000</v>
      </c>
      <c r="BN60" s="10">
        <v>-11793000</v>
      </c>
      <c r="BO60" s="10">
        <v>-94909000</v>
      </c>
      <c r="BP60" s="10">
        <v>-349000</v>
      </c>
      <c r="BQ60" s="10">
        <v>910000</v>
      </c>
      <c r="BR60" s="10">
        <v>261011000</v>
      </c>
      <c r="BT60" s="41"/>
      <c r="BU60" s="10">
        <v>10442000</v>
      </c>
      <c r="BV60" s="10">
        <v>-5588000</v>
      </c>
      <c r="BW60"/>
      <c r="BZ60" s="10">
        <v>-30615000</v>
      </c>
      <c r="CA60" s="10">
        <v>-43072000</v>
      </c>
      <c r="CB60" s="10">
        <v>309000</v>
      </c>
      <c r="CD60" s="10">
        <v>309000</v>
      </c>
      <c r="CE60" s="10">
        <v>-43072000</v>
      </c>
      <c r="CJ60" s="41"/>
      <c r="CK60" s="41"/>
      <c r="CO60" s="41">
        <v>2020</v>
      </c>
      <c r="CR60" s="10"/>
      <c r="CS60" s="10"/>
      <c r="CT60" s="10"/>
      <c r="CU60" s="10"/>
      <c r="CV60" s="10">
        <v>0</v>
      </c>
      <c r="CW60" s="10">
        <v>0</v>
      </c>
      <c r="CX60" t="s">
        <v>666</v>
      </c>
    </row>
    <row r="61" spans="1:102" x14ac:dyDescent="0.35">
      <c r="A61" t="s">
        <v>665</v>
      </c>
      <c r="B61" s="22">
        <v>44561</v>
      </c>
      <c r="C61">
        <v>2021</v>
      </c>
      <c r="D61" t="s">
        <v>212</v>
      </c>
      <c r="E61" s="41"/>
      <c r="F61" t="s">
        <v>213</v>
      </c>
      <c r="G61" s="10">
        <v>13228000</v>
      </c>
      <c r="H61" s="10">
        <v>477663000</v>
      </c>
      <c r="I61" s="10">
        <v>-38277000</v>
      </c>
      <c r="J61" s="10">
        <v>-74470000</v>
      </c>
      <c r="K61" s="10">
        <v>179639000</v>
      </c>
      <c r="L61" s="10">
        <v>130392000</v>
      </c>
      <c r="M61" s="10">
        <v>-1803000</v>
      </c>
      <c r="O61" s="10">
        <v>235561000</v>
      </c>
      <c r="R61" s="10">
        <v>10106000</v>
      </c>
      <c r="S61" s="10">
        <v>-1803000</v>
      </c>
      <c r="T61" s="10">
        <v>-1803000</v>
      </c>
      <c r="V61" s="10">
        <v>-15103000</v>
      </c>
      <c r="W61" s="10">
        <v>-6800000</v>
      </c>
      <c r="Y61" s="10">
        <v>235561000</v>
      </c>
      <c r="AA61" s="10">
        <v>-30000000</v>
      </c>
      <c r="AB61" s="10">
        <v>-7503000</v>
      </c>
      <c r="AC61" s="10">
        <v>-7503000</v>
      </c>
      <c r="AD61" s="10">
        <v>78193000</v>
      </c>
      <c r="AE61" s="10">
        <v>78193000</v>
      </c>
      <c r="AH61" s="10">
        <v>713224000</v>
      </c>
      <c r="AI61" s="10">
        <v>-74470000</v>
      </c>
      <c r="AJ61" s="10">
        <v>92115000</v>
      </c>
      <c r="AM61" s="10">
        <v>23091000</v>
      </c>
      <c r="AN61" s="10">
        <v>8000000</v>
      </c>
      <c r="AO61" s="10">
        <v>179639000</v>
      </c>
      <c r="AQ61" s="10">
        <v>0</v>
      </c>
      <c r="AR61" s="10">
        <v>0</v>
      </c>
      <c r="AS61" s="10">
        <v>0</v>
      </c>
      <c r="AT61" s="10">
        <v>0</v>
      </c>
      <c r="AU61" s="10">
        <v>-30000000</v>
      </c>
      <c r="AW61" s="10">
        <v>55295000</v>
      </c>
      <c r="AX61" s="10">
        <v>42188000</v>
      </c>
      <c r="AY61" s="10">
        <v>217916000</v>
      </c>
      <c r="AZ61" s="10">
        <v>0</v>
      </c>
      <c r="BA61" s="10">
        <v>0</v>
      </c>
      <c r="BB61" s="10">
        <v>-9362000</v>
      </c>
      <c r="BD61" s="10">
        <v>-2511000</v>
      </c>
      <c r="BF61" s="10">
        <v>130392000</v>
      </c>
      <c r="BI61" s="10">
        <v>-17650000</v>
      </c>
      <c r="BK61" s="10">
        <v>7950000</v>
      </c>
      <c r="BM61" s="10">
        <v>-527800000</v>
      </c>
      <c r="BN61" s="10">
        <v>-2511000</v>
      </c>
      <c r="BO61" s="10">
        <v>0</v>
      </c>
      <c r="BP61" s="10">
        <v>-30000000</v>
      </c>
      <c r="BQ61" s="10">
        <v>0</v>
      </c>
      <c r="BR61" s="10">
        <v>745716000</v>
      </c>
      <c r="BT61" s="41"/>
      <c r="BU61" s="10">
        <v>28736000</v>
      </c>
      <c r="BV61" s="10">
        <v>-7649000</v>
      </c>
      <c r="BW61"/>
      <c r="BZ61" s="10">
        <v>-33416000</v>
      </c>
      <c r="CA61" s="10">
        <v>-43058000</v>
      </c>
      <c r="CE61" s="10">
        <v>-43058000</v>
      </c>
      <c r="CJ61" s="41"/>
      <c r="CK61" s="41"/>
      <c r="CO61" s="41">
        <v>2021</v>
      </c>
      <c r="CR61" s="10"/>
      <c r="CS61" s="10"/>
      <c r="CT61" s="10"/>
      <c r="CU61" s="10"/>
      <c r="CV61" s="10">
        <v>-2350000</v>
      </c>
      <c r="CW61" s="10">
        <v>-2350000</v>
      </c>
      <c r="CX61" t="s">
        <v>666</v>
      </c>
    </row>
    <row r="62" spans="1:102" x14ac:dyDescent="0.35">
      <c r="A62" t="s">
        <v>665</v>
      </c>
      <c r="B62" s="22">
        <v>44926</v>
      </c>
      <c r="C62">
        <v>2022</v>
      </c>
      <c r="D62" t="s">
        <v>212</v>
      </c>
      <c r="E62" s="41"/>
      <c r="F62" t="s">
        <v>213</v>
      </c>
      <c r="G62" s="10">
        <v>2427000</v>
      </c>
      <c r="H62" s="10">
        <v>713224000</v>
      </c>
      <c r="I62" s="10">
        <v>-42753000</v>
      </c>
      <c r="J62" s="10">
        <v>18604000</v>
      </c>
      <c r="K62" s="10">
        <v>-314706000</v>
      </c>
      <c r="L62" s="10">
        <v>286039000</v>
      </c>
      <c r="M62" s="10">
        <v>6868000</v>
      </c>
      <c r="O62" s="10">
        <v>-10063000</v>
      </c>
      <c r="R62" s="10">
        <v>-12388000</v>
      </c>
      <c r="S62" s="10">
        <v>6868000</v>
      </c>
      <c r="T62" s="10">
        <v>6868000</v>
      </c>
      <c r="V62" s="10">
        <v>-22069000</v>
      </c>
      <c r="W62" s="10">
        <v>-27589000</v>
      </c>
      <c r="Y62" s="10">
        <v>-10063000</v>
      </c>
      <c r="AA62" s="10">
        <v>-74445000</v>
      </c>
      <c r="AB62" s="10">
        <v>18518000</v>
      </c>
      <c r="AC62" s="10">
        <v>18518000</v>
      </c>
      <c r="AD62" s="10">
        <v>78571000</v>
      </c>
      <c r="AE62" s="10">
        <v>78571000</v>
      </c>
      <c r="AH62" s="10">
        <v>703161000</v>
      </c>
      <c r="AI62" s="10">
        <v>18604000</v>
      </c>
      <c r="AJ62" s="10">
        <v>243286000</v>
      </c>
      <c r="AM62" s="10">
        <v>6805000</v>
      </c>
      <c r="AN62" s="10">
        <v>13429000</v>
      </c>
      <c r="AO62" s="10">
        <v>-314706000</v>
      </c>
      <c r="AQ62" s="10">
        <v>460000000</v>
      </c>
      <c r="AR62" s="10">
        <v>460000000</v>
      </c>
      <c r="AS62" s="10">
        <v>-282499000</v>
      </c>
      <c r="AT62" s="10">
        <v>0</v>
      </c>
      <c r="AU62" s="10">
        <v>-74445000</v>
      </c>
      <c r="AW62" s="10">
        <v>93693000</v>
      </c>
      <c r="AX62" s="10">
        <v>92061000</v>
      </c>
      <c r="AY62" s="10">
        <v>-271953000</v>
      </c>
      <c r="AZ62" s="10">
        <v>177501000</v>
      </c>
      <c r="BA62" s="10">
        <v>177501000</v>
      </c>
      <c r="BB62" s="10">
        <v>-87072000</v>
      </c>
      <c r="BD62" s="10">
        <v>-3156000</v>
      </c>
      <c r="BF62" s="10">
        <v>286039000</v>
      </c>
      <c r="BG62" s="10">
        <v>11190000</v>
      </c>
      <c r="BI62" s="10">
        <v>88734000</v>
      </c>
      <c r="BK62" s="10">
        <v>44926000</v>
      </c>
      <c r="BM62" s="10">
        <v>-532724000</v>
      </c>
      <c r="BN62" s="10">
        <v>-3156000</v>
      </c>
      <c r="BO62" s="10">
        <v>-282499000</v>
      </c>
      <c r="BP62" s="10">
        <v>-74445000</v>
      </c>
      <c r="BQ62" s="10">
        <v>0</v>
      </c>
      <c r="BR62" s="10">
        <v>260771000</v>
      </c>
      <c r="BT62" s="41"/>
      <c r="BU62" s="10">
        <v>22127000</v>
      </c>
      <c r="BW62"/>
      <c r="BZ62" s="10">
        <v>-39597000</v>
      </c>
      <c r="CA62" s="10">
        <v>-42306000</v>
      </c>
      <c r="CE62" s="10">
        <v>-42306000</v>
      </c>
      <c r="CJ62" s="41"/>
      <c r="CK62" s="41"/>
      <c r="CO62" s="41">
        <v>2022</v>
      </c>
      <c r="CR62" s="10"/>
      <c r="CS62" s="10"/>
      <c r="CT62" s="10"/>
      <c r="CU62" s="10"/>
      <c r="CV62" s="10">
        <v>0</v>
      </c>
      <c r="CW62" s="10">
        <v>0</v>
      </c>
      <c r="CX62" t="s">
        <v>666</v>
      </c>
    </row>
    <row r="63" spans="1:102" x14ac:dyDescent="0.35">
      <c r="A63" t="s">
        <v>665</v>
      </c>
      <c r="B63" s="22">
        <v>45291</v>
      </c>
      <c r="C63">
        <v>2023</v>
      </c>
      <c r="D63" t="s">
        <v>212</v>
      </c>
      <c r="E63" s="41"/>
      <c r="F63" t="s">
        <v>213</v>
      </c>
      <c r="G63" s="10">
        <v>2500000</v>
      </c>
      <c r="H63" s="10">
        <v>703161000</v>
      </c>
      <c r="I63" s="10">
        <v>-44626000</v>
      </c>
      <c r="J63" s="10">
        <v>-388763000</v>
      </c>
      <c r="K63" s="10">
        <v>-85170000</v>
      </c>
      <c r="L63" s="10">
        <v>213733000</v>
      </c>
      <c r="M63" s="10">
        <v>-2513000</v>
      </c>
      <c r="O63" s="10">
        <v>-260200000</v>
      </c>
      <c r="R63" s="10">
        <v>65427000</v>
      </c>
      <c r="S63" s="10">
        <v>-2513000</v>
      </c>
      <c r="T63" s="10">
        <v>-2513000</v>
      </c>
      <c r="V63" s="10">
        <v>-64110000</v>
      </c>
      <c r="W63" s="10">
        <v>-1196000</v>
      </c>
      <c r="Y63" s="10">
        <v>-260200000</v>
      </c>
      <c r="AA63" s="10">
        <v>-339704000</v>
      </c>
      <c r="AB63" s="10">
        <v>-34665000</v>
      </c>
      <c r="AC63" s="10">
        <v>-34665000</v>
      </c>
      <c r="AD63" s="10">
        <v>77792000</v>
      </c>
      <c r="AE63" s="10">
        <v>77792000</v>
      </c>
      <c r="AH63" s="10">
        <v>442961000</v>
      </c>
      <c r="AI63" s="10">
        <v>-388763000</v>
      </c>
      <c r="AJ63" s="10">
        <v>169107000</v>
      </c>
      <c r="AM63" s="10">
        <v>59202000</v>
      </c>
      <c r="AN63" s="10">
        <v>18623000</v>
      </c>
      <c r="AO63" s="10">
        <v>-85170000</v>
      </c>
      <c r="AQ63" s="10">
        <v>0</v>
      </c>
      <c r="AR63" s="10">
        <v>0</v>
      </c>
      <c r="AS63" s="10">
        <v>0</v>
      </c>
      <c r="AU63" s="10">
        <v>-339704000</v>
      </c>
      <c r="AW63" s="10">
        <v>214069000</v>
      </c>
      <c r="AX63" s="10">
        <v>211053000</v>
      </c>
      <c r="AY63" s="10">
        <v>-40544000</v>
      </c>
      <c r="AZ63" s="10">
        <v>0</v>
      </c>
      <c r="BA63" s="10">
        <v>0</v>
      </c>
      <c r="BB63" s="10">
        <v>-10857000</v>
      </c>
      <c r="BD63" s="10">
        <v>-4268000</v>
      </c>
      <c r="BF63" s="10">
        <v>213733000</v>
      </c>
      <c r="BI63" s="10">
        <v>-77492000</v>
      </c>
      <c r="BK63" s="10">
        <v>1252000</v>
      </c>
      <c r="BM63" s="10">
        <v>-838247000</v>
      </c>
      <c r="BN63" s="10">
        <v>-4268000</v>
      </c>
      <c r="BO63" s="10">
        <v>0</v>
      </c>
      <c r="BP63" s="10">
        <v>-339704000</v>
      </c>
      <c r="BR63" s="10">
        <v>797703000</v>
      </c>
      <c r="BT63" s="41"/>
      <c r="BU63" s="10">
        <v>35741000</v>
      </c>
      <c r="BW63"/>
      <c r="BZ63" s="10">
        <v>-40358000</v>
      </c>
      <c r="CA63" s="10">
        <v>-39454000</v>
      </c>
      <c r="CE63" s="10">
        <v>-39454000</v>
      </c>
      <c r="CJ63" s="41"/>
      <c r="CK63" s="41"/>
      <c r="CO63" s="41">
        <v>2023</v>
      </c>
      <c r="CR63" s="10"/>
      <c r="CS63" s="10"/>
      <c r="CT63" s="10"/>
      <c r="CU63" s="10"/>
      <c r="CV63" s="10">
        <v>0</v>
      </c>
      <c r="CW63" s="10">
        <v>0</v>
      </c>
      <c r="CX63" t="s">
        <v>666</v>
      </c>
    </row>
    <row r="64" spans="1:102" x14ac:dyDescent="0.35">
      <c r="A64" t="s">
        <v>665</v>
      </c>
      <c r="B64" s="22">
        <v>45473</v>
      </c>
      <c r="C64">
        <v>2024</v>
      </c>
      <c r="D64" t="s">
        <v>214</v>
      </c>
      <c r="E64" s="41"/>
      <c r="F64" t="s">
        <v>213</v>
      </c>
      <c r="H64" s="10">
        <v>290872000</v>
      </c>
      <c r="I64" s="10">
        <v>-45707000</v>
      </c>
      <c r="J64" s="10">
        <v>-350638000</v>
      </c>
      <c r="K64" s="10">
        <v>79873000</v>
      </c>
      <c r="L64" s="10">
        <v>288888000</v>
      </c>
      <c r="M64" s="10">
        <v>-2169000</v>
      </c>
      <c r="O64" s="10">
        <v>18123000</v>
      </c>
      <c r="R64" s="10">
        <v>-57977000</v>
      </c>
      <c r="S64" s="10">
        <v>-2169000</v>
      </c>
      <c r="T64" s="10">
        <v>-2169000</v>
      </c>
      <c r="V64" s="10">
        <v>13154000</v>
      </c>
      <c r="W64" s="10">
        <v>-46992000</v>
      </c>
      <c r="Y64" s="10">
        <v>18123000</v>
      </c>
      <c r="AA64" s="10">
        <v>-157504000</v>
      </c>
      <c r="AB64" s="10">
        <v>-5600000</v>
      </c>
      <c r="AC64" s="10">
        <v>-5600000</v>
      </c>
      <c r="AD64" s="10">
        <v>73237000</v>
      </c>
      <c r="AE64" s="10">
        <v>73237000</v>
      </c>
      <c r="AH64" s="10">
        <v>308995000</v>
      </c>
      <c r="AI64" s="10">
        <v>-350638000</v>
      </c>
      <c r="AJ64" s="10">
        <v>243181000</v>
      </c>
      <c r="AM64" s="10">
        <v>54990000</v>
      </c>
      <c r="AN64" s="10">
        <v>18622000</v>
      </c>
      <c r="AO64" s="10">
        <v>79873000</v>
      </c>
      <c r="AS64" s="10">
        <v>-139069000</v>
      </c>
      <c r="AU64" s="10">
        <v>-157504000</v>
      </c>
      <c r="AW64" s="10">
        <v>278343000</v>
      </c>
      <c r="AX64" s="10">
        <v>277556000</v>
      </c>
      <c r="AY64" s="10">
        <v>125580000</v>
      </c>
      <c r="AZ64" s="10">
        <v>-139069000</v>
      </c>
      <c r="BA64" s="10">
        <v>-139069000</v>
      </c>
      <c r="BB64" s="10">
        <v>-14624000</v>
      </c>
      <c r="BD64" s="10">
        <v>-2668000</v>
      </c>
      <c r="BF64" s="10">
        <v>288888000</v>
      </c>
      <c r="BI64" s="10">
        <v>-53173000</v>
      </c>
      <c r="BK64" s="10">
        <v>553000</v>
      </c>
      <c r="BM64" s="10">
        <v>-603777000</v>
      </c>
      <c r="BN64" s="10">
        <v>-2668000</v>
      </c>
      <c r="BO64" s="10">
        <v>-139069000</v>
      </c>
      <c r="BP64" s="10">
        <v>-157504000</v>
      </c>
      <c r="BR64" s="10">
        <v>729357000</v>
      </c>
      <c r="BT64" s="41"/>
      <c r="BU64" s="10">
        <v>38252000</v>
      </c>
      <c r="BW64"/>
      <c r="BZ64" s="10">
        <v>-43039000</v>
      </c>
      <c r="CA64" s="10">
        <v>-39994000</v>
      </c>
      <c r="CE64" s="10">
        <v>-39994000</v>
      </c>
      <c r="CJ64" s="41"/>
      <c r="CK64" s="41"/>
      <c r="CO64" s="41">
        <v>2024</v>
      </c>
      <c r="CR64" s="10"/>
      <c r="CS64" s="10"/>
      <c r="CT64" s="10"/>
      <c r="CU64" s="10"/>
      <c r="CV64" s="10"/>
      <c r="CW64" s="10"/>
      <c r="CX64" t="s">
        <v>666</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A531-872E-4EFA-8AD0-D830F0B9014C}">
  <sheetPr>
    <tabColor theme="7" tint="0.79998168889431442"/>
  </sheetPr>
  <dimension ref="A1:AV11"/>
  <sheetViews>
    <sheetView showGridLines="0" workbookViewId="0">
      <pane xSplit="1" ySplit="1" topLeftCell="AA2" activePane="bottomRight" state="frozen"/>
      <selection pane="topRight" activeCell="B1" sqref="B1"/>
      <selection pane="bottomLeft" activeCell="A2" sqref="A2"/>
      <selection pane="bottomRight" activeCell="AE1" sqref="AE1"/>
    </sheetView>
  </sheetViews>
  <sheetFormatPr defaultRowHeight="14.5" x14ac:dyDescent="0.35"/>
  <cols>
    <col min="1" max="6" width="8.7265625" bestFit="1" customWidth="1"/>
    <col min="7" max="7" width="8.54296875" bestFit="1" customWidth="1"/>
    <col min="8" max="10" width="8.7265625" bestFit="1" customWidth="1"/>
    <col min="11" max="12" width="8.7265625" style="78" bestFit="1" customWidth="1"/>
    <col min="13" max="15" width="8.7265625" bestFit="1" customWidth="1"/>
    <col min="16" max="17" width="8.7265625" style="78" bestFit="1" customWidth="1"/>
    <col min="18" max="18" width="8.7265625" bestFit="1" customWidth="1"/>
    <col min="19" max="19" width="8.7265625" style="78" bestFit="1" customWidth="1"/>
    <col min="20" max="20" width="8.7265625" bestFit="1" customWidth="1"/>
    <col min="21" max="21" width="8.7265625" style="78" bestFit="1" customWidth="1"/>
    <col min="22" max="26" width="8.7265625" bestFit="1" customWidth="1"/>
    <col min="27" max="27" width="8.7265625" style="78" bestFit="1" customWidth="1"/>
    <col min="28" max="30" width="8.7265625" bestFit="1" customWidth="1"/>
    <col min="31" max="31" width="7.1796875" bestFit="1" customWidth="1"/>
    <col min="32" max="47" width="8.7265625" bestFit="1" customWidth="1"/>
    <col min="48" max="48" width="8.36328125" bestFit="1" customWidth="1"/>
  </cols>
  <sheetData>
    <row r="1" spans="1:48" x14ac:dyDescent="0.35">
      <c r="A1" t="s">
        <v>139</v>
      </c>
      <c r="B1" t="s">
        <v>425</v>
      </c>
      <c r="C1" t="s">
        <v>426</v>
      </c>
      <c r="D1" t="s">
        <v>427</v>
      </c>
      <c r="E1" t="s">
        <v>428</v>
      </c>
      <c r="F1" t="s">
        <v>429</v>
      </c>
      <c r="G1" t="s">
        <v>89</v>
      </c>
      <c r="H1" t="s">
        <v>430</v>
      </c>
      <c r="I1" t="s">
        <v>431</v>
      </c>
      <c r="J1" t="s">
        <v>432</v>
      </c>
      <c r="K1" s="78" t="s">
        <v>433</v>
      </c>
      <c r="L1" s="78" t="s">
        <v>434</v>
      </c>
      <c r="M1" t="s">
        <v>435</v>
      </c>
      <c r="N1" t="s">
        <v>436</v>
      </c>
      <c r="O1" t="s">
        <v>437</v>
      </c>
      <c r="P1" s="78" t="s">
        <v>438</v>
      </c>
      <c r="Q1" s="78" t="s">
        <v>439</v>
      </c>
      <c r="R1" t="s">
        <v>440</v>
      </c>
      <c r="S1" s="78" t="s">
        <v>441</v>
      </c>
      <c r="T1" t="s">
        <v>442</v>
      </c>
      <c r="U1" s="78" t="s">
        <v>443</v>
      </c>
      <c r="V1" t="s">
        <v>444</v>
      </c>
      <c r="W1" t="s">
        <v>445</v>
      </c>
      <c r="X1" t="s">
        <v>446</v>
      </c>
      <c r="Y1" t="s">
        <v>632</v>
      </c>
      <c r="Z1" t="s">
        <v>447</v>
      </c>
      <c r="AA1" t="s">
        <v>448</v>
      </c>
      <c r="AB1" s="78" t="s">
        <v>449</v>
      </c>
      <c r="AC1" t="s">
        <v>450</v>
      </c>
      <c r="AD1" t="s">
        <v>451</v>
      </c>
      <c r="AE1" t="s">
        <v>452</v>
      </c>
      <c r="AF1" t="s">
        <v>453</v>
      </c>
      <c r="AG1" t="s">
        <v>454</v>
      </c>
      <c r="AH1" t="s">
        <v>455</v>
      </c>
      <c r="AI1" t="s">
        <v>456</v>
      </c>
      <c r="AJ1" t="s">
        <v>457</v>
      </c>
      <c r="AK1" t="s">
        <v>458</v>
      </c>
      <c r="AL1" t="s">
        <v>459</v>
      </c>
      <c r="AM1" t="s">
        <v>460</v>
      </c>
      <c r="AN1" t="s">
        <v>461</v>
      </c>
      <c r="AO1" t="s">
        <v>462</v>
      </c>
      <c r="AP1" t="s">
        <v>463</v>
      </c>
      <c r="AQ1" t="s">
        <v>464</v>
      </c>
      <c r="AR1" t="s">
        <v>465</v>
      </c>
      <c r="AS1" t="s">
        <v>466</v>
      </c>
      <c r="AT1" t="s">
        <v>467</v>
      </c>
      <c r="AU1" t="s">
        <v>468</v>
      </c>
      <c r="AV1" t="s">
        <v>211</v>
      </c>
    </row>
    <row r="2" spans="1:48" x14ac:dyDescent="0.35">
      <c r="A2" t="s">
        <v>647</v>
      </c>
      <c r="B2">
        <v>584</v>
      </c>
      <c r="C2" t="s">
        <v>669</v>
      </c>
      <c r="D2" t="s">
        <v>670</v>
      </c>
      <c r="E2" t="s">
        <v>633</v>
      </c>
      <c r="F2" t="s">
        <v>671</v>
      </c>
      <c r="G2" s="22">
        <v>45544</v>
      </c>
      <c r="H2">
        <v>271.99</v>
      </c>
      <c r="I2">
        <v>516492992</v>
      </c>
      <c r="J2">
        <v>42808000</v>
      </c>
      <c r="K2" s="78">
        <v>0.10943</v>
      </c>
      <c r="L2" s="78">
        <v>1.179</v>
      </c>
      <c r="M2">
        <v>10.874000000000001</v>
      </c>
      <c r="N2">
        <v>10.943</v>
      </c>
      <c r="O2">
        <v>362751008</v>
      </c>
      <c r="P2" s="78">
        <v>2.4510000000000001E-2</v>
      </c>
      <c r="Q2" s="78">
        <v>8.3599999999999994E-3</v>
      </c>
      <c r="T2" s="10">
        <v>-240133376</v>
      </c>
      <c r="U2" s="78">
        <v>1.7899999999999999E-2</v>
      </c>
      <c r="V2">
        <v>8.1709999999999994</v>
      </c>
      <c r="W2">
        <v>9.3740000000000006</v>
      </c>
      <c r="X2">
        <v>23719000</v>
      </c>
      <c r="Y2">
        <v>180.25</v>
      </c>
      <c r="Z2">
        <v>139.88</v>
      </c>
      <c r="AA2"/>
      <c r="AB2" s="78"/>
      <c r="AC2" s="45"/>
      <c r="AE2">
        <v>1.9930000000000001</v>
      </c>
      <c r="AF2">
        <v>3482.75</v>
      </c>
      <c r="AG2">
        <v>74.897850000000005</v>
      </c>
      <c r="AH2">
        <v>830450</v>
      </c>
      <c r="AI2">
        <v>36.42</v>
      </c>
      <c r="AJ2">
        <v>177.37</v>
      </c>
      <c r="AK2">
        <v>12.936303000000001</v>
      </c>
      <c r="AL2">
        <v>0</v>
      </c>
      <c r="AM2">
        <v>0</v>
      </c>
      <c r="AN2" s="10">
        <v>4641015296</v>
      </c>
      <c r="AO2">
        <v>33314300</v>
      </c>
      <c r="AP2">
        <v>5.7</v>
      </c>
      <c r="AQ2">
        <v>24.440351</v>
      </c>
      <c r="AR2" s="45">
        <v>45290.791666666664</v>
      </c>
      <c r="AS2" s="45">
        <v>45656.791666666664</v>
      </c>
      <c r="AT2" s="45">
        <v>45472.833333333336</v>
      </c>
      <c r="AV2" t="s">
        <v>648</v>
      </c>
    </row>
    <row r="3" spans="1:48" x14ac:dyDescent="0.35">
      <c r="A3" t="s">
        <v>649</v>
      </c>
      <c r="B3">
        <v>2243</v>
      </c>
      <c r="C3" t="s">
        <v>672</v>
      </c>
      <c r="D3" t="s">
        <v>673</v>
      </c>
      <c r="E3" t="s">
        <v>628</v>
      </c>
      <c r="F3" t="s">
        <v>674</v>
      </c>
      <c r="G3" s="22">
        <v>45544</v>
      </c>
      <c r="I3">
        <v>322092000</v>
      </c>
      <c r="J3">
        <v>-73567000</v>
      </c>
      <c r="K3" s="78">
        <v>-0.25807999999999998</v>
      </c>
      <c r="L3" s="78">
        <v>0.14699999999999999</v>
      </c>
      <c r="M3">
        <v>2.0609999999999999</v>
      </c>
      <c r="N3">
        <v>7.9249999999999998</v>
      </c>
      <c r="O3">
        <v>149132000</v>
      </c>
      <c r="P3" s="78">
        <v>-8.9200000000000002E-2</v>
      </c>
      <c r="Q3" s="78">
        <v>-0.18795999999999999</v>
      </c>
      <c r="T3" s="10">
        <v>-7543250</v>
      </c>
      <c r="U3" s="78">
        <v>-6.2201599999999999</v>
      </c>
      <c r="V3">
        <v>0.98599999999999999</v>
      </c>
      <c r="W3">
        <v>1.2390000000000001</v>
      </c>
      <c r="X3">
        <v>-71989000</v>
      </c>
      <c r="Y3">
        <v>34.5</v>
      </c>
      <c r="Z3">
        <v>30.04</v>
      </c>
      <c r="AA3"/>
      <c r="AB3" s="78"/>
      <c r="AC3" s="45"/>
      <c r="AE3">
        <v>1.571</v>
      </c>
      <c r="AG3">
        <v>231.30770000000001</v>
      </c>
      <c r="AH3">
        <v>357650</v>
      </c>
      <c r="AI3">
        <v>26.28</v>
      </c>
      <c r="AJ3">
        <v>51.92</v>
      </c>
      <c r="AK3">
        <v>3.7593502999999999</v>
      </c>
      <c r="AL3">
        <v>0</v>
      </c>
      <c r="AM3">
        <v>0</v>
      </c>
      <c r="AN3" s="10">
        <v>2175528448</v>
      </c>
      <c r="AO3">
        <v>41153000</v>
      </c>
      <c r="AP3">
        <v>-0.63100000000000001</v>
      </c>
      <c r="AR3" s="45">
        <v>45290.791666666664</v>
      </c>
      <c r="AS3" s="45">
        <v>45656.791666666664</v>
      </c>
      <c r="AT3" s="45">
        <v>45472.833333333336</v>
      </c>
      <c r="AV3" t="s">
        <v>650</v>
      </c>
    </row>
    <row r="4" spans="1:48" x14ac:dyDescent="0.35">
      <c r="A4" t="s">
        <v>651</v>
      </c>
      <c r="B4">
        <v>1839</v>
      </c>
      <c r="C4" t="s">
        <v>675</v>
      </c>
      <c r="D4" t="s">
        <v>645</v>
      </c>
      <c r="E4" t="s">
        <v>628</v>
      </c>
      <c r="F4" t="s">
        <v>676</v>
      </c>
      <c r="G4" s="22">
        <v>45544</v>
      </c>
      <c r="H4">
        <v>137.75399999999999</v>
      </c>
      <c r="I4">
        <v>3905043968</v>
      </c>
      <c r="J4">
        <v>-466740992</v>
      </c>
      <c r="K4" s="78">
        <v>-1.79711</v>
      </c>
      <c r="L4" s="78">
        <v>-7.3999999999999996E-2</v>
      </c>
      <c r="M4">
        <v>0.34399999999999997</v>
      </c>
      <c r="N4">
        <v>2.9009999999999998</v>
      </c>
      <c r="O4">
        <v>66923000</v>
      </c>
      <c r="P4" s="78">
        <v>-5.6789998000000001E-2</v>
      </c>
      <c r="Q4" s="78">
        <v>-0.43691003</v>
      </c>
      <c r="T4" s="10">
        <v>-4009297152</v>
      </c>
      <c r="U4" s="78">
        <v>-0.11494</v>
      </c>
      <c r="V4">
        <v>0.41899999999999998</v>
      </c>
      <c r="W4">
        <v>0.46700000000000003</v>
      </c>
      <c r="X4">
        <v>-955000</v>
      </c>
      <c r="Y4">
        <v>192.41</v>
      </c>
      <c r="Z4">
        <v>114.3</v>
      </c>
      <c r="AA4"/>
      <c r="AB4" s="78"/>
      <c r="AC4" s="45"/>
      <c r="AE4">
        <v>3.1080000000000001</v>
      </c>
      <c r="AG4">
        <v>-328.47370000000001</v>
      </c>
      <c r="AH4">
        <v>9553680</v>
      </c>
      <c r="AI4">
        <v>30.710999999999999</v>
      </c>
      <c r="AJ4">
        <v>199.999</v>
      </c>
      <c r="AK4">
        <v>50.4649</v>
      </c>
      <c r="AL4">
        <v>0</v>
      </c>
      <c r="AM4">
        <v>0</v>
      </c>
      <c r="AN4" s="10">
        <v>24255145984</v>
      </c>
      <c r="AO4">
        <v>174680000</v>
      </c>
      <c r="AP4">
        <v>14.868</v>
      </c>
      <c r="AQ4">
        <v>8.3952109999999998</v>
      </c>
      <c r="AR4" s="45">
        <v>45290.791666666664</v>
      </c>
      <c r="AS4" s="45">
        <v>45656.791666666664</v>
      </c>
      <c r="AT4" s="45">
        <v>45472.833333333336</v>
      </c>
      <c r="AU4">
        <v>-12.84</v>
      </c>
      <c r="AV4" t="s">
        <v>652</v>
      </c>
    </row>
    <row r="5" spans="1:48" x14ac:dyDescent="0.35">
      <c r="A5" t="s">
        <v>653</v>
      </c>
      <c r="B5">
        <v>1274</v>
      </c>
      <c r="C5" t="s">
        <v>677</v>
      </c>
      <c r="D5" t="s">
        <v>678</v>
      </c>
      <c r="E5" t="s">
        <v>469</v>
      </c>
      <c r="F5" t="s">
        <v>679</v>
      </c>
      <c r="G5" s="22">
        <v>45544</v>
      </c>
      <c r="H5">
        <v>10.843999999999999</v>
      </c>
      <c r="I5">
        <v>56433000</v>
      </c>
      <c r="J5">
        <v>136651008</v>
      </c>
      <c r="K5" s="78">
        <v>9.3909999999999993E-2</v>
      </c>
      <c r="L5" s="78">
        <v>5.3999999999999999E-2</v>
      </c>
      <c r="M5">
        <v>2.1139999999999999</v>
      </c>
      <c r="N5">
        <v>24.768999999999998</v>
      </c>
      <c r="O5">
        <v>74871000</v>
      </c>
      <c r="P5" s="78">
        <v>5.5919999999999997E-2</v>
      </c>
      <c r="Q5" s="78">
        <v>5.33E-2</v>
      </c>
      <c r="S5" s="78">
        <v>-0.92700000000000005</v>
      </c>
      <c r="T5" s="10">
        <v>193051120</v>
      </c>
      <c r="U5" s="78">
        <v>9.0700000000000003E-2</v>
      </c>
      <c r="V5">
        <v>0.47099999999999997</v>
      </c>
      <c r="W5">
        <v>0.55700000000000005</v>
      </c>
      <c r="X5">
        <v>80228000</v>
      </c>
      <c r="Y5">
        <v>53.25</v>
      </c>
      <c r="Z5">
        <v>33.869999999999997</v>
      </c>
      <c r="AA5">
        <v>1.2</v>
      </c>
      <c r="AB5" s="78">
        <v>3.5400000000000001E-2</v>
      </c>
      <c r="AC5" s="45">
        <v>45532.833333333336</v>
      </c>
      <c r="AE5">
        <v>1.0980000000000001</v>
      </c>
      <c r="AF5">
        <v>26.000001999999999</v>
      </c>
      <c r="AG5">
        <v>6.8393579999999998</v>
      </c>
      <c r="AH5">
        <v>445110</v>
      </c>
      <c r="AI5">
        <v>32.72</v>
      </c>
      <c r="AJ5">
        <v>54.41</v>
      </c>
      <c r="AK5">
        <v>1.3633586</v>
      </c>
      <c r="AL5">
        <v>1.1399999999999999</v>
      </c>
      <c r="AM5">
        <v>3.3658106E-2</v>
      </c>
      <c r="AN5" s="10">
        <v>1206347392</v>
      </c>
      <c r="AO5">
        <v>35418300</v>
      </c>
      <c r="AP5">
        <v>14.718</v>
      </c>
      <c r="AQ5">
        <v>2.3141731999999999</v>
      </c>
      <c r="AR5" s="45">
        <v>45290.791666666664</v>
      </c>
      <c r="AS5" s="45">
        <v>45656.791666666664</v>
      </c>
      <c r="AT5" s="45">
        <v>45472.833333333336</v>
      </c>
      <c r="AU5">
        <v>0.62</v>
      </c>
      <c r="AV5" t="s">
        <v>654</v>
      </c>
    </row>
    <row r="6" spans="1:48" x14ac:dyDescent="0.35">
      <c r="A6" t="s">
        <v>655</v>
      </c>
      <c r="B6">
        <v>137</v>
      </c>
      <c r="C6" t="s">
        <v>680</v>
      </c>
      <c r="D6" t="s">
        <v>681</v>
      </c>
      <c r="E6" t="s">
        <v>682</v>
      </c>
      <c r="F6" t="s">
        <v>683</v>
      </c>
      <c r="G6" s="22">
        <v>45544</v>
      </c>
      <c r="H6">
        <v>177.184</v>
      </c>
      <c r="I6">
        <v>4116278016</v>
      </c>
      <c r="K6" s="78">
        <v>0.26582</v>
      </c>
      <c r="L6" s="78">
        <v>0.16500000000000001</v>
      </c>
      <c r="M6">
        <v>1.655</v>
      </c>
      <c r="N6">
        <v>1.385</v>
      </c>
      <c r="O6">
        <v>192695008</v>
      </c>
      <c r="P6" s="78">
        <v>4.3899998000000003E-2</v>
      </c>
      <c r="Q6" s="78">
        <v>1.6877599999999999</v>
      </c>
      <c r="S6" s="78">
        <v>0.68700000000000006</v>
      </c>
      <c r="T6" s="10"/>
      <c r="U6" s="78">
        <v>0.12236</v>
      </c>
      <c r="V6">
        <v>3.125</v>
      </c>
      <c r="W6">
        <v>3.1789999999999998</v>
      </c>
      <c r="X6">
        <v>30077000</v>
      </c>
      <c r="Y6">
        <v>38.42</v>
      </c>
      <c r="Z6">
        <v>32.1</v>
      </c>
      <c r="AA6">
        <v>1.66</v>
      </c>
      <c r="AB6" s="78">
        <v>5.1700000000000003E-2</v>
      </c>
      <c r="AC6" s="45">
        <v>45568.833333333336</v>
      </c>
      <c r="AD6">
        <v>4.34</v>
      </c>
      <c r="AE6">
        <v>1.968</v>
      </c>
      <c r="AF6">
        <v>14.373333000000001</v>
      </c>
      <c r="AG6">
        <v>12.682353000000001</v>
      </c>
      <c r="AH6">
        <v>795750</v>
      </c>
      <c r="AI6">
        <v>13.22</v>
      </c>
      <c r="AJ6">
        <v>34</v>
      </c>
      <c r="AK6">
        <v>24.659647</v>
      </c>
      <c r="AL6">
        <v>1.62</v>
      </c>
      <c r="AM6">
        <v>5.0467294000000003E-2</v>
      </c>
      <c r="AN6" s="10">
        <v>3810137088</v>
      </c>
      <c r="AO6">
        <v>116454000</v>
      </c>
      <c r="AP6">
        <v>19.681000000000001</v>
      </c>
      <c r="AQ6">
        <v>1.6432092</v>
      </c>
      <c r="AR6" s="45">
        <v>45290.791666666664</v>
      </c>
      <c r="AS6" s="45">
        <v>45656.791666666664</v>
      </c>
      <c r="AT6" s="45">
        <v>45472.833333333336</v>
      </c>
      <c r="AU6">
        <v>1.53</v>
      </c>
      <c r="AV6" t="s">
        <v>656</v>
      </c>
    </row>
    <row r="7" spans="1:48" x14ac:dyDescent="0.35">
      <c r="A7" t="s">
        <v>657</v>
      </c>
      <c r="B7">
        <v>925</v>
      </c>
      <c r="C7" t="s">
        <v>684</v>
      </c>
      <c r="D7" t="s">
        <v>685</v>
      </c>
      <c r="E7" t="s">
        <v>638</v>
      </c>
      <c r="F7" t="s">
        <v>686</v>
      </c>
      <c r="G7" s="22">
        <v>45544</v>
      </c>
      <c r="H7">
        <v>1057.172</v>
      </c>
      <c r="I7">
        <v>2963399936</v>
      </c>
      <c r="K7" s="78">
        <v>0.14709</v>
      </c>
      <c r="L7" s="78">
        <v>-0.22600000000000001</v>
      </c>
      <c r="M7">
        <v>0.45700000000000002</v>
      </c>
      <c r="N7">
        <v>8.8979999999999997</v>
      </c>
      <c r="O7">
        <v>9752000</v>
      </c>
      <c r="P7" s="78">
        <v>8.7399999999999995E-3</v>
      </c>
      <c r="Q7" s="78">
        <v>0.14238999999999999</v>
      </c>
      <c r="S7" s="78">
        <v>-0.65500000000000003</v>
      </c>
      <c r="T7" s="10"/>
      <c r="U7" s="78">
        <v>0.10020000499999999</v>
      </c>
      <c r="V7">
        <v>4.58</v>
      </c>
      <c r="W7">
        <v>4.9740000000000002</v>
      </c>
      <c r="X7">
        <v>213315008</v>
      </c>
      <c r="Y7">
        <v>18</v>
      </c>
      <c r="Z7">
        <v>9</v>
      </c>
      <c r="AA7"/>
      <c r="AB7" s="78"/>
      <c r="AC7" s="45"/>
      <c r="AE7">
        <v>2.0129999999999999</v>
      </c>
      <c r="AF7">
        <v>8.5321099999999994</v>
      </c>
      <c r="AG7">
        <v>3.0392158</v>
      </c>
      <c r="AH7">
        <v>72190</v>
      </c>
      <c r="AI7">
        <v>7.03</v>
      </c>
      <c r="AJ7">
        <v>12.04</v>
      </c>
      <c r="AK7">
        <v>1.0526701999999999</v>
      </c>
      <c r="AL7">
        <v>0</v>
      </c>
      <c r="AM7">
        <v>0</v>
      </c>
      <c r="AN7" s="10">
        <v>198342032</v>
      </c>
      <c r="AO7">
        <v>21327100</v>
      </c>
      <c r="AP7">
        <v>13.157</v>
      </c>
      <c r="AQ7">
        <v>0.70684809999999998</v>
      </c>
      <c r="AR7" s="45">
        <v>45290.791666666664</v>
      </c>
      <c r="AS7" s="45">
        <v>45656.791666666664</v>
      </c>
      <c r="AT7" s="45">
        <v>45472.833333333336</v>
      </c>
      <c r="AU7">
        <v>0.48</v>
      </c>
      <c r="AV7" t="s">
        <v>658</v>
      </c>
    </row>
    <row r="8" spans="1:48" x14ac:dyDescent="0.35">
      <c r="A8" t="s">
        <v>659</v>
      </c>
      <c r="B8">
        <v>106</v>
      </c>
      <c r="C8" t="s">
        <v>687</v>
      </c>
      <c r="D8" t="s">
        <v>688</v>
      </c>
      <c r="E8" t="s">
        <v>689</v>
      </c>
      <c r="F8" t="s">
        <v>690</v>
      </c>
      <c r="G8" s="22">
        <v>45544</v>
      </c>
      <c r="H8">
        <v>262.31</v>
      </c>
      <c r="I8">
        <v>124899000</v>
      </c>
      <c r="J8">
        <v>21570000</v>
      </c>
      <c r="K8" s="78">
        <v>0.20702999999999999</v>
      </c>
      <c r="L8" s="78">
        <v>3.9E-2</v>
      </c>
      <c r="M8">
        <v>0.749</v>
      </c>
      <c r="N8">
        <v>2.1509999999999998</v>
      </c>
      <c r="O8">
        <v>18148000</v>
      </c>
      <c r="P8" s="78">
        <v>1.6239999000000001E-2</v>
      </c>
      <c r="Q8" s="78">
        <v>0.11915000000000001</v>
      </c>
      <c r="S8" s="78">
        <v>0</v>
      </c>
      <c r="T8" s="10">
        <v>-5606375</v>
      </c>
      <c r="U8" s="78">
        <v>0.12961</v>
      </c>
      <c r="V8">
        <v>1.732</v>
      </c>
      <c r="W8">
        <v>1.8620000000000001</v>
      </c>
      <c r="X8">
        <v>26309000</v>
      </c>
      <c r="Z8">
        <v>12.75</v>
      </c>
      <c r="AA8">
        <v>0.3</v>
      </c>
      <c r="AB8" s="78">
        <v>2.3599999E-2</v>
      </c>
      <c r="AC8" s="45">
        <v>45550.833333333336</v>
      </c>
      <c r="AD8">
        <v>2.2400000000000002</v>
      </c>
      <c r="AE8">
        <v>0.96399999999999997</v>
      </c>
      <c r="AF8">
        <v>50.32</v>
      </c>
      <c r="AG8">
        <v>41.933329999999998</v>
      </c>
      <c r="AH8">
        <v>26630</v>
      </c>
      <c r="AI8">
        <v>9.34</v>
      </c>
      <c r="AJ8">
        <v>13.42</v>
      </c>
      <c r="AK8">
        <v>5.8564954</v>
      </c>
      <c r="AL8">
        <v>0.30099999999999999</v>
      </c>
      <c r="AM8">
        <v>2.3607843E-2</v>
      </c>
      <c r="AN8" s="10">
        <v>304654880</v>
      </c>
      <c r="AO8">
        <v>24217400</v>
      </c>
      <c r="AP8">
        <v>1.966</v>
      </c>
      <c r="AQ8">
        <v>6.3987793999999996</v>
      </c>
      <c r="AR8" s="45">
        <v>45290.791666666664</v>
      </c>
      <c r="AS8" s="45">
        <v>45656.791666666664</v>
      </c>
      <c r="AT8" s="45">
        <v>45472.833333333336</v>
      </c>
      <c r="AU8">
        <v>3.11</v>
      </c>
      <c r="AV8" t="s">
        <v>660</v>
      </c>
    </row>
    <row r="9" spans="1:48" x14ac:dyDescent="0.35">
      <c r="A9" t="s">
        <v>661</v>
      </c>
      <c r="B9">
        <v>1102</v>
      </c>
      <c r="C9" t="s">
        <v>691</v>
      </c>
      <c r="D9" t="s">
        <v>692</v>
      </c>
      <c r="E9" t="s">
        <v>633</v>
      </c>
      <c r="F9" t="s">
        <v>693</v>
      </c>
      <c r="G9" s="22">
        <v>45544</v>
      </c>
      <c r="H9">
        <v>1.05</v>
      </c>
      <c r="I9">
        <v>6758000</v>
      </c>
      <c r="J9">
        <v>20019000</v>
      </c>
      <c r="K9" s="140">
        <v>1.2070000000000001E-2</v>
      </c>
      <c r="L9" s="140">
        <v>2.1999999999999999E-2</v>
      </c>
      <c r="M9">
        <v>3.24</v>
      </c>
      <c r="N9">
        <v>14.323</v>
      </c>
      <c r="O9">
        <v>387352000</v>
      </c>
      <c r="P9" s="140">
        <v>7.9900000000000006E-3</v>
      </c>
      <c r="Q9" s="140">
        <v>8.8100000000000001E-3</v>
      </c>
      <c r="S9" s="140">
        <v>-0.51600000000000001</v>
      </c>
      <c r="T9" s="48">
        <v>79283128</v>
      </c>
      <c r="U9" s="140">
        <v>2.6280000000000001E-2</v>
      </c>
      <c r="V9">
        <v>1.7629999999999999</v>
      </c>
      <c r="W9">
        <v>1.8149999999999999</v>
      </c>
      <c r="X9">
        <v>87892000</v>
      </c>
      <c r="Y9">
        <v>25.61</v>
      </c>
      <c r="Z9">
        <v>18.66</v>
      </c>
      <c r="AA9"/>
      <c r="AB9" s="140"/>
      <c r="AC9" s="45"/>
      <c r="AE9">
        <v>0.77900000000000003</v>
      </c>
      <c r="AF9">
        <v>155.58333999999999</v>
      </c>
      <c r="AG9">
        <v>77.791669999999996</v>
      </c>
      <c r="AH9">
        <v>693560</v>
      </c>
      <c r="AI9">
        <v>15.92</v>
      </c>
      <c r="AJ9">
        <v>25.92</v>
      </c>
      <c r="AK9">
        <v>1.3164511999999999</v>
      </c>
      <c r="AL9">
        <v>0</v>
      </c>
      <c r="AM9">
        <v>0</v>
      </c>
      <c r="AN9" s="48">
        <v>2232278528</v>
      </c>
      <c r="AO9">
        <v>119565000</v>
      </c>
      <c r="AP9">
        <v>4.9829999999999997</v>
      </c>
      <c r="AQ9">
        <v>3.7467391000000001</v>
      </c>
      <c r="AR9" s="45">
        <v>45290.791666666664</v>
      </c>
      <c r="AS9" s="45">
        <v>45656.791666666664</v>
      </c>
      <c r="AT9" s="45">
        <v>45472.833333333336</v>
      </c>
      <c r="AU9">
        <v>-5.27</v>
      </c>
      <c r="AV9" t="s">
        <v>662</v>
      </c>
    </row>
    <row r="10" spans="1:48" x14ac:dyDescent="0.35">
      <c r="A10" t="s">
        <v>663</v>
      </c>
      <c r="B10">
        <v>410</v>
      </c>
      <c r="C10" t="s">
        <v>694</v>
      </c>
      <c r="D10" t="s">
        <v>641</v>
      </c>
      <c r="E10" t="s">
        <v>638</v>
      </c>
      <c r="F10" t="s">
        <v>695</v>
      </c>
      <c r="G10" s="22">
        <v>45544</v>
      </c>
      <c r="I10">
        <v>184982000</v>
      </c>
      <c r="K10" s="78">
        <v>0.35710999999999998</v>
      </c>
      <c r="L10" s="78">
        <v>-0.02</v>
      </c>
      <c r="M10">
        <v>7.569</v>
      </c>
      <c r="N10">
        <v>12.544</v>
      </c>
      <c r="O10">
        <v>146626000</v>
      </c>
      <c r="P10" s="78">
        <v>1.061E-2</v>
      </c>
      <c r="Q10" s="78">
        <v>0.25381002000000003</v>
      </c>
      <c r="S10" s="78">
        <v>-0.223</v>
      </c>
      <c r="T10" s="10"/>
      <c r="U10" s="78">
        <v>0.12570999999999999</v>
      </c>
      <c r="X10">
        <v>41148000</v>
      </c>
      <c r="Y10">
        <v>37.67</v>
      </c>
      <c r="Z10">
        <v>34.35</v>
      </c>
      <c r="AA10">
        <v>0.92</v>
      </c>
      <c r="AB10" s="78">
        <v>2.6800001E-2</v>
      </c>
      <c r="AC10" s="45">
        <v>45511.833333333336</v>
      </c>
      <c r="AD10">
        <v>3.39</v>
      </c>
      <c r="AE10">
        <v>0.89600000000000002</v>
      </c>
      <c r="AF10">
        <v>11.038095</v>
      </c>
      <c r="AG10">
        <v>8.6064360000000004</v>
      </c>
      <c r="AH10">
        <v>55980</v>
      </c>
      <c r="AI10">
        <v>20</v>
      </c>
      <c r="AJ10">
        <v>36.6</v>
      </c>
      <c r="AK10">
        <v>5.1899533</v>
      </c>
      <c r="AL10">
        <v>0.8</v>
      </c>
      <c r="AM10">
        <v>2.3289667E-2</v>
      </c>
      <c r="AN10" s="10">
        <v>673526208</v>
      </c>
      <c r="AO10">
        <v>19370900</v>
      </c>
      <c r="AP10">
        <v>25.966999999999999</v>
      </c>
      <c r="AQ10">
        <v>1.3390073</v>
      </c>
      <c r="AR10" s="45">
        <v>45290.791666666664</v>
      </c>
      <c r="AS10" s="45">
        <v>45656.791666666664</v>
      </c>
      <c r="AT10" s="45">
        <v>45472.833333333336</v>
      </c>
      <c r="AV10" t="s">
        <v>664</v>
      </c>
    </row>
    <row r="11" spans="1:48" x14ac:dyDescent="0.35">
      <c r="A11" t="s">
        <v>665</v>
      </c>
      <c r="B11">
        <v>450</v>
      </c>
      <c r="C11" t="s">
        <v>696</v>
      </c>
      <c r="D11" t="s">
        <v>645</v>
      </c>
      <c r="E11" t="s">
        <v>628</v>
      </c>
      <c r="F11" t="s">
        <v>697</v>
      </c>
      <c r="G11" s="22">
        <v>45544</v>
      </c>
      <c r="H11">
        <v>70.195999999999998</v>
      </c>
      <c r="I11">
        <v>489112000</v>
      </c>
      <c r="J11">
        <v>393096000</v>
      </c>
      <c r="K11" s="78">
        <v>0.61346999999999996</v>
      </c>
      <c r="L11" s="78">
        <v>1.2</v>
      </c>
      <c r="M11">
        <v>30.257000000000001</v>
      </c>
      <c r="N11">
        <v>28.55</v>
      </c>
      <c r="O11">
        <v>760342976</v>
      </c>
      <c r="P11" s="78">
        <v>0.11772000000000001</v>
      </c>
      <c r="Q11" s="78">
        <v>0.37991002000000001</v>
      </c>
      <c r="S11" s="78">
        <v>3.9750000000000001</v>
      </c>
      <c r="T11" s="10">
        <v>217551632</v>
      </c>
      <c r="U11" s="78">
        <v>0.42795</v>
      </c>
      <c r="V11">
        <v>1.4379999999999999</v>
      </c>
      <c r="W11">
        <v>1.512</v>
      </c>
      <c r="X11">
        <v>288888000</v>
      </c>
      <c r="Y11">
        <v>132.25</v>
      </c>
      <c r="Z11">
        <v>132.22999999999999</v>
      </c>
      <c r="AA11">
        <v>1.6</v>
      </c>
      <c r="AB11" s="78">
        <v>1.21E-2</v>
      </c>
      <c r="AC11" s="45">
        <v>45482.833333333336</v>
      </c>
      <c r="AD11">
        <v>2.11</v>
      </c>
      <c r="AE11">
        <v>1.379</v>
      </c>
      <c r="AF11">
        <v>13.0943775</v>
      </c>
      <c r="AG11">
        <v>33.526992999999997</v>
      </c>
      <c r="AH11">
        <v>281790</v>
      </c>
      <c r="AI11">
        <v>74.650000000000006</v>
      </c>
      <c r="AJ11">
        <v>140.6</v>
      </c>
      <c r="AK11">
        <v>4.4733340000000004</v>
      </c>
      <c r="AL11">
        <v>1.6</v>
      </c>
      <c r="AM11">
        <v>1.2100128999999999E-2</v>
      </c>
      <c r="AN11" s="10">
        <v>3277428480</v>
      </c>
      <c r="AO11">
        <v>25129800</v>
      </c>
      <c r="AP11">
        <v>27.728000000000002</v>
      </c>
      <c r="AQ11">
        <v>4.7035483999999999</v>
      </c>
      <c r="AR11" s="45">
        <v>45290.791666666664</v>
      </c>
      <c r="AS11" s="45">
        <v>45656.791666666664</v>
      </c>
      <c r="AT11" s="45">
        <v>45472.833333333336</v>
      </c>
      <c r="AU11">
        <v>0.85</v>
      </c>
      <c r="AV11" t="s">
        <v>666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4AFB-9FA6-4E86-9944-593D9D510BB0}">
  <sheetPr>
    <tabColor theme="7" tint="0.79998168889431442"/>
  </sheetPr>
  <dimension ref="A1:A11"/>
  <sheetViews>
    <sheetView showGridLines="0" workbookViewId="0">
      <selection sqref="A1:A10"/>
    </sheetView>
  </sheetViews>
  <sheetFormatPr defaultRowHeight="14.5" x14ac:dyDescent="0.35"/>
  <cols>
    <col min="1" max="1" width="8.26953125" bestFit="1" customWidth="1"/>
  </cols>
  <sheetData>
    <row r="1" spans="1:1" x14ac:dyDescent="0.35">
      <c r="A1" t="s">
        <v>211</v>
      </c>
    </row>
    <row r="2" spans="1:1" x14ac:dyDescent="0.35">
      <c r="A2" t="s">
        <v>650</v>
      </c>
    </row>
    <row r="3" spans="1:1" x14ac:dyDescent="0.35">
      <c r="A3" t="s">
        <v>658</v>
      </c>
    </row>
    <row r="4" spans="1:1" x14ac:dyDescent="0.35">
      <c r="A4" t="s">
        <v>660</v>
      </c>
    </row>
    <row r="5" spans="1:1" x14ac:dyDescent="0.35">
      <c r="A5" t="s">
        <v>656</v>
      </c>
    </row>
    <row r="6" spans="1:1" x14ac:dyDescent="0.35">
      <c r="A6" t="s">
        <v>666</v>
      </c>
    </row>
    <row r="7" spans="1:1" x14ac:dyDescent="0.35">
      <c r="A7" t="s">
        <v>652</v>
      </c>
    </row>
    <row r="8" spans="1:1" x14ac:dyDescent="0.35">
      <c r="A8" t="s">
        <v>664</v>
      </c>
    </row>
    <row r="9" spans="1:1" x14ac:dyDescent="0.35">
      <c r="A9" t="s">
        <v>662</v>
      </c>
    </row>
    <row r="10" spans="1:1" x14ac:dyDescent="0.35">
      <c r="A10" t="s">
        <v>654</v>
      </c>
    </row>
    <row r="11" spans="1:1" x14ac:dyDescent="0.35">
      <c r="A11" t="s">
        <v>648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5DC9-7461-44EF-A8B8-906D94031C6F}">
  <sheetPr>
    <tabColor theme="7" tint="0.79998168889431442"/>
  </sheetPr>
  <dimension ref="A1:E41"/>
  <sheetViews>
    <sheetView showGridLines="0" workbookViewId="0">
      <selection activeCell="D3" sqref="D3"/>
    </sheetView>
  </sheetViews>
  <sheetFormatPr defaultRowHeight="14.5" x14ac:dyDescent="0.35"/>
  <cols>
    <col min="1" max="1" width="8.26953125" bestFit="1" customWidth="1"/>
    <col min="2" max="2" width="11" bestFit="1" customWidth="1"/>
    <col min="3" max="3" width="15.54296875" bestFit="1" customWidth="1"/>
    <col min="4" max="4" width="15.81640625" bestFit="1" customWidth="1"/>
    <col min="5" max="5" width="7.08984375" bestFit="1" customWidth="1"/>
  </cols>
  <sheetData>
    <row r="1" spans="1:5" x14ac:dyDescent="0.35">
      <c r="A1" t="s">
        <v>211</v>
      </c>
      <c r="B1" t="s">
        <v>140</v>
      </c>
      <c r="C1" t="s">
        <v>472</v>
      </c>
      <c r="D1" t="s">
        <v>473</v>
      </c>
      <c r="E1" t="s">
        <v>474</v>
      </c>
    </row>
    <row r="2" spans="1:5" x14ac:dyDescent="0.35">
      <c r="A2" t="s">
        <v>650</v>
      </c>
      <c r="B2" s="22">
        <v>44196</v>
      </c>
      <c r="C2" s="22">
        <v>44196</v>
      </c>
      <c r="D2" s="22">
        <v>44196</v>
      </c>
      <c r="E2">
        <v>2020</v>
      </c>
    </row>
    <row r="3" spans="1:5" x14ac:dyDescent="0.35">
      <c r="A3" t="s">
        <v>650</v>
      </c>
      <c r="B3" s="22">
        <v>44561</v>
      </c>
      <c r="C3" s="22">
        <v>44561</v>
      </c>
      <c r="D3" s="22">
        <v>44561</v>
      </c>
      <c r="E3">
        <v>2021</v>
      </c>
    </row>
    <row r="4" spans="1:5" x14ac:dyDescent="0.35">
      <c r="A4" t="s">
        <v>650</v>
      </c>
      <c r="B4" s="22">
        <v>44926</v>
      </c>
      <c r="C4" s="22">
        <v>44926</v>
      </c>
      <c r="D4" s="22">
        <v>44926</v>
      </c>
      <c r="E4">
        <v>2022</v>
      </c>
    </row>
    <row r="5" spans="1:5" x14ac:dyDescent="0.35">
      <c r="A5" t="s">
        <v>650</v>
      </c>
      <c r="B5" s="22">
        <v>45291</v>
      </c>
      <c r="C5" s="22">
        <v>45291</v>
      </c>
      <c r="D5" s="22">
        <v>45291</v>
      </c>
      <c r="E5">
        <v>2023</v>
      </c>
    </row>
    <row r="6" spans="1:5" x14ac:dyDescent="0.35">
      <c r="A6" t="s">
        <v>658</v>
      </c>
      <c r="B6" s="22">
        <v>44196</v>
      </c>
      <c r="C6" s="22">
        <v>44196</v>
      </c>
      <c r="D6" s="22">
        <v>44196</v>
      </c>
      <c r="E6">
        <v>2020</v>
      </c>
    </row>
    <row r="7" spans="1:5" x14ac:dyDescent="0.35">
      <c r="A7" t="s">
        <v>658</v>
      </c>
      <c r="B7" s="22">
        <v>44561</v>
      </c>
      <c r="C7" s="22">
        <v>44561</v>
      </c>
      <c r="D7" s="22">
        <v>44561</v>
      </c>
      <c r="E7">
        <v>2021</v>
      </c>
    </row>
    <row r="8" spans="1:5" x14ac:dyDescent="0.35">
      <c r="A8" t="s">
        <v>658</v>
      </c>
      <c r="B8" s="22">
        <v>44926</v>
      </c>
      <c r="C8" s="22">
        <v>44926</v>
      </c>
      <c r="D8" s="22">
        <v>44926</v>
      </c>
      <c r="E8">
        <v>2022</v>
      </c>
    </row>
    <row r="9" spans="1:5" x14ac:dyDescent="0.35">
      <c r="A9" t="s">
        <v>658</v>
      </c>
      <c r="B9" s="22">
        <v>45291</v>
      </c>
      <c r="C9" s="22">
        <v>45291</v>
      </c>
      <c r="D9" s="22">
        <v>45291</v>
      </c>
      <c r="E9">
        <v>2023</v>
      </c>
    </row>
    <row r="10" spans="1:5" x14ac:dyDescent="0.35">
      <c r="A10" t="s">
        <v>660</v>
      </c>
      <c r="B10" s="22">
        <v>44196</v>
      </c>
      <c r="C10" s="22">
        <v>44196</v>
      </c>
      <c r="D10" s="22">
        <v>44196</v>
      </c>
      <c r="E10">
        <v>2020</v>
      </c>
    </row>
    <row r="11" spans="1:5" x14ac:dyDescent="0.35">
      <c r="A11" t="s">
        <v>660</v>
      </c>
      <c r="B11" s="22">
        <v>44561</v>
      </c>
      <c r="C11" s="22">
        <v>44561</v>
      </c>
      <c r="D11" s="22">
        <v>44561</v>
      </c>
      <c r="E11">
        <v>2021</v>
      </c>
    </row>
    <row r="12" spans="1:5" x14ac:dyDescent="0.35">
      <c r="A12" t="s">
        <v>660</v>
      </c>
      <c r="B12" s="22">
        <v>44926</v>
      </c>
      <c r="C12" s="22">
        <v>44926</v>
      </c>
      <c r="D12" s="22">
        <v>44926</v>
      </c>
      <c r="E12">
        <v>2022</v>
      </c>
    </row>
    <row r="13" spans="1:5" x14ac:dyDescent="0.35">
      <c r="A13" t="s">
        <v>660</v>
      </c>
      <c r="B13" s="22">
        <v>45291</v>
      </c>
      <c r="C13" s="22">
        <v>45291</v>
      </c>
      <c r="D13" s="22">
        <v>45291</v>
      </c>
      <c r="E13">
        <v>2023</v>
      </c>
    </row>
    <row r="14" spans="1:5" x14ac:dyDescent="0.35">
      <c r="A14" t="s">
        <v>656</v>
      </c>
      <c r="B14" s="22">
        <v>44196</v>
      </c>
      <c r="C14" s="22">
        <v>44196</v>
      </c>
      <c r="D14" s="22">
        <v>44196</v>
      </c>
      <c r="E14">
        <v>2020</v>
      </c>
    </row>
    <row r="15" spans="1:5" x14ac:dyDescent="0.35">
      <c r="A15" t="s">
        <v>656</v>
      </c>
      <c r="B15" s="22">
        <v>44561</v>
      </c>
      <c r="C15" s="22">
        <v>44561</v>
      </c>
      <c r="D15" s="22">
        <v>44561</v>
      </c>
      <c r="E15">
        <v>2021</v>
      </c>
    </row>
    <row r="16" spans="1:5" x14ac:dyDescent="0.35">
      <c r="A16" t="s">
        <v>656</v>
      </c>
      <c r="B16" s="22">
        <v>44926</v>
      </c>
      <c r="C16" s="22">
        <v>44926</v>
      </c>
      <c r="D16" s="22">
        <v>44926</v>
      </c>
      <c r="E16">
        <v>2022</v>
      </c>
    </row>
    <row r="17" spans="1:5" x14ac:dyDescent="0.35">
      <c r="A17" t="s">
        <v>656</v>
      </c>
      <c r="B17" s="22">
        <v>45291</v>
      </c>
      <c r="C17" s="22">
        <v>45291</v>
      </c>
      <c r="D17" s="22">
        <v>45291</v>
      </c>
      <c r="E17">
        <v>2023</v>
      </c>
    </row>
    <row r="18" spans="1:5" x14ac:dyDescent="0.35">
      <c r="A18" t="s">
        <v>666</v>
      </c>
      <c r="B18" s="22">
        <v>44196</v>
      </c>
      <c r="C18" s="22">
        <v>44196</v>
      </c>
      <c r="D18" s="22">
        <v>44196</v>
      </c>
      <c r="E18">
        <v>2020</v>
      </c>
    </row>
    <row r="19" spans="1:5" x14ac:dyDescent="0.35">
      <c r="A19" t="s">
        <v>666</v>
      </c>
      <c r="B19" s="22">
        <v>44561</v>
      </c>
      <c r="C19" s="22">
        <v>44561</v>
      </c>
      <c r="D19" s="22">
        <v>44561</v>
      </c>
      <c r="E19">
        <v>2021</v>
      </c>
    </row>
    <row r="20" spans="1:5" x14ac:dyDescent="0.35">
      <c r="A20" t="s">
        <v>666</v>
      </c>
      <c r="B20" s="22">
        <v>44926</v>
      </c>
      <c r="C20" s="22">
        <v>44926</v>
      </c>
      <c r="D20" s="22">
        <v>44926</v>
      </c>
      <c r="E20">
        <v>2022</v>
      </c>
    </row>
    <row r="21" spans="1:5" x14ac:dyDescent="0.35">
      <c r="A21" t="s">
        <v>666</v>
      </c>
      <c r="B21" s="22">
        <v>45291</v>
      </c>
      <c r="C21" s="22">
        <v>45291</v>
      </c>
      <c r="D21" s="22">
        <v>45291</v>
      </c>
      <c r="E21">
        <v>2023</v>
      </c>
    </row>
    <row r="22" spans="1:5" x14ac:dyDescent="0.35">
      <c r="A22" t="s">
        <v>652</v>
      </c>
      <c r="B22" s="22">
        <v>44196</v>
      </c>
      <c r="C22" s="22">
        <v>44196</v>
      </c>
      <c r="D22" s="22">
        <v>44196</v>
      </c>
      <c r="E22">
        <v>2020</v>
      </c>
    </row>
    <row r="23" spans="1:5" x14ac:dyDescent="0.35">
      <c r="A23" t="s">
        <v>652</v>
      </c>
      <c r="B23" s="22">
        <v>44561</v>
      </c>
      <c r="C23" s="22">
        <v>44561</v>
      </c>
      <c r="D23" s="22">
        <v>44561</v>
      </c>
      <c r="E23">
        <v>2021</v>
      </c>
    </row>
    <row r="24" spans="1:5" x14ac:dyDescent="0.35">
      <c r="A24" t="s">
        <v>652</v>
      </c>
      <c r="B24" s="22">
        <v>44926</v>
      </c>
      <c r="C24" s="22">
        <v>44926</v>
      </c>
      <c r="D24" s="22">
        <v>44926</v>
      </c>
      <c r="E24">
        <v>2022</v>
      </c>
    </row>
    <row r="25" spans="1:5" x14ac:dyDescent="0.35">
      <c r="A25" t="s">
        <v>652</v>
      </c>
      <c r="B25" s="22">
        <v>45291</v>
      </c>
      <c r="C25" s="22">
        <v>45291</v>
      </c>
      <c r="D25" s="22">
        <v>45291</v>
      </c>
      <c r="E25">
        <v>2023</v>
      </c>
    </row>
    <row r="26" spans="1:5" x14ac:dyDescent="0.35">
      <c r="A26" t="s">
        <v>664</v>
      </c>
      <c r="B26" s="22">
        <v>44196</v>
      </c>
      <c r="C26" s="22">
        <v>44196</v>
      </c>
      <c r="D26" s="22">
        <v>44196</v>
      </c>
      <c r="E26">
        <v>2020</v>
      </c>
    </row>
    <row r="27" spans="1:5" x14ac:dyDescent="0.35">
      <c r="A27" t="s">
        <v>664</v>
      </c>
      <c r="B27" s="22">
        <v>44561</v>
      </c>
      <c r="C27" s="22">
        <v>44561</v>
      </c>
      <c r="D27" s="22">
        <v>44561</v>
      </c>
      <c r="E27">
        <v>2021</v>
      </c>
    </row>
    <row r="28" spans="1:5" x14ac:dyDescent="0.35">
      <c r="A28" t="s">
        <v>664</v>
      </c>
      <c r="B28" s="22">
        <v>44926</v>
      </c>
      <c r="C28" s="22">
        <v>44926</v>
      </c>
      <c r="D28" s="22">
        <v>44926</v>
      </c>
      <c r="E28">
        <v>2022</v>
      </c>
    </row>
    <row r="29" spans="1:5" x14ac:dyDescent="0.35">
      <c r="A29" t="s">
        <v>664</v>
      </c>
      <c r="B29" s="22">
        <v>45291</v>
      </c>
      <c r="C29" s="22">
        <v>45291</v>
      </c>
      <c r="D29" s="22">
        <v>45291</v>
      </c>
      <c r="E29">
        <v>2023</v>
      </c>
    </row>
    <row r="30" spans="1:5" x14ac:dyDescent="0.35">
      <c r="A30" t="s">
        <v>662</v>
      </c>
      <c r="B30" s="22">
        <v>44196</v>
      </c>
      <c r="C30" s="22">
        <v>44196</v>
      </c>
      <c r="D30" s="22">
        <v>44196</v>
      </c>
      <c r="E30">
        <v>2020</v>
      </c>
    </row>
    <row r="31" spans="1:5" x14ac:dyDescent="0.35">
      <c r="A31" t="s">
        <v>662</v>
      </c>
      <c r="B31" s="22">
        <v>44561</v>
      </c>
      <c r="C31" s="22">
        <v>44561</v>
      </c>
      <c r="D31" s="22">
        <v>44561</v>
      </c>
      <c r="E31">
        <v>2021</v>
      </c>
    </row>
    <row r="32" spans="1:5" x14ac:dyDescent="0.35">
      <c r="A32" t="s">
        <v>662</v>
      </c>
      <c r="B32" s="22">
        <v>44926</v>
      </c>
      <c r="C32" s="22">
        <v>44926</v>
      </c>
      <c r="D32" s="22">
        <v>44926</v>
      </c>
      <c r="E32">
        <v>2022</v>
      </c>
    </row>
    <row r="33" spans="1:5" x14ac:dyDescent="0.35">
      <c r="A33" t="s">
        <v>662</v>
      </c>
      <c r="B33" s="22">
        <v>45291</v>
      </c>
      <c r="C33" s="22">
        <v>45291</v>
      </c>
      <c r="D33" s="22">
        <v>45291</v>
      </c>
      <c r="E33">
        <v>2023</v>
      </c>
    </row>
    <row r="34" spans="1:5" x14ac:dyDescent="0.35">
      <c r="A34" t="s">
        <v>654</v>
      </c>
      <c r="B34" s="22">
        <v>44196</v>
      </c>
      <c r="C34" s="22">
        <v>44196</v>
      </c>
      <c r="D34" s="22">
        <v>44196</v>
      </c>
      <c r="E34">
        <v>2020</v>
      </c>
    </row>
    <row r="35" spans="1:5" x14ac:dyDescent="0.35">
      <c r="A35" t="s">
        <v>654</v>
      </c>
      <c r="B35" s="22">
        <v>44561</v>
      </c>
      <c r="C35" s="22">
        <v>44561</v>
      </c>
      <c r="D35" s="22">
        <v>44561</v>
      </c>
      <c r="E35">
        <v>2021</v>
      </c>
    </row>
    <row r="36" spans="1:5" x14ac:dyDescent="0.35">
      <c r="A36" t="s">
        <v>654</v>
      </c>
      <c r="B36" s="22">
        <v>44926</v>
      </c>
      <c r="C36" s="22">
        <v>44926</v>
      </c>
      <c r="D36" s="22">
        <v>44926</v>
      </c>
      <c r="E36">
        <v>2022</v>
      </c>
    </row>
    <row r="37" spans="1:5" x14ac:dyDescent="0.35">
      <c r="A37" t="s">
        <v>654</v>
      </c>
      <c r="B37" s="22">
        <v>45291</v>
      </c>
      <c r="C37" s="22">
        <v>45291</v>
      </c>
      <c r="D37" s="22">
        <v>45291</v>
      </c>
      <c r="E37">
        <v>2023</v>
      </c>
    </row>
    <row r="38" spans="1:5" x14ac:dyDescent="0.35">
      <c r="A38" t="s">
        <v>648</v>
      </c>
      <c r="B38" s="22">
        <v>44196</v>
      </c>
      <c r="C38" s="22">
        <v>44196</v>
      </c>
      <c r="D38" s="22">
        <v>44196</v>
      </c>
      <c r="E38">
        <v>2020</v>
      </c>
    </row>
    <row r="39" spans="1:5" x14ac:dyDescent="0.35">
      <c r="A39" t="s">
        <v>648</v>
      </c>
      <c r="B39" s="22">
        <v>44561</v>
      </c>
      <c r="C39" s="22">
        <v>44561</v>
      </c>
      <c r="D39" s="22">
        <v>44561</v>
      </c>
      <c r="E39">
        <v>2021</v>
      </c>
    </row>
    <row r="40" spans="1:5" x14ac:dyDescent="0.35">
      <c r="A40" t="s">
        <v>648</v>
      </c>
      <c r="B40" s="22">
        <v>44926</v>
      </c>
      <c r="C40" s="22">
        <v>44926</v>
      </c>
      <c r="D40" s="22">
        <v>44926</v>
      </c>
      <c r="E40">
        <v>2022</v>
      </c>
    </row>
    <row r="41" spans="1:5" x14ac:dyDescent="0.35">
      <c r="A41" t="s">
        <v>648</v>
      </c>
      <c r="B41" s="22">
        <v>45291</v>
      </c>
      <c r="C41" s="22">
        <v>45291</v>
      </c>
      <c r="D41" s="22">
        <v>45291</v>
      </c>
      <c r="E41">
        <v>2023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B353-DC05-4F8D-9712-7E1489397AB5}">
  <sheetPr>
    <tabColor rgb="FF009999"/>
  </sheetPr>
  <dimension ref="A1:P144"/>
  <sheetViews>
    <sheetView showGridLines="0" zoomScaleNormal="100" workbookViewId="0">
      <pane ySplit="2" topLeftCell="A114" activePane="bottomLeft" state="frozen"/>
      <selection pane="bottomLeft" activeCell="E119" sqref="E119"/>
    </sheetView>
  </sheetViews>
  <sheetFormatPr defaultRowHeight="14.5" outlineLevelRow="1" x14ac:dyDescent="0.35"/>
  <cols>
    <col min="4" max="4" width="11.7265625" bestFit="1" customWidth="1"/>
    <col min="5" max="12" width="12.7265625" style="10" customWidth="1"/>
    <col min="13" max="14" width="12.7265625" customWidth="1"/>
    <col min="16" max="16" width="11.1796875" bestFit="1" customWidth="1"/>
  </cols>
  <sheetData>
    <row r="1" spans="1:14" ht="21" customHeight="1" x14ac:dyDescent="0.35">
      <c r="A1" s="155" t="s">
        <v>0</v>
      </c>
      <c r="B1" s="155"/>
      <c r="C1" s="155"/>
      <c r="D1" s="155"/>
      <c r="E1" s="149" t="s">
        <v>1</v>
      </c>
      <c r="F1" s="149"/>
      <c r="G1" s="149"/>
      <c r="H1" s="149"/>
      <c r="I1" s="149"/>
      <c r="J1" s="150" t="s">
        <v>2</v>
      </c>
      <c r="K1" s="150"/>
      <c r="L1" s="150"/>
      <c r="M1" s="150"/>
      <c r="N1" s="150"/>
    </row>
    <row r="2" spans="1:14" x14ac:dyDescent="0.35">
      <c r="A2" s="155"/>
      <c r="B2" s="155"/>
      <c r="C2" s="155"/>
      <c r="D2" s="155"/>
      <c r="E2" s="28">
        <v>2013</v>
      </c>
      <c r="F2" s="28">
        <v>2014</v>
      </c>
      <c r="G2" s="28">
        <v>2015</v>
      </c>
      <c r="H2" s="28">
        <v>2016</v>
      </c>
      <c r="I2" s="28">
        <v>2017</v>
      </c>
      <c r="J2" s="29">
        <v>2018</v>
      </c>
      <c r="K2" s="29">
        <v>2019</v>
      </c>
      <c r="L2" s="29">
        <v>2020</v>
      </c>
      <c r="M2" s="29">
        <v>2021</v>
      </c>
      <c r="N2" s="29">
        <v>2022</v>
      </c>
    </row>
    <row r="3" spans="1:14" ht="15" thickBot="1" x14ac:dyDescent="0.4">
      <c r="A3" s="1" t="s">
        <v>3</v>
      </c>
      <c r="B3" s="1"/>
      <c r="C3" s="1"/>
      <c r="D3" s="1"/>
      <c r="E3" s="9"/>
      <c r="F3" s="9"/>
      <c r="G3" s="9"/>
      <c r="H3" s="9"/>
      <c r="I3" s="9"/>
      <c r="J3" s="9"/>
      <c r="K3" s="9"/>
      <c r="L3" s="9"/>
      <c r="M3" s="9"/>
      <c r="N3" s="9"/>
    </row>
    <row r="4" spans="1:14" ht="15" thickTop="1" x14ac:dyDescent="0.35"/>
    <row r="5" spans="1:14" x14ac:dyDescent="0.35">
      <c r="A5" s="2" t="s">
        <v>4</v>
      </c>
      <c r="B5" s="2"/>
      <c r="C5" s="2"/>
      <c r="D5" s="2"/>
      <c r="E5" s="11"/>
      <c r="F5" s="11"/>
      <c r="G5" s="11"/>
      <c r="H5" s="11"/>
      <c r="I5" s="11"/>
      <c r="J5" s="11"/>
      <c r="K5" s="11"/>
      <c r="L5" s="11"/>
      <c r="M5" s="11"/>
      <c r="N5" s="11"/>
    </row>
    <row r="6" spans="1:14" outlineLevel="1" x14ac:dyDescent="0.35">
      <c r="A6" s="3" t="s">
        <v>5</v>
      </c>
    </row>
    <row r="7" spans="1:14" outlineLevel="1" x14ac:dyDescent="0.35">
      <c r="A7" t="s">
        <v>11</v>
      </c>
      <c r="E7" s="47" t="str">
        <f>IFERROR((E24-D24)/D24,"")</f>
        <v/>
      </c>
      <c r="F7" s="47">
        <f>IFERROR((F24-E24)/E24,"")</f>
        <v>0.15762643740135482</v>
      </c>
      <c r="G7" s="47">
        <f>IFERROR((G24-F24)/F24,"")</f>
        <v>0.11228257371746016</v>
      </c>
      <c r="H7" s="47">
        <f>IFERROR((H24-G24)/G24,"")</f>
        <v>8.3718451406600933E-2</v>
      </c>
      <c r="I7" s="47">
        <f>IFERROR((I24-H24)/H24,"")</f>
        <v>5.9231001608812638E-2</v>
      </c>
      <c r="J7" s="30">
        <v>0.05</v>
      </c>
      <c r="K7" s="30">
        <v>4.4999999999999998E-2</v>
      </c>
      <c r="L7" s="30">
        <v>0.04</v>
      </c>
      <c r="M7" s="30">
        <v>3.5000000000000003E-2</v>
      </c>
      <c r="N7" s="30">
        <v>0.03</v>
      </c>
    </row>
    <row r="8" spans="1:14" outlineLevel="1" x14ac:dyDescent="0.35">
      <c r="A8" t="s">
        <v>12</v>
      </c>
      <c r="E8" s="47">
        <f>IFERROR(E25/E24,"")</f>
        <v>0.38255217779172018</v>
      </c>
      <c r="F8" s="47">
        <f>IFERROR(F25/F24,"")</f>
        <v>0.40651728401334619</v>
      </c>
      <c r="G8" s="47">
        <f>IFERROR(G25/G24,"")</f>
        <v>0.37399977159389397</v>
      </c>
      <c r="H8" s="47">
        <f>IFERROR(H25/H24,"")</f>
        <v>0.369914501092447</v>
      </c>
      <c r="I8" s="47">
        <f>IFERROR(I25/I24,"")</f>
        <v>0.37613084657628737</v>
      </c>
      <c r="J8" s="30">
        <v>0.37</v>
      </c>
      <c r="K8" s="30">
        <v>0.37</v>
      </c>
      <c r="L8" s="30">
        <v>0.36</v>
      </c>
      <c r="M8" s="30">
        <v>0.36</v>
      </c>
      <c r="N8" s="30">
        <v>0.35</v>
      </c>
    </row>
    <row r="9" spans="1:14" outlineLevel="1" x14ac:dyDescent="0.35">
      <c r="A9" t="s">
        <v>13</v>
      </c>
      <c r="E9" s="47">
        <f>IFERROR(E28/E24,"")</f>
        <v>0.25907045594910155</v>
      </c>
      <c r="F9" s="47">
        <f>IFERROR(F28/F24,"")</f>
        <v>0.19187710651559034</v>
      </c>
      <c r="G9" s="47">
        <f>IFERROR(G28/G24,"")</f>
        <v>0.18175035212608018</v>
      </c>
      <c r="H9" s="47">
        <f>IFERROR(H28/H24,"")</f>
        <v>0.16159785304304453</v>
      </c>
      <c r="I9" s="47">
        <f>IFERROR(I28/I24,"")</f>
        <v>0.16743825113416283</v>
      </c>
      <c r="J9" s="30">
        <v>0.17</v>
      </c>
      <c r="K9" s="30">
        <v>0.17</v>
      </c>
      <c r="L9" s="30">
        <v>0.17</v>
      </c>
      <c r="M9" s="30">
        <v>0.17</v>
      </c>
      <c r="N9" s="30">
        <v>0.17</v>
      </c>
    </row>
    <row r="10" spans="1:14" outlineLevel="1" x14ac:dyDescent="0.35">
      <c r="A10" t="s">
        <v>14</v>
      </c>
      <c r="E10" s="17">
        <f>E29</f>
        <v>10963</v>
      </c>
      <c r="F10" s="17">
        <f>F29</f>
        <v>10125</v>
      </c>
      <c r="G10" s="17">
        <f>G29</f>
        <v>10087</v>
      </c>
      <c r="H10" s="17">
        <f>H29</f>
        <v>11020</v>
      </c>
      <c r="I10" s="17">
        <f>I29</f>
        <v>11412</v>
      </c>
      <c r="J10" s="31">
        <v>10000</v>
      </c>
      <c r="K10" s="31">
        <v>10000</v>
      </c>
      <c r="L10" s="31">
        <v>10000</v>
      </c>
      <c r="M10" s="31">
        <v>10000</v>
      </c>
      <c r="N10" s="31">
        <v>10000</v>
      </c>
    </row>
    <row r="11" spans="1:14" outlineLevel="1" x14ac:dyDescent="0.35">
      <c r="A11" t="s">
        <v>15</v>
      </c>
      <c r="E11" s="47">
        <f>E30/E92</f>
        <v>0.39</v>
      </c>
      <c r="F11" s="47">
        <f>F30/F92</f>
        <v>0.39890109890109893</v>
      </c>
      <c r="G11" s="47">
        <f>G30/G92</f>
        <v>0.4062573789846517</v>
      </c>
      <c r="H11" s="47">
        <f>H30/H92</f>
        <v>0.41210611533192176</v>
      </c>
      <c r="I11" s="47">
        <f>I30/I92</f>
        <v>0.41656951892438021</v>
      </c>
      <c r="J11" s="30">
        <v>0.4</v>
      </c>
      <c r="K11" s="30">
        <v>0.4</v>
      </c>
      <c r="L11" s="30">
        <v>0.4</v>
      </c>
      <c r="M11" s="30">
        <v>0.4</v>
      </c>
      <c r="N11" s="30">
        <v>0.4</v>
      </c>
    </row>
    <row r="12" spans="1:14" outlineLevel="1" x14ac:dyDescent="0.35">
      <c r="A12" t="s">
        <v>16</v>
      </c>
      <c r="E12" s="47">
        <f>E31/E49</f>
        <v>0.05</v>
      </c>
      <c r="F12" s="47">
        <f>F31/F49</f>
        <v>0.05</v>
      </c>
      <c r="G12" s="47">
        <f>G31/G49</f>
        <v>0.05</v>
      </c>
      <c r="H12" s="47">
        <f>H31/H49</f>
        <v>0.05</v>
      </c>
      <c r="I12" s="47">
        <f>I31/I49</f>
        <v>0.05</v>
      </c>
      <c r="J12" s="30">
        <v>0.05</v>
      </c>
      <c r="K12" s="30">
        <v>0.05</v>
      </c>
      <c r="L12" s="30">
        <v>0.05</v>
      </c>
      <c r="M12" s="30">
        <v>0.05</v>
      </c>
      <c r="N12" s="30">
        <v>0.05</v>
      </c>
    </row>
    <row r="13" spans="1:14" outlineLevel="1" x14ac:dyDescent="0.35">
      <c r="A13" t="s">
        <v>17</v>
      </c>
      <c r="E13" s="47">
        <f>E35/E33</f>
        <v>0.31163049526989428</v>
      </c>
      <c r="F13" s="47">
        <f>F35/F33</f>
        <v>0.29178929665445374</v>
      </c>
      <c r="G13" s="47">
        <f>G35/G33</f>
        <v>0.28699506055890112</v>
      </c>
      <c r="H13" s="47">
        <f>H35/H33</f>
        <v>0.28994444592116103</v>
      </c>
      <c r="I13" s="47">
        <f>I35/I33</f>
        <v>0.2912241054613936</v>
      </c>
      <c r="J13" s="30">
        <v>0.28000000000000003</v>
      </c>
      <c r="K13" s="30">
        <v>0.28000000000000003</v>
      </c>
      <c r="L13" s="30">
        <v>0.28000000000000003</v>
      </c>
      <c r="M13" s="30">
        <v>0.28000000000000003</v>
      </c>
      <c r="N13" s="30">
        <v>0.28000000000000003</v>
      </c>
    </row>
    <row r="14" spans="1:14" outlineLevel="1" x14ac:dyDescent="0.35">
      <c r="A14" s="3" t="s">
        <v>6</v>
      </c>
      <c r="J14" s="48"/>
      <c r="K14" s="48"/>
      <c r="L14" s="48"/>
    </row>
    <row r="15" spans="1:14" outlineLevel="1" x14ac:dyDescent="0.35">
      <c r="A15" t="s">
        <v>18</v>
      </c>
      <c r="E15" s="17">
        <f t="shared" ref="E15:I16" si="0">E42/E24*365</f>
        <v>18.248747634966229</v>
      </c>
      <c r="F15" s="17">
        <f t="shared" si="0"/>
        <v>18.249072709720032</v>
      </c>
      <c r="G15" s="17">
        <f t="shared" si="0"/>
        <v>18.249305264760743</v>
      </c>
      <c r="H15" s="17">
        <f t="shared" si="0"/>
        <v>18.249871786765585</v>
      </c>
      <c r="I15" s="17">
        <f t="shared" si="0"/>
        <v>18.250968349560925</v>
      </c>
      <c r="J15" s="31">
        <v>18</v>
      </c>
      <c r="K15" s="31">
        <v>18</v>
      </c>
      <c r="L15" s="31">
        <v>18</v>
      </c>
      <c r="M15" s="31">
        <v>18</v>
      </c>
      <c r="N15" s="31">
        <v>18</v>
      </c>
    </row>
    <row r="16" spans="1:14" outlineLevel="1" x14ac:dyDescent="0.35">
      <c r="A16" t="s">
        <v>19</v>
      </c>
      <c r="E16" s="17">
        <f t="shared" si="0"/>
        <v>73.00374138328678</v>
      </c>
      <c r="F16" s="17">
        <f t="shared" si="0"/>
        <v>73.001520706607778</v>
      </c>
      <c r="G16" s="17">
        <f t="shared" si="0"/>
        <v>73.002972131180911</v>
      </c>
      <c r="H16" s="17">
        <f t="shared" si="0"/>
        <v>73.001386409389596</v>
      </c>
      <c r="I16" s="17">
        <f t="shared" si="0"/>
        <v>73</v>
      </c>
      <c r="J16" s="31">
        <v>73</v>
      </c>
      <c r="K16" s="31">
        <v>73</v>
      </c>
      <c r="L16" s="31">
        <v>73</v>
      </c>
      <c r="M16" s="31">
        <v>73</v>
      </c>
      <c r="N16" s="31">
        <v>73</v>
      </c>
    </row>
    <row r="17" spans="1:15" outlineLevel="1" x14ac:dyDescent="0.35">
      <c r="A17" t="s">
        <v>20</v>
      </c>
      <c r="E17" s="17">
        <f>E48/E25*365</f>
        <v>36.497193962534915</v>
      </c>
      <c r="F17" s="17">
        <f>F48/F25*365</f>
        <v>36.496958586784437</v>
      </c>
      <c r="G17" s="17">
        <f>G48/G25*365</f>
        <v>36.497770901614317</v>
      </c>
      <c r="H17" s="17">
        <f>H48/H25*365</f>
        <v>36.497227181220801</v>
      </c>
      <c r="I17" s="17">
        <f>I48/I25*365</f>
        <v>36.5</v>
      </c>
      <c r="J17" s="31">
        <v>37</v>
      </c>
      <c r="K17" s="31">
        <v>37</v>
      </c>
      <c r="L17" s="31">
        <v>37</v>
      </c>
      <c r="M17" s="31">
        <v>37</v>
      </c>
      <c r="N17" s="31">
        <v>37</v>
      </c>
    </row>
    <row r="18" spans="1:15" outlineLevel="1" x14ac:dyDescent="0.35">
      <c r="A18" t="s">
        <v>21</v>
      </c>
      <c r="E18" s="17">
        <f>E93</f>
        <v>15000</v>
      </c>
      <c r="F18" s="17">
        <f>F93</f>
        <v>15000</v>
      </c>
      <c r="G18" s="17">
        <f>G93</f>
        <v>15000</v>
      </c>
      <c r="H18" s="17">
        <f>H93</f>
        <v>15000</v>
      </c>
      <c r="I18" s="17">
        <f>I93</f>
        <v>15000</v>
      </c>
      <c r="J18" s="31">
        <v>15000</v>
      </c>
      <c r="K18" s="31">
        <v>15000</v>
      </c>
      <c r="L18" s="31">
        <v>15000</v>
      </c>
      <c r="M18" s="31">
        <v>15000</v>
      </c>
      <c r="N18" s="31">
        <v>15000</v>
      </c>
    </row>
    <row r="19" spans="1:15" outlineLevel="1" x14ac:dyDescent="0.35">
      <c r="A19" t="s">
        <v>22</v>
      </c>
      <c r="E19" s="17">
        <f t="shared" ref="E19:I20" si="1">E72</f>
        <v>0</v>
      </c>
      <c r="F19" s="17">
        <f t="shared" si="1"/>
        <v>0</v>
      </c>
      <c r="G19" s="17">
        <f t="shared" si="1"/>
        <v>-20000</v>
      </c>
      <c r="H19" s="17">
        <f t="shared" si="1"/>
        <v>0</v>
      </c>
      <c r="I19" s="17">
        <f t="shared" si="1"/>
        <v>0</v>
      </c>
      <c r="J19" s="31">
        <f>E19</f>
        <v>0</v>
      </c>
      <c r="K19" s="31">
        <f>F19</f>
        <v>0</v>
      </c>
      <c r="L19" s="31">
        <f>G19</f>
        <v>-20000</v>
      </c>
      <c r="M19" s="31">
        <f>H19</f>
        <v>0</v>
      </c>
      <c r="N19" s="31">
        <f>I19</f>
        <v>0</v>
      </c>
    </row>
    <row r="20" spans="1:15" outlineLevel="1" x14ac:dyDescent="0.35">
      <c r="A20" t="s">
        <v>23</v>
      </c>
      <c r="E20" s="17">
        <f t="shared" si="1"/>
        <v>170000</v>
      </c>
      <c r="F20" s="17">
        <f t="shared" si="1"/>
        <v>0</v>
      </c>
      <c r="G20" s="17">
        <f t="shared" si="1"/>
        <v>0</v>
      </c>
      <c r="H20" s="17">
        <f t="shared" si="1"/>
        <v>0</v>
      </c>
      <c r="I20" s="17">
        <f t="shared" si="1"/>
        <v>0</v>
      </c>
      <c r="J20" s="31">
        <v>0</v>
      </c>
      <c r="K20" s="31">
        <v>0</v>
      </c>
      <c r="L20" s="31">
        <v>0</v>
      </c>
      <c r="M20" s="31">
        <v>0</v>
      </c>
      <c r="N20" s="31">
        <v>0</v>
      </c>
    </row>
    <row r="21" spans="1:15" outlineLevel="1" x14ac:dyDescent="0.35"/>
    <row r="23" spans="1:15" x14ac:dyDescent="0.35">
      <c r="A23" s="2" t="s">
        <v>5</v>
      </c>
      <c r="B23" s="2"/>
      <c r="C23" s="2"/>
      <c r="D23" s="2"/>
      <c r="E23" s="11"/>
      <c r="F23" s="11"/>
      <c r="G23" s="11"/>
      <c r="H23" s="11"/>
      <c r="I23" s="11"/>
      <c r="J23" s="11"/>
      <c r="K23" s="11"/>
      <c r="L23" s="11"/>
      <c r="M23" s="11"/>
      <c r="N23" s="11"/>
    </row>
    <row r="24" spans="1:15" outlineLevel="1" x14ac:dyDescent="0.35">
      <c r="A24" s="3" t="s">
        <v>24</v>
      </c>
      <c r="B24" s="3"/>
      <c r="C24" s="3"/>
      <c r="D24" s="3"/>
      <c r="E24" s="12">
        <v>102007</v>
      </c>
      <c r="F24" s="12">
        <v>118086</v>
      </c>
      <c r="G24" s="12">
        <v>131345</v>
      </c>
      <c r="H24" s="12">
        <v>142341</v>
      </c>
      <c r="I24" s="12">
        <v>150772</v>
      </c>
      <c r="J24" s="12">
        <f>I24*(1+J7)</f>
        <v>158310.6</v>
      </c>
      <c r="K24" s="12">
        <f>J24*(1+K7)</f>
        <v>165434.57699999999</v>
      </c>
      <c r="L24" s="12">
        <f>K24*(1+L7)</f>
        <v>172051.96007999999</v>
      </c>
      <c r="M24" s="12">
        <f>L24*(1+M7)</f>
        <v>178073.77868279998</v>
      </c>
      <c r="N24" s="12">
        <f>M24*(1+N7)</f>
        <v>183415.99204328397</v>
      </c>
    </row>
    <row r="25" spans="1:15" outlineLevel="1" x14ac:dyDescent="0.35">
      <c r="A25" s="4" t="s">
        <v>25</v>
      </c>
      <c r="B25" s="4"/>
      <c r="C25" s="4"/>
      <c r="D25" s="4"/>
      <c r="E25" s="13">
        <v>39023</v>
      </c>
      <c r="F25" s="13">
        <v>48004</v>
      </c>
      <c r="G25" s="13">
        <v>49123</v>
      </c>
      <c r="H25" s="13">
        <v>52654</v>
      </c>
      <c r="I25" s="13">
        <v>56710</v>
      </c>
      <c r="J25" s="13">
        <f>J24*J8</f>
        <v>58574.921999999999</v>
      </c>
      <c r="K25" s="13">
        <f>K24*K8</f>
        <v>61210.793489999996</v>
      </c>
      <c r="L25" s="13">
        <f>L24*L8</f>
        <v>61938.705628799995</v>
      </c>
      <c r="M25" s="13">
        <f>M24*M8</f>
        <v>64106.560325807994</v>
      </c>
      <c r="N25" s="13">
        <f>N24*N8</f>
        <v>64195.597215149384</v>
      </c>
    </row>
    <row r="26" spans="1:15" outlineLevel="1" x14ac:dyDescent="0.35">
      <c r="A26" s="3" t="s">
        <v>26</v>
      </c>
      <c r="B26" s="3"/>
      <c r="C26" s="3"/>
      <c r="D26" s="3"/>
      <c r="E26" s="12">
        <f>E24-E25</f>
        <v>62984</v>
      </c>
      <c r="F26" s="12">
        <f t="shared" ref="F26:N26" si="2">F24-F25</f>
        <v>70082</v>
      </c>
      <c r="G26" s="12">
        <f t="shared" si="2"/>
        <v>82222</v>
      </c>
      <c r="H26" s="12">
        <f t="shared" si="2"/>
        <v>89687</v>
      </c>
      <c r="I26" s="12">
        <f t="shared" si="2"/>
        <v>94062</v>
      </c>
      <c r="J26" s="12">
        <f t="shared" si="2"/>
        <v>99735.678000000014</v>
      </c>
      <c r="K26" s="12">
        <f t="shared" si="2"/>
        <v>104223.78350999999</v>
      </c>
      <c r="L26" s="12">
        <f t="shared" si="2"/>
        <v>110113.25445119999</v>
      </c>
      <c r="M26" s="12">
        <f t="shared" si="2"/>
        <v>113967.21835699199</v>
      </c>
      <c r="N26" s="12">
        <f t="shared" si="2"/>
        <v>119220.39482813459</v>
      </c>
    </row>
    <row r="27" spans="1:15" outlineLevel="1" x14ac:dyDescent="0.35">
      <c r="A27" s="3" t="s">
        <v>27</v>
      </c>
      <c r="B27" s="3"/>
      <c r="C27" s="3"/>
      <c r="D27" s="3"/>
      <c r="E27" s="12"/>
      <c r="F27" s="12"/>
      <c r="G27" s="12"/>
      <c r="H27" s="12"/>
      <c r="I27" s="12"/>
      <c r="J27" s="12"/>
      <c r="K27" s="12"/>
      <c r="L27" s="12"/>
      <c r="M27" s="12"/>
      <c r="N27" s="12"/>
    </row>
    <row r="28" spans="1:15" outlineLevel="1" x14ac:dyDescent="0.35">
      <c r="A28" t="s">
        <v>28</v>
      </c>
      <c r="E28" s="10">
        <v>26427</v>
      </c>
      <c r="F28" s="10">
        <v>22658</v>
      </c>
      <c r="G28" s="10">
        <v>23872</v>
      </c>
      <c r="H28" s="10">
        <v>23002</v>
      </c>
      <c r="I28" s="10">
        <v>25245</v>
      </c>
      <c r="J28" s="10">
        <f>J24*J9</f>
        <v>26912.802000000003</v>
      </c>
      <c r="K28" s="10">
        <f>K24*K9</f>
        <v>28123.878090000002</v>
      </c>
      <c r="L28" s="10">
        <f>L24*L9</f>
        <v>29248.833213599999</v>
      </c>
      <c r="M28" s="10">
        <f>M24*M9</f>
        <v>30272.542376075999</v>
      </c>
      <c r="N28" s="10">
        <f>N24*N9</f>
        <v>31180.718647358277</v>
      </c>
    </row>
    <row r="29" spans="1:15" outlineLevel="1" x14ac:dyDescent="0.35">
      <c r="A29" t="s">
        <v>29</v>
      </c>
      <c r="E29" s="10">
        <v>10963</v>
      </c>
      <c r="F29" s="10">
        <v>10125</v>
      </c>
      <c r="G29" s="10">
        <v>10087</v>
      </c>
      <c r="H29" s="10">
        <v>11020</v>
      </c>
      <c r="I29" s="10">
        <v>11412</v>
      </c>
      <c r="J29" s="10">
        <f>J10</f>
        <v>10000</v>
      </c>
      <c r="K29" s="10">
        <f>K10</f>
        <v>10000</v>
      </c>
      <c r="L29" s="10">
        <f>L10</f>
        <v>10000</v>
      </c>
      <c r="M29" s="10">
        <f>M10</f>
        <v>10000</v>
      </c>
      <c r="N29" s="10">
        <f>N10</f>
        <v>10000</v>
      </c>
      <c r="O29" t="s">
        <v>134</v>
      </c>
    </row>
    <row r="30" spans="1:15" outlineLevel="1" x14ac:dyDescent="0.35">
      <c r="A30" t="s">
        <v>30</v>
      </c>
      <c r="E30" s="10">
        <v>19500</v>
      </c>
      <c r="F30" s="10">
        <v>18150</v>
      </c>
      <c r="G30" s="10">
        <v>17205</v>
      </c>
      <c r="H30" s="10">
        <v>16544</v>
      </c>
      <c r="I30" s="10">
        <v>16080</v>
      </c>
      <c r="J30" s="10">
        <f>J94</f>
        <v>15008.400000000001</v>
      </c>
      <c r="K30" s="10">
        <f>K94</f>
        <v>15005.04</v>
      </c>
      <c r="L30" s="10">
        <f>L94</f>
        <v>15003.023999999999</v>
      </c>
      <c r="M30" s="10">
        <f>M94</f>
        <v>15001.814400000001</v>
      </c>
      <c r="N30" s="10">
        <f>N94</f>
        <v>15001.08864</v>
      </c>
      <c r="O30" t="s">
        <v>133</v>
      </c>
    </row>
    <row r="31" spans="1:15" outlineLevel="1" x14ac:dyDescent="0.35">
      <c r="A31" t="s">
        <v>31</v>
      </c>
      <c r="E31" s="10">
        <v>2500</v>
      </c>
      <c r="F31" s="10">
        <v>2500</v>
      </c>
      <c r="G31" s="10">
        <v>1500</v>
      </c>
      <c r="H31" s="10">
        <v>1500</v>
      </c>
      <c r="I31" s="10">
        <v>1500</v>
      </c>
      <c r="J31" s="10">
        <f>J101</f>
        <v>1500</v>
      </c>
      <c r="K31" s="10">
        <f>K101</f>
        <v>1500</v>
      </c>
      <c r="L31" s="10">
        <f>L101</f>
        <v>500</v>
      </c>
      <c r="M31" s="10">
        <f>M101</f>
        <v>500</v>
      </c>
      <c r="N31" s="10">
        <f>N101</f>
        <v>500</v>
      </c>
      <c r="O31" t="s">
        <v>133</v>
      </c>
    </row>
    <row r="32" spans="1:15" outlineLevel="1" x14ac:dyDescent="0.35">
      <c r="A32" s="5" t="s">
        <v>32</v>
      </c>
      <c r="B32" s="5"/>
      <c r="C32" s="5"/>
      <c r="D32" s="5"/>
      <c r="E32" s="14">
        <f t="shared" ref="E32:N32" si="3">SUM(E28:E31)</f>
        <v>59390</v>
      </c>
      <c r="F32" s="14">
        <f t="shared" si="3"/>
        <v>53433</v>
      </c>
      <c r="G32" s="14">
        <f t="shared" si="3"/>
        <v>52664</v>
      </c>
      <c r="H32" s="14">
        <f t="shared" si="3"/>
        <v>52066</v>
      </c>
      <c r="I32" s="14">
        <f t="shared" si="3"/>
        <v>54237</v>
      </c>
      <c r="J32" s="14">
        <f t="shared" si="3"/>
        <v>53421.202000000005</v>
      </c>
      <c r="K32" s="14">
        <f t="shared" si="3"/>
        <v>54628.918089999999</v>
      </c>
      <c r="L32" s="14">
        <f t="shared" si="3"/>
        <v>54751.857213599993</v>
      </c>
      <c r="M32" s="14">
        <f t="shared" si="3"/>
        <v>55774.356776076005</v>
      </c>
      <c r="N32" s="14">
        <f t="shared" si="3"/>
        <v>56681.807287358279</v>
      </c>
    </row>
    <row r="33" spans="1:15" outlineLevel="1" x14ac:dyDescent="0.35">
      <c r="A33" s="3" t="s">
        <v>33</v>
      </c>
      <c r="B33" s="3"/>
      <c r="C33" s="3"/>
      <c r="D33" s="3"/>
      <c r="E33" s="12">
        <f t="shared" ref="E33:N33" si="4">E26-E32</f>
        <v>3594</v>
      </c>
      <c r="F33" s="12">
        <f t="shared" si="4"/>
        <v>16649</v>
      </c>
      <c r="G33" s="12">
        <f t="shared" si="4"/>
        <v>29558</v>
      </c>
      <c r="H33" s="12">
        <f t="shared" si="4"/>
        <v>37621</v>
      </c>
      <c r="I33" s="12">
        <f t="shared" si="4"/>
        <v>39825</v>
      </c>
      <c r="J33" s="12">
        <f t="shared" si="4"/>
        <v>46314.47600000001</v>
      </c>
      <c r="K33" s="12">
        <f t="shared" si="4"/>
        <v>49594.865419999995</v>
      </c>
      <c r="L33" s="12">
        <f t="shared" si="4"/>
        <v>55361.397237599995</v>
      </c>
      <c r="M33" s="12">
        <f t="shared" si="4"/>
        <v>58192.861580915982</v>
      </c>
      <c r="N33" s="12">
        <f t="shared" si="4"/>
        <v>62538.587540776316</v>
      </c>
    </row>
    <row r="34" spans="1:15" outlineLevel="1" x14ac:dyDescent="0.35">
      <c r="M34" s="10"/>
      <c r="N34" s="10"/>
    </row>
    <row r="35" spans="1:15" outlineLevel="1" x14ac:dyDescent="0.35">
      <c r="A35" t="s">
        <v>34</v>
      </c>
      <c r="E35" s="10">
        <v>1120</v>
      </c>
      <c r="F35" s="10">
        <v>4858</v>
      </c>
      <c r="G35" s="10">
        <v>8483</v>
      </c>
      <c r="H35" s="10">
        <v>10908</v>
      </c>
      <c r="I35" s="10">
        <v>11598</v>
      </c>
      <c r="J35" s="10">
        <f>J33*J13</f>
        <v>12968.053280000004</v>
      </c>
      <c r="K35" s="10">
        <f>K33*K13</f>
        <v>13886.562317599999</v>
      </c>
      <c r="L35" s="10">
        <f>L33*L13</f>
        <v>15501.191226528001</v>
      </c>
      <c r="M35" s="10">
        <f>M33*M13</f>
        <v>16294.001242656477</v>
      </c>
      <c r="N35" s="10">
        <f>N33*N13</f>
        <v>17510.804511417369</v>
      </c>
    </row>
    <row r="36" spans="1:15" outlineLevel="1" x14ac:dyDescent="0.35">
      <c r="A36" s="5" t="s">
        <v>35</v>
      </c>
      <c r="B36" s="5"/>
      <c r="C36" s="5"/>
      <c r="D36" s="5"/>
      <c r="E36" s="14">
        <f>E26-E32-E35</f>
        <v>2474</v>
      </c>
      <c r="F36" s="14">
        <f t="shared" ref="F36:N36" si="5">F26-F32-F35</f>
        <v>11791</v>
      </c>
      <c r="G36" s="14">
        <f t="shared" si="5"/>
        <v>21075</v>
      </c>
      <c r="H36" s="14">
        <f t="shared" si="5"/>
        <v>26713</v>
      </c>
      <c r="I36" s="14">
        <f t="shared" si="5"/>
        <v>28227</v>
      </c>
      <c r="J36" s="14">
        <f t="shared" si="5"/>
        <v>33346.422720000002</v>
      </c>
      <c r="K36" s="14">
        <f t="shared" si="5"/>
        <v>35708.303102399994</v>
      </c>
      <c r="L36" s="14">
        <f t="shared" si="5"/>
        <v>39860.20601107199</v>
      </c>
      <c r="M36" s="14">
        <f t="shared" si="5"/>
        <v>41898.860338259503</v>
      </c>
      <c r="N36" s="14">
        <f t="shared" si="5"/>
        <v>45027.78302935895</v>
      </c>
    </row>
    <row r="37" spans="1:15" outlineLevel="1" x14ac:dyDescent="0.35">
      <c r="M37" s="10"/>
      <c r="N37" s="10"/>
    </row>
    <row r="38" spans="1:15" x14ac:dyDescent="0.35">
      <c r="M38" s="10"/>
      <c r="N38" s="10"/>
    </row>
    <row r="39" spans="1:15" x14ac:dyDescent="0.35">
      <c r="A39" s="2" t="s">
        <v>6</v>
      </c>
      <c r="B39" s="2"/>
      <c r="C39" s="2"/>
      <c r="D39" s="2"/>
      <c r="E39" s="11"/>
      <c r="F39" s="11"/>
      <c r="G39" s="11"/>
      <c r="H39" s="11"/>
      <c r="I39" s="11"/>
      <c r="J39" s="11"/>
      <c r="K39" s="11"/>
      <c r="L39" s="11"/>
      <c r="M39" s="11"/>
      <c r="N39" s="11"/>
    </row>
    <row r="40" spans="1:15" outlineLevel="1" x14ac:dyDescent="0.35">
      <c r="A40" s="3" t="s">
        <v>36</v>
      </c>
      <c r="M40" s="10"/>
      <c r="N40" s="10"/>
    </row>
    <row r="41" spans="1:15" outlineLevel="1" x14ac:dyDescent="0.35">
      <c r="A41" t="s">
        <v>37</v>
      </c>
      <c r="E41" s="10">
        <v>167971</v>
      </c>
      <c r="F41" s="10">
        <v>181210</v>
      </c>
      <c r="G41" s="10">
        <v>183715</v>
      </c>
      <c r="H41" s="10">
        <v>211069</v>
      </c>
      <c r="I41" s="10">
        <v>239550</v>
      </c>
      <c r="J41" s="10">
        <f>J78</f>
        <v>272529.4720569863</v>
      </c>
      <c r="K41" s="10">
        <f>K78</f>
        <v>307631.51937955071</v>
      </c>
      <c r="L41" s="10">
        <f>L78</f>
        <v>327096.61861682322</v>
      </c>
      <c r="M41" s="10">
        <f>M78</f>
        <v>368486.51115250005</v>
      </c>
      <c r="N41" s="10">
        <f>N78</f>
        <v>413243.14948348911</v>
      </c>
      <c r="O41" t="s">
        <v>135</v>
      </c>
    </row>
    <row r="42" spans="1:15" outlineLevel="1" x14ac:dyDescent="0.35">
      <c r="A42" t="s">
        <v>38</v>
      </c>
      <c r="E42" s="10">
        <v>5100</v>
      </c>
      <c r="F42" s="10">
        <v>5904</v>
      </c>
      <c r="G42" s="10">
        <v>6567</v>
      </c>
      <c r="H42" s="10">
        <v>7117</v>
      </c>
      <c r="I42" s="10">
        <v>7539</v>
      </c>
      <c r="J42" s="10">
        <f t="shared" ref="J42:N43" si="6">J85</f>
        <v>7807.098082191781</v>
      </c>
      <c r="K42" s="10">
        <f t="shared" si="6"/>
        <v>8158.4174958904105</v>
      </c>
      <c r="L42" s="10">
        <f t="shared" si="6"/>
        <v>8484.7541957260273</v>
      </c>
      <c r="M42" s="10">
        <f t="shared" si="6"/>
        <v>8781.7205925764374</v>
      </c>
      <c r="N42" s="10">
        <f t="shared" si="6"/>
        <v>9045.1722103537304</v>
      </c>
      <c r="O42" t="s">
        <v>133</v>
      </c>
    </row>
    <row r="43" spans="1:15" outlineLevel="1" x14ac:dyDescent="0.35">
      <c r="A43" t="s">
        <v>39</v>
      </c>
      <c r="E43" s="10">
        <v>7805</v>
      </c>
      <c r="F43" s="10">
        <v>9601</v>
      </c>
      <c r="G43" s="10">
        <v>9825</v>
      </c>
      <c r="H43" s="10">
        <v>10531</v>
      </c>
      <c r="I43" s="10">
        <v>11342</v>
      </c>
      <c r="J43" s="10">
        <f t="shared" si="6"/>
        <v>11714.984400000001</v>
      </c>
      <c r="K43" s="10">
        <f t="shared" si="6"/>
        <v>12242.158697999999</v>
      </c>
      <c r="L43" s="10">
        <f t="shared" si="6"/>
        <v>12387.741125759998</v>
      </c>
      <c r="M43" s="10">
        <f t="shared" si="6"/>
        <v>12821.312065161597</v>
      </c>
      <c r="N43" s="10">
        <f t="shared" si="6"/>
        <v>12839.119443029878</v>
      </c>
      <c r="O43" t="s">
        <v>133</v>
      </c>
    </row>
    <row r="44" spans="1:15" outlineLevel="1" x14ac:dyDescent="0.35">
      <c r="A44" t="s">
        <v>40</v>
      </c>
      <c r="E44" s="10">
        <v>45500</v>
      </c>
      <c r="F44" s="10">
        <v>42350</v>
      </c>
      <c r="G44" s="10">
        <v>40145</v>
      </c>
      <c r="H44" s="10">
        <v>38602</v>
      </c>
      <c r="I44" s="10">
        <v>37521</v>
      </c>
      <c r="J44" s="10">
        <f>J95</f>
        <v>37512.6</v>
      </c>
      <c r="K44" s="10">
        <f>K95</f>
        <v>37507.56</v>
      </c>
      <c r="L44" s="10">
        <f>L95</f>
        <v>37504.536</v>
      </c>
      <c r="M44" s="10">
        <f>M95</f>
        <v>37502.721599999997</v>
      </c>
      <c r="N44" s="10">
        <f>N95</f>
        <v>37501.632959999995</v>
      </c>
      <c r="O44" t="s">
        <v>133</v>
      </c>
    </row>
    <row r="45" spans="1:15" ht="15" outlineLevel="1" thickBot="1" x14ac:dyDescent="0.4">
      <c r="A45" s="6" t="s">
        <v>41</v>
      </c>
      <c r="B45" s="6"/>
      <c r="C45" s="6"/>
      <c r="D45" s="6"/>
      <c r="E45" s="15">
        <f t="shared" ref="E45:N45" si="7">SUM(E41:E44)</f>
        <v>226376</v>
      </c>
      <c r="F45" s="15">
        <f t="shared" si="7"/>
        <v>239065</v>
      </c>
      <c r="G45" s="15">
        <f t="shared" si="7"/>
        <v>240252</v>
      </c>
      <c r="H45" s="15">
        <f t="shared" si="7"/>
        <v>267319</v>
      </c>
      <c r="I45" s="15">
        <f t="shared" si="7"/>
        <v>295952</v>
      </c>
      <c r="J45" s="15">
        <f t="shared" si="7"/>
        <v>329564.15453917807</v>
      </c>
      <c r="K45" s="15">
        <f t="shared" si="7"/>
        <v>365539.65557344112</v>
      </c>
      <c r="L45" s="15">
        <f t="shared" si="7"/>
        <v>385473.64993830927</v>
      </c>
      <c r="M45" s="15">
        <f t="shared" si="7"/>
        <v>427592.26541023806</v>
      </c>
      <c r="N45" s="15">
        <f t="shared" si="7"/>
        <v>472629.0740968727</v>
      </c>
    </row>
    <row r="46" spans="1:15" ht="15" outlineLevel="1" thickTop="1" x14ac:dyDescent="0.35">
      <c r="M46" s="10"/>
      <c r="N46" s="10"/>
    </row>
    <row r="47" spans="1:15" outlineLevel="1" x14ac:dyDescent="0.35">
      <c r="A47" s="3" t="s">
        <v>42</v>
      </c>
      <c r="M47" s="10"/>
      <c r="N47" s="10"/>
    </row>
    <row r="48" spans="1:15" outlineLevel="1" x14ac:dyDescent="0.35">
      <c r="A48" t="s">
        <v>43</v>
      </c>
      <c r="E48" s="10">
        <v>3902</v>
      </c>
      <c r="F48" s="10">
        <v>4800</v>
      </c>
      <c r="G48" s="10">
        <v>4912</v>
      </c>
      <c r="H48" s="10">
        <v>5265</v>
      </c>
      <c r="I48" s="10">
        <v>5671</v>
      </c>
      <c r="J48" s="10">
        <f>J87</f>
        <v>5937.7318191780823</v>
      </c>
      <c r="K48" s="10">
        <f>K87</f>
        <v>6204.9297510410961</v>
      </c>
      <c r="L48" s="10">
        <f>L87</f>
        <v>6278.7181048372595</v>
      </c>
      <c r="M48" s="10">
        <f>M87</f>
        <v>6498.4732385065636</v>
      </c>
      <c r="N48" s="10">
        <f>N87</f>
        <v>6507.498895782267</v>
      </c>
      <c r="O48" t="s">
        <v>133</v>
      </c>
    </row>
    <row r="49" spans="1:15" outlineLevel="1" x14ac:dyDescent="0.35">
      <c r="A49" s="4" t="s">
        <v>44</v>
      </c>
      <c r="B49" s="4"/>
      <c r="C49" s="4"/>
      <c r="D49" s="4"/>
      <c r="E49" s="13">
        <v>50000</v>
      </c>
      <c r="F49" s="13">
        <v>50000</v>
      </c>
      <c r="G49" s="13">
        <v>30000</v>
      </c>
      <c r="H49" s="13">
        <v>30000</v>
      </c>
      <c r="I49" s="13">
        <v>30000</v>
      </c>
      <c r="J49" s="13">
        <f>J100</f>
        <v>30000</v>
      </c>
      <c r="K49" s="13">
        <f>K100</f>
        <v>30000</v>
      </c>
      <c r="L49" s="13">
        <f>L100</f>
        <v>10000</v>
      </c>
      <c r="M49" s="13">
        <f>M100</f>
        <v>10000</v>
      </c>
      <c r="N49" s="13">
        <f>N100</f>
        <v>10000</v>
      </c>
      <c r="O49" t="s">
        <v>133</v>
      </c>
    </row>
    <row r="50" spans="1:15" outlineLevel="1" x14ac:dyDescent="0.35">
      <c r="A50" s="3" t="s">
        <v>45</v>
      </c>
      <c r="B50" s="3"/>
      <c r="C50" s="3"/>
      <c r="D50" s="3"/>
      <c r="E50" s="12">
        <f>SUM(E48:E49)</f>
        <v>53902</v>
      </c>
      <c r="F50" s="12">
        <f t="shared" ref="F50:N50" si="8">SUM(F48:F49)</f>
        <v>54800</v>
      </c>
      <c r="G50" s="12">
        <f t="shared" si="8"/>
        <v>34912</v>
      </c>
      <c r="H50" s="12">
        <f t="shared" si="8"/>
        <v>35265</v>
      </c>
      <c r="I50" s="12">
        <f t="shared" si="8"/>
        <v>35671</v>
      </c>
      <c r="J50" s="12">
        <f t="shared" si="8"/>
        <v>35937.73181917808</v>
      </c>
      <c r="K50" s="12">
        <f t="shared" si="8"/>
        <v>36204.929751041098</v>
      </c>
      <c r="L50" s="12">
        <f t="shared" si="8"/>
        <v>16278.718104837259</v>
      </c>
      <c r="M50" s="12">
        <f t="shared" si="8"/>
        <v>16498.473238506565</v>
      </c>
      <c r="N50" s="12">
        <f t="shared" si="8"/>
        <v>16507.498895782268</v>
      </c>
    </row>
    <row r="51" spans="1:15" outlineLevel="1" x14ac:dyDescent="0.35">
      <c r="A51" s="3" t="s">
        <v>46</v>
      </c>
      <c r="M51" s="10"/>
      <c r="N51" s="10"/>
    </row>
    <row r="52" spans="1:15" outlineLevel="1" x14ac:dyDescent="0.35">
      <c r="A52" t="s">
        <v>47</v>
      </c>
      <c r="E52" s="10">
        <v>170000</v>
      </c>
      <c r="F52" s="10">
        <v>170000</v>
      </c>
      <c r="G52" s="10">
        <v>170000</v>
      </c>
      <c r="H52" s="10">
        <v>170000</v>
      </c>
      <c r="I52" s="10">
        <v>170000</v>
      </c>
      <c r="J52" s="17">
        <f>I52+J73</f>
        <v>170000</v>
      </c>
      <c r="K52" s="17">
        <f>J52+K73</f>
        <v>170000</v>
      </c>
      <c r="L52" s="17">
        <f>K52+L73</f>
        <v>170000</v>
      </c>
      <c r="M52" s="17">
        <f>L52+M73</f>
        <v>170000</v>
      </c>
      <c r="N52" s="17">
        <f>M52+N73</f>
        <v>170000</v>
      </c>
    </row>
    <row r="53" spans="1:15" outlineLevel="1" x14ac:dyDescent="0.35">
      <c r="A53" t="s">
        <v>48</v>
      </c>
      <c r="E53" s="10">
        <v>2474</v>
      </c>
      <c r="F53" s="10">
        <v>14265</v>
      </c>
      <c r="G53" s="10">
        <v>35340</v>
      </c>
      <c r="H53" s="10">
        <v>62053</v>
      </c>
      <c r="I53" s="10">
        <v>90280</v>
      </c>
      <c r="J53" s="17">
        <f>J45-J50-J52</f>
        <v>123626.42271999997</v>
      </c>
      <c r="K53" s="17">
        <f>K45-K50-K52</f>
        <v>159334.72582240001</v>
      </c>
      <c r="L53" s="17">
        <f>L45-L50-L52</f>
        <v>199194.93183347199</v>
      </c>
      <c r="M53" s="17">
        <f>M45-M50-M52</f>
        <v>241093.79217173147</v>
      </c>
      <c r="N53" s="17">
        <f>N45-N50-N52</f>
        <v>286121.57520109043</v>
      </c>
    </row>
    <row r="54" spans="1:15" outlineLevel="1" x14ac:dyDescent="0.35">
      <c r="A54" s="5" t="s">
        <v>46</v>
      </c>
      <c r="B54" s="5"/>
      <c r="C54" s="5"/>
      <c r="D54" s="5"/>
      <c r="E54" s="14">
        <f t="shared" ref="E54:N54" si="9">SUM(E52:E53)</f>
        <v>172474</v>
      </c>
      <c r="F54" s="14">
        <f t="shared" si="9"/>
        <v>184265</v>
      </c>
      <c r="G54" s="14">
        <f t="shared" si="9"/>
        <v>205340</v>
      </c>
      <c r="H54" s="14">
        <f t="shared" si="9"/>
        <v>232053</v>
      </c>
      <c r="I54" s="14">
        <f t="shared" si="9"/>
        <v>260280</v>
      </c>
      <c r="J54" s="14">
        <f t="shared" si="9"/>
        <v>293626.42271999997</v>
      </c>
      <c r="K54" s="14">
        <f t="shared" si="9"/>
        <v>329334.72582240001</v>
      </c>
      <c r="L54" s="14">
        <f t="shared" si="9"/>
        <v>369194.93183347199</v>
      </c>
      <c r="M54" s="14">
        <f t="shared" si="9"/>
        <v>411093.79217173147</v>
      </c>
      <c r="N54" s="14">
        <f t="shared" si="9"/>
        <v>456121.57520109043</v>
      </c>
    </row>
    <row r="55" spans="1:15" ht="15" outlineLevel="1" thickBot="1" x14ac:dyDescent="0.4">
      <c r="A55" s="6" t="s">
        <v>49</v>
      </c>
      <c r="B55" s="6"/>
      <c r="C55" s="6"/>
      <c r="D55" s="6"/>
      <c r="E55" s="15">
        <f t="shared" ref="E55:N55" si="10">E50+E54</f>
        <v>226376</v>
      </c>
      <c r="F55" s="15">
        <f t="shared" si="10"/>
        <v>239065</v>
      </c>
      <c r="G55" s="15">
        <f t="shared" si="10"/>
        <v>240252</v>
      </c>
      <c r="H55" s="15">
        <f t="shared" si="10"/>
        <v>267318</v>
      </c>
      <c r="I55" s="15">
        <f t="shared" si="10"/>
        <v>295951</v>
      </c>
      <c r="J55" s="15">
        <f t="shared" si="10"/>
        <v>329564.15453917807</v>
      </c>
      <c r="K55" s="15">
        <f t="shared" si="10"/>
        <v>365539.65557344112</v>
      </c>
      <c r="L55" s="15">
        <f t="shared" si="10"/>
        <v>385473.64993830922</v>
      </c>
      <c r="M55" s="15">
        <f t="shared" si="10"/>
        <v>427592.26541023806</v>
      </c>
      <c r="N55" s="15">
        <f t="shared" si="10"/>
        <v>472629.0740968727</v>
      </c>
    </row>
    <row r="56" spans="1:15" ht="15" outlineLevel="1" thickTop="1" x14ac:dyDescent="0.35">
      <c r="M56" s="10"/>
      <c r="N56" s="10"/>
    </row>
    <row r="57" spans="1:15" outlineLevel="1" x14ac:dyDescent="0.35">
      <c r="A57" s="7" t="s">
        <v>50</v>
      </c>
      <c r="B57" s="7"/>
      <c r="C57" s="7"/>
      <c r="D57" s="7"/>
      <c r="E57" s="16">
        <f>E55-E45</f>
        <v>0</v>
      </c>
      <c r="F57" s="16">
        <f t="shared" ref="F57:N57" si="11">F55-F45</f>
        <v>0</v>
      </c>
      <c r="G57" s="16">
        <f t="shared" si="11"/>
        <v>0</v>
      </c>
      <c r="H57" s="16">
        <f t="shared" si="11"/>
        <v>-1</v>
      </c>
      <c r="I57" s="16">
        <f t="shared" si="11"/>
        <v>-1</v>
      </c>
      <c r="J57" s="16">
        <f t="shared" si="11"/>
        <v>0</v>
      </c>
      <c r="K57" s="16">
        <f t="shared" si="11"/>
        <v>0</v>
      </c>
      <c r="L57" s="16">
        <f t="shared" si="11"/>
        <v>0</v>
      </c>
      <c r="M57" s="16">
        <f t="shared" si="11"/>
        <v>0</v>
      </c>
      <c r="N57" s="16">
        <f t="shared" si="11"/>
        <v>0</v>
      </c>
    </row>
    <row r="58" spans="1:15" outlineLevel="1" x14ac:dyDescent="0.35">
      <c r="M58" s="10"/>
      <c r="N58" s="10"/>
    </row>
    <row r="59" spans="1:15" x14ac:dyDescent="0.35">
      <c r="M59" s="10"/>
      <c r="N59" s="10"/>
    </row>
    <row r="60" spans="1:15" x14ac:dyDescent="0.35">
      <c r="A60" s="2" t="s">
        <v>7</v>
      </c>
      <c r="B60" s="2"/>
      <c r="C60" s="2"/>
      <c r="D60" s="2"/>
      <c r="E60" s="11"/>
      <c r="F60" s="11"/>
      <c r="G60" s="11"/>
      <c r="H60" s="11"/>
      <c r="I60" s="11"/>
      <c r="J60" s="11"/>
      <c r="K60" s="11"/>
      <c r="L60" s="11"/>
      <c r="M60" s="11"/>
      <c r="N60" s="11"/>
    </row>
    <row r="61" spans="1:15" outlineLevel="1" x14ac:dyDescent="0.35">
      <c r="A61" s="3" t="s">
        <v>51</v>
      </c>
      <c r="B61" s="3"/>
      <c r="M61" s="10"/>
      <c r="N61" s="10"/>
    </row>
    <row r="62" spans="1:15" outlineLevel="1" x14ac:dyDescent="0.35">
      <c r="A62" t="s">
        <v>35</v>
      </c>
      <c r="E62" s="17">
        <f>E36</f>
        <v>2474</v>
      </c>
      <c r="F62" s="17">
        <f t="shared" ref="F62:N62" si="12">F36</f>
        <v>11791</v>
      </c>
      <c r="G62" s="17">
        <f t="shared" si="12"/>
        <v>21075</v>
      </c>
      <c r="H62" s="17">
        <f t="shared" si="12"/>
        <v>26713</v>
      </c>
      <c r="I62" s="17">
        <f t="shared" si="12"/>
        <v>28227</v>
      </c>
      <c r="J62" s="17">
        <f t="shared" si="12"/>
        <v>33346.422720000002</v>
      </c>
      <c r="K62" s="17">
        <f t="shared" si="12"/>
        <v>35708.303102399994</v>
      </c>
      <c r="L62" s="17">
        <f t="shared" si="12"/>
        <v>39860.20601107199</v>
      </c>
      <c r="M62" s="17">
        <f t="shared" si="12"/>
        <v>41898.860338259503</v>
      </c>
      <c r="N62" s="17">
        <f t="shared" si="12"/>
        <v>45027.78302935895</v>
      </c>
    </row>
    <row r="63" spans="1:15" outlineLevel="1" x14ac:dyDescent="0.35">
      <c r="A63" t="s">
        <v>52</v>
      </c>
      <c r="E63" s="17">
        <f>E30</f>
        <v>19500</v>
      </c>
      <c r="F63" s="17">
        <f t="shared" ref="F63:N63" si="13">F30</f>
        <v>18150</v>
      </c>
      <c r="G63" s="17">
        <f t="shared" si="13"/>
        <v>17205</v>
      </c>
      <c r="H63" s="17">
        <f t="shared" si="13"/>
        <v>16544</v>
      </c>
      <c r="I63" s="17">
        <f t="shared" si="13"/>
        <v>16080</v>
      </c>
      <c r="J63" s="17">
        <f t="shared" si="13"/>
        <v>15008.400000000001</v>
      </c>
      <c r="K63" s="17">
        <f t="shared" si="13"/>
        <v>15005.04</v>
      </c>
      <c r="L63" s="17">
        <f t="shared" si="13"/>
        <v>15003.023999999999</v>
      </c>
      <c r="M63" s="17">
        <f t="shared" si="13"/>
        <v>15001.814400000001</v>
      </c>
      <c r="N63" s="17">
        <f t="shared" si="13"/>
        <v>15001.08864</v>
      </c>
    </row>
    <row r="64" spans="1:15" outlineLevel="1" x14ac:dyDescent="0.35">
      <c r="A64" s="4" t="s">
        <v>53</v>
      </c>
      <c r="B64" s="4"/>
      <c r="C64" s="4"/>
      <c r="D64" s="4"/>
      <c r="E64" s="18">
        <f>E89</f>
        <v>9003</v>
      </c>
      <c r="F64" s="18">
        <f t="shared" ref="F64:N64" si="14">F89</f>
        <v>1702</v>
      </c>
      <c r="G64" s="18">
        <f t="shared" si="14"/>
        <v>775</v>
      </c>
      <c r="H64" s="18">
        <f t="shared" si="14"/>
        <v>903</v>
      </c>
      <c r="I64" s="18">
        <f t="shared" si="14"/>
        <v>827</v>
      </c>
      <c r="J64" s="18">
        <f t="shared" si="14"/>
        <v>374.35066301369807</v>
      </c>
      <c r="K64" s="18">
        <f t="shared" si="14"/>
        <v>611.29577983561649</v>
      </c>
      <c r="L64" s="18">
        <f t="shared" si="14"/>
        <v>398.13077379945207</v>
      </c>
      <c r="M64" s="18">
        <f t="shared" si="14"/>
        <v>510.78220258270267</v>
      </c>
      <c r="N64" s="18">
        <f t="shared" si="14"/>
        <v>272.23333836987331</v>
      </c>
      <c r="O64" t="s">
        <v>133</v>
      </c>
    </row>
    <row r="65" spans="1:15" outlineLevel="1" x14ac:dyDescent="0.35">
      <c r="A65" s="3" t="s">
        <v>54</v>
      </c>
      <c r="E65" s="12">
        <f>E62+E63-E64</f>
        <v>12971</v>
      </c>
      <c r="F65" s="12">
        <f t="shared" ref="F65:N65" si="15">F62+F63-F64</f>
        <v>28239</v>
      </c>
      <c r="G65" s="12">
        <f t="shared" si="15"/>
        <v>37505</v>
      </c>
      <c r="H65" s="12">
        <f t="shared" si="15"/>
        <v>42354</v>
      </c>
      <c r="I65" s="12">
        <f t="shared" si="15"/>
        <v>43480</v>
      </c>
      <c r="J65" s="12">
        <f t="shared" si="15"/>
        <v>47980.472056986306</v>
      </c>
      <c r="K65" s="12">
        <f t="shared" si="15"/>
        <v>50102.04732256438</v>
      </c>
      <c r="L65" s="12">
        <f t="shared" si="15"/>
        <v>54465.099237272538</v>
      </c>
      <c r="M65" s="12">
        <f t="shared" si="15"/>
        <v>56389.892535676801</v>
      </c>
      <c r="N65" s="12">
        <f t="shared" si="15"/>
        <v>59756.638330989081</v>
      </c>
    </row>
    <row r="66" spans="1:15" outlineLevel="1" x14ac:dyDescent="0.35">
      <c r="M66" s="10"/>
      <c r="N66" s="10"/>
    </row>
    <row r="67" spans="1:15" outlineLevel="1" x14ac:dyDescent="0.35">
      <c r="A67" s="3" t="s">
        <v>55</v>
      </c>
      <c r="M67" s="10"/>
      <c r="N67" s="10"/>
    </row>
    <row r="68" spans="1:15" outlineLevel="1" x14ac:dyDescent="0.35">
      <c r="A68" s="4" t="s">
        <v>56</v>
      </c>
      <c r="B68" s="4"/>
      <c r="C68" s="4"/>
      <c r="D68" s="4"/>
      <c r="E68" s="13">
        <f>E93</f>
        <v>15000</v>
      </c>
      <c r="F68" s="13">
        <f t="shared" ref="F68:N68" si="16">F93</f>
        <v>15000</v>
      </c>
      <c r="G68" s="13">
        <f t="shared" si="16"/>
        <v>15000</v>
      </c>
      <c r="H68" s="13">
        <f t="shared" si="16"/>
        <v>15000</v>
      </c>
      <c r="I68" s="13">
        <f t="shared" si="16"/>
        <v>15000</v>
      </c>
      <c r="J68" s="13">
        <f t="shared" si="16"/>
        <v>15000</v>
      </c>
      <c r="K68" s="13">
        <f t="shared" si="16"/>
        <v>15000</v>
      </c>
      <c r="L68" s="13">
        <f t="shared" si="16"/>
        <v>15000</v>
      </c>
      <c r="M68" s="13">
        <f t="shared" si="16"/>
        <v>15000</v>
      </c>
      <c r="N68" s="13">
        <f t="shared" si="16"/>
        <v>15000</v>
      </c>
      <c r="O68" t="s">
        <v>133</v>
      </c>
    </row>
    <row r="69" spans="1:15" outlineLevel="1" x14ac:dyDescent="0.35">
      <c r="A69" s="3" t="s">
        <v>57</v>
      </c>
      <c r="B69" s="3"/>
      <c r="C69" s="3"/>
      <c r="D69" s="3"/>
      <c r="E69" s="12">
        <f>SUM(E68)</f>
        <v>15000</v>
      </c>
      <c r="F69" s="12">
        <f t="shared" ref="F69:N69" si="17">SUM(F68)</f>
        <v>15000</v>
      </c>
      <c r="G69" s="12">
        <f t="shared" si="17"/>
        <v>15000</v>
      </c>
      <c r="H69" s="12">
        <f t="shared" si="17"/>
        <v>15000</v>
      </c>
      <c r="I69" s="12">
        <f t="shared" si="17"/>
        <v>15000</v>
      </c>
      <c r="J69" s="12">
        <f t="shared" si="17"/>
        <v>15000</v>
      </c>
      <c r="K69" s="12">
        <f t="shared" si="17"/>
        <v>15000</v>
      </c>
      <c r="L69" s="12">
        <f t="shared" si="17"/>
        <v>15000</v>
      </c>
      <c r="M69" s="12">
        <f t="shared" si="17"/>
        <v>15000</v>
      </c>
      <c r="N69" s="12">
        <f t="shared" si="17"/>
        <v>15000</v>
      </c>
    </row>
    <row r="70" spans="1:15" outlineLevel="1" x14ac:dyDescent="0.35">
      <c r="M70" s="10"/>
      <c r="N70" s="10"/>
    </row>
    <row r="71" spans="1:15" outlineLevel="1" x14ac:dyDescent="0.35">
      <c r="A71" s="3" t="s">
        <v>58</v>
      </c>
      <c r="M71" s="10"/>
      <c r="N71" s="10"/>
    </row>
    <row r="72" spans="1:15" outlineLevel="1" x14ac:dyDescent="0.35">
      <c r="A72" t="s">
        <v>59</v>
      </c>
      <c r="E72" s="10">
        <v>0</v>
      </c>
      <c r="F72" s="10">
        <v>0</v>
      </c>
      <c r="G72" s="10">
        <v>-20000</v>
      </c>
      <c r="H72" s="10">
        <v>0</v>
      </c>
      <c r="I72" s="10">
        <v>0</v>
      </c>
      <c r="J72" s="10">
        <f t="shared" ref="J72:N73" si="18">J19</f>
        <v>0</v>
      </c>
      <c r="K72" s="10">
        <f t="shared" si="18"/>
        <v>0</v>
      </c>
      <c r="L72" s="10">
        <f t="shared" si="18"/>
        <v>-20000</v>
      </c>
      <c r="M72" s="10">
        <f t="shared" si="18"/>
        <v>0</v>
      </c>
      <c r="N72" s="10">
        <f t="shared" si="18"/>
        <v>0</v>
      </c>
    </row>
    <row r="73" spans="1:15" outlineLevel="1" x14ac:dyDescent="0.35">
      <c r="A73" s="4" t="s">
        <v>60</v>
      </c>
      <c r="B73" s="4"/>
      <c r="C73" s="4"/>
      <c r="D73" s="4"/>
      <c r="E73" s="13">
        <v>170000</v>
      </c>
      <c r="F73" s="13">
        <v>0</v>
      </c>
      <c r="G73" s="13">
        <v>0</v>
      </c>
      <c r="H73" s="13">
        <v>0</v>
      </c>
      <c r="I73" s="13">
        <v>0</v>
      </c>
      <c r="J73" s="13">
        <f t="shared" si="18"/>
        <v>0</v>
      </c>
      <c r="K73" s="13">
        <f t="shared" si="18"/>
        <v>0</v>
      </c>
      <c r="L73" s="13">
        <f t="shared" si="18"/>
        <v>0</v>
      </c>
      <c r="M73" s="13">
        <f t="shared" si="18"/>
        <v>0</v>
      </c>
      <c r="N73" s="13">
        <f t="shared" si="18"/>
        <v>0</v>
      </c>
    </row>
    <row r="74" spans="1:15" outlineLevel="1" x14ac:dyDescent="0.35">
      <c r="A74" s="3" t="s">
        <v>61</v>
      </c>
      <c r="B74" s="3"/>
      <c r="C74" s="3"/>
      <c r="D74" s="3"/>
      <c r="E74" s="12">
        <f>SUM(E72:E73)</f>
        <v>170000</v>
      </c>
      <c r="F74" s="12">
        <f t="shared" ref="F74:N74" si="19">SUM(F72:F73)</f>
        <v>0</v>
      </c>
      <c r="G74" s="12">
        <f t="shared" si="19"/>
        <v>-20000</v>
      </c>
      <c r="H74" s="12">
        <f t="shared" si="19"/>
        <v>0</v>
      </c>
      <c r="I74" s="12">
        <f t="shared" si="19"/>
        <v>0</v>
      </c>
      <c r="J74" s="12">
        <f t="shared" si="19"/>
        <v>0</v>
      </c>
      <c r="K74" s="12">
        <f t="shared" si="19"/>
        <v>0</v>
      </c>
      <c r="L74" s="12">
        <f t="shared" si="19"/>
        <v>-20000</v>
      </c>
      <c r="M74" s="12">
        <f t="shared" si="19"/>
        <v>0</v>
      </c>
      <c r="N74" s="12">
        <f t="shared" si="19"/>
        <v>0</v>
      </c>
    </row>
    <row r="75" spans="1:15" outlineLevel="1" x14ac:dyDescent="0.35">
      <c r="M75" s="10"/>
      <c r="N75" s="10"/>
    </row>
    <row r="76" spans="1:15" outlineLevel="1" x14ac:dyDescent="0.35">
      <c r="A76" t="s">
        <v>62</v>
      </c>
      <c r="E76" s="17">
        <f>E65-E69+E74</f>
        <v>167971</v>
      </c>
      <c r="F76" s="17">
        <f t="shared" ref="F76:N76" si="20">F65-F69+F74</f>
        <v>13239</v>
      </c>
      <c r="G76" s="17">
        <f t="shared" si="20"/>
        <v>2505</v>
      </c>
      <c r="H76" s="17">
        <f t="shared" si="20"/>
        <v>27354</v>
      </c>
      <c r="I76" s="17">
        <f t="shared" si="20"/>
        <v>28480</v>
      </c>
      <c r="J76" s="17">
        <f t="shared" si="20"/>
        <v>32980.472056986306</v>
      </c>
      <c r="K76" s="17">
        <f t="shared" si="20"/>
        <v>35102.04732256438</v>
      </c>
      <c r="L76" s="17">
        <f t="shared" si="20"/>
        <v>19465.099237272538</v>
      </c>
      <c r="M76" s="17">
        <f t="shared" si="20"/>
        <v>41389.892535676801</v>
      </c>
      <c r="N76" s="17">
        <f t="shared" si="20"/>
        <v>44756.638330989081</v>
      </c>
    </row>
    <row r="77" spans="1:15" outlineLevel="1" x14ac:dyDescent="0.35">
      <c r="A77" s="4" t="s">
        <v>63</v>
      </c>
      <c r="B77" s="4"/>
      <c r="C77" s="4"/>
      <c r="D77" s="4"/>
      <c r="E77" s="18">
        <v>0</v>
      </c>
      <c r="F77" s="18">
        <f>E76</f>
        <v>167971</v>
      </c>
      <c r="G77" s="18">
        <f t="shared" ref="G77:N77" si="21">F77+F76</f>
        <v>181210</v>
      </c>
      <c r="H77" s="18">
        <f t="shared" si="21"/>
        <v>183715</v>
      </c>
      <c r="I77" s="18">
        <f t="shared" si="21"/>
        <v>211069</v>
      </c>
      <c r="J77" s="18">
        <f t="shared" si="21"/>
        <v>239549</v>
      </c>
      <c r="K77" s="18">
        <f t="shared" si="21"/>
        <v>272529.4720569863</v>
      </c>
      <c r="L77" s="18">
        <f t="shared" si="21"/>
        <v>307631.51937955071</v>
      </c>
      <c r="M77" s="18">
        <f t="shared" si="21"/>
        <v>327096.61861682322</v>
      </c>
      <c r="N77" s="18">
        <f t="shared" si="21"/>
        <v>368486.51115250005</v>
      </c>
    </row>
    <row r="78" spans="1:15" outlineLevel="1" x14ac:dyDescent="0.35">
      <c r="A78" s="3" t="s">
        <v>64</v>
      </c>
      <c r="B78" s="3"/>
      <c r="C78" s="3"/>
      <c r="D78" s="3"/>
      <c r="E78" s="12">
        <f t="shared" ref="E78:N78" si="22">SUM(E76:E77)</f>
        <v>167971</v>
      </c>
      <c r="F78" s="12">
        <f t="shared" si="22"/>
        <v>181210</v>
      </c>
      <c r="G78" s="12">
        <f t="shared" si="22"/>
        <v>183715</v>
      </c>
      <c r="H78" s="12">
        <f t="shared" si="22"/>
        <v>211069</v>
      </c>
      <c r="I78" s="12">
        <f t="shared" si="22"/>
        <v>239549</v>
      </c>
      <c r="J78" s="12">
        <f t="shared" si="22"/>
        <v>272529.4720569863</v>
      </c>
      <c r="K78" s="12">
        <f t="shared" si="22"/>
        <v>307631.51937955071</v>
      </c>
      <c r="L78" s="12">
        <f t="shared" si="22"/>
        <v>327096.61861682322</v>
      </c>
      <c r="M78" s="12">
        <f t="shared" si="22"/>
        <v>368486.51115250005</v>
      </c>
      <c r="N78" s="12">
        <f t="shared" si="22"/>
        <v>413243.14948348911</v>
      </c>
    </row>
    <row r="79" spans="1:15" outlineLevel="1" x14ac:dyDescent="0.35">
      <c r="M79" s="10"/>
      <c r="N79" s="10"/>
    </row>
    <row r="80" spans="1:15" outlineLevel="1" x14ac:dyDescent="0.35">
      <c r="A80" t="s">
        <v>50</v>
      </c>
      <c r="E80" s="10">
        <f>E78-E41</f>
        <v>0</v>
      </c>
      <c r="F80" s="10">
        <f t="shared" ref="F80:N80" si="23">F78-F41</f>
        <v>0</v>
      </c>
      <c r="G80" s="10">
        <f t="shared" si="23"/>
        <v>0</v>
      </c>
      <c r="H80" s="10">
        <f t="shared" si="23"/>
        <v>0</v>
      </c>
      <c r="I80" s="10">
        <f t="shared" si="23"/>
        <v>-1</v>
      </c>
      <c r="J80" s="10">
        <f>J78-J41</f>
        <v>0</v>
      </c>
      <c r="K80" s="10">
        <f t="shared" si="23"/>
        <v>0</v>
      </c>
      <c r="L80" s="10">
        <f t="shared" si="23"/>
        <v>0</v>
      </c>
      <c r="M80" s="10">
        <f t="shared" si="23"/>
        <v>0</v>
      </c>
      <c r="N80" s="10">
        <f t="shared" si="23"/>
        <v>0</v>
      </c>
    </row>
    <row r="81" spans="1:14" outlineLevel="1" x14ac:dyDescent="0.35">
      <c r="M81" s="10"/>
      <c r="N81" s="10"/>
    </row>
    <row r="82" spans="1:14" x14ac:dyDescent="0.35">
      <c r="M82" s="10"/>
      <c r="N82" s="10"/>
    </row>
    <row r="83" spans="1:14" x14ac:dyDescent="0.35">
      <c r="A83" s="2" t="s">
        <v>8</v>
      </c>
      <c r="B83" s="2"/>
      <c r="C83" s="2"/>
      <c r="D83" s="2"/>
      <c r="E83" s="11"/>
      <c r="F83" s="11"/>
      <c r="G83" s="11"/>
      <c r="H83" s="11"/>
      <c r="I83" s="11"/>
      <c r="J83" s="11"/>
      <c r="K83" s="11"/>
      <c r="L83" s="11"/>
      <c r="M83" s="11"/>
      <c r="N83" s="11"/>
    </row>
    <row r="84" spans="1:14" outlineLevel="1" x14ac:dyDescent="0.35">
      <c r="A84" s="3" t="s">
        <v>67</v>
      </c>
      <c r="M84" s="10"/>
      <c r="N84" s="10"/>
    </row>
    <row r="85" spans="1:14" outlineLevel="1" x14ac:dyDescent="0.35">
      <c r="A85" t="s">
        <v>38</v>
      </c>
      <c r="E85" s="17">
        <f t="shared" ref="E85:I86" si="24">E42</f>
        <v>5100</v>
      </c>
      <c r="F85" s="17">
        <f t="shared" si="24"/>
        <v>5904</v>
      </c>
      <c r="G85" s="17">
        <f t="shared" si="24"/>
        <v>6567</v>
      </c>
      <c r="H85" s="17">
        <f t="shared" si="24"/>
        <v>7117</v>
      </c>
      <c r="I85" s="17">
        <f t="shared" si="24"/>
        <v>7539</v>
      </c>
      <c r="J85" s="17">
        <f t="shared" ref="J85:N86" si="25">J15*(J24/365)</f>
        <v>7807.098082191781</v>
      </c>
      <c r="K85" s="17">
        <f t="shared" si="25"/>
        <v>8158.4174958904105</v>
      </c>
      <c r="L85" s="17">
        <f t="shared" si="25"/>
        <v>8484.7541957260273</v>
      </c>
      <c r="M85" s="17">
        <f t="shared" si="25"/>
        <v>8781.7205925764374</v>
      </c>
      <c r="N85" s="17">
        <f t="shared" si="25"/>
        <v>9045.1722103537304</v>
      </c>
    </row>
    <row r="86" spans="1:14" outlineLevel="1" x14ac:dyDescent="0.35">
      <c r="A86" t="s">
        <v>39</v>
      </c>
      <c r="E86" s="17">
        <f t="shared" si="24"/>
        <v>7805</v>
      </c>
      <c r="F86" s="17">
        <f t="shared" si="24"/>
        <v>9601</v>
      </c>
      <c r="G86" s="17">
        <f t="shared" si="24"/>
        <v>9825</v>
      </c>
      <c r="H86" s="17">
        <f t="shared" si="24"/>
        <v>10531</v>
      </c>
      <c r="I86" s="17">
        <f t="shared" si="24"/>
        <v>11342</v>
      </c>
      <c r="J86" s="17">
        <f t="shared" si="25"/>
        <v>11714.984400000001</v>
      </c>
      <c r="K86" s="17">
        <f t="shared" si="25"/>
        <v>12242.158697999999</v>
      </c>
      <c r="L86" s="17">
        <f t="shared" si="25"/>
        <v>12387.741125759998</v>
      </c>
      <c r="M86" s="17">
        <f t="shared" si="25"/>
        <v>12821.312065161597</v>
      </c>
      <c r="N86" s="17">
        <f t="shared" si="25"/>
        <v>12839.119443029878</v>
      </c>
    </row>
    <row r="87" spans="1:14" outlineLevel="1" x14ac:dyDescent="0.35">
      <c r="A87" s="4" t="s">
        <v>43</v>
      </c>
      <c r="B87" s="4"/>
      <c r="C87" s="4"/>
      <c r="D87" s="4"/>
      <c r="E87" s="18">
        <f>E48</f>
        <v>3902</v>
      </c>
      <c r="F87" s="18">
        <f>F48</f>
        <v>4800</v>
      </c>
      <c r="G87" s="18">
        <f>G48</f>
        <v>4912</v>
      </c>
      <c r="H87" s="18">
        <f>H48</f>
        <v>5265</v>
      </c>
      <c r="I87" s="18">
        <f>I48</f>
        <v>5671</v>
      </c>
      <c r="J87" s="18">
        <f>J17*(J25/365)</f>
        <v>5937.7318191780823</v>
      </c>
      <c r="K87" s="18">
        <f>K17*(K25/365)</f>
        <v>6204.9297510410961</v>
      </c>
      <c r="L87" s="18">
        <f>L17*(L25/365)</f>
        <v>6278.7181048372595</v>
      </c>
      <c r="M87" s="18">
        <f>M17*(M25/365)</f>
        <v>6498.4732385065636</v>
      </c>
      <c r="N87" s="18">
        <f>N17*(N25/365)</f>
        <v>6507.498895782267</v>
      </c>
    </row>
    <row r="88" spans="1:14" outlineLevel="1" x14ac:dyDescent="0.35">
      <c r="A88" t="s">
        <v>69</v>
      </c>
      <c r="E88" s="10">
        <f t="shared" ref="E88:N88" si="26">SUM(E85:E86)-E87</f>
        <v>9003</v>
      </c>
      <c r="F88" s="10">
        <f t="shared" si="26"/>
        <v>10705</v>
      </c>
      <c r="G88" s="10">
        <f t="shared" si="26"/>
        <v>11480</v>
      </c>
      <c r="H88" s="10">
        <f t="shared" si="26"/>
        <v>12383</v>
      </c>
      <c r="I88" s="10">
        <f t="shared" si="26"/>
        <v>13210</v>
      </c>
      <c r="J88" s="10">
        <f t="shared" si="26"/>
        <v>13584.350663013698</v>
      </c>
      <c r="K88" s="10">
        <f t="shared" si="26"/>
        <v>14195.646442849315</v>
      </c>
      <c r="L88" s="10">
        <f t="shared" si="26"/>
        <v>14593.777216648767</v>
      </c>
      <c r="M88" s="10">
        <f t="shared" si="26"/>
        <v>15104.559419231469</v>
      </c>
      <c r="N88" s="10">
        <f t="shared" si="26"/>
        <v>15376.792757601343</v>
      </c>
    </row>
    <row r="89" spans="1:14" outlineLevel="1" x14ac:dyDescent="0.35">
      <c r="A89" t="s">
        <v>68</v>
      </c>
      <c r="E89" s="10">
        <f t="shared" ref="E89:N89" si="27">E88-D88</f>
        <v>9003</v>
      </c>
      <c r="F89" s="10">
        <f t="shared" si="27"/>
        <v>1702</v>
      </c>
      <c r="G89" s="10">
        <f t="shared" si="27"/>
        <v>775</v>
      </c>
      <c r="H89" s="10">
        <f t="shared" si="27"/>
        <v>903</v>
      </c>
      <c r="I89" s="10">
        <f t="shared" si="27"/>
        <v>827</v>
      </c>
      <c r="J89" s="10">
        <f t="shared" si="27"/>
        <v>374.35066301369807</v>
      </c>
      <c r="K89" s="10">
        <f t="shared" si="27"/>
        <v>611.29577983561649</v>
      </c>
      <c r="L89" s="10">
        <f t="shared" si="27"/>
        <v>398.13077379945207</v>
      </c>
      <c r="M89" s="10">
        <f t="shared" si="27"/>
        <v>510.78220258270267</v>
      </c>
      <c r="N89" s="10">
        <f t="shared" si="27"/>
        <v>272.23333836987331</v>
      </c>
    </row>
    <row r="90" spans="1:14" outlineLevel="1" x14ac:dyDescent="0.35">
      <c r="M90" s="10"/>
      <c r="N90" s="10"/>
    </row>
    <row r="91" spans="1:14" outlineLevel="1" x14ac:dyDescent="0.35">
      <c r="A91" s="3" t="s">
        <v>70</v>
      </c>
      <c r="M91" s="10"/>
      <c r="N91" s="10"/>
    </row>
    <row r="92" spans="1:14" outlineLevel="1" x14ac:dyDescent="0.35">
      <c r="A92" t="s">
        <v>71</v>
      </c>
      <c r="E92" s="10">
        <v>50000</v>
      </c>
      <c r="F92" s="17">
        <f>E95</f>
        <v>45500</v>
      </c>
      <c r="G92" s="17">
        <f t="shared" ref="G92:N92" si="28">F95</f>
        <v>42350</v>
      </c>
      <c r="H92" s="17">
        <f t="shared" si="28"/>
        <v>40145</v>
      </c>
      <c r="I92" s="17">
        <f t="shared" si="28"/>
        <v>38601</v>
      </c>
      <c r="J92" s="17">
        <f t="shared" si="28"/>
        <v>37521</v>
      </c>
      <c r="K92" s="17">
        <f t="shared" si="28"/>
        <v>37512.6</v>
      </c>
      <c r="L92" s="17">
        <f t="shared" si="28"/>
        <v>37507.56</v>
      </c>
      <c r="M92" s="17">
        <f t="shared" si="28"/>
        <v>37504.536</v>
      </c>
      <c r="N92" s="17">
        <f t="shared" si="28"/>
        <v>37502.721599999997</v>
      </c>
    </row>
    <row r="93" spans="1:14" outlineLevel="1" x14ac:dyDescent="0.35">
      <c r="A93" t="s">
        <v>72</v>
      </c>
      <c r="E93" s="10">
        <v>15000</v>
      </c>
      <c r="F93" s="10">
        <v>15000</v>
      </c>
      <c r="G93" s="10">
        <v>15000</v>
      </c>
      <c r="H93" s="10">
        <v>15000</v>
      </c>
      <c r="I93" s="10">
        <v>15000</v>
      </c>
      <c r="J93" s="31">
        <f>J18</f>
        <v>15000</v>
      </c>
      <c r="K93" s="31">
        <f>K18</f>
        <v>15000</v>
      </c>
      <c r="L93" s="31">
        <f>L18</f>
        <v>15000</v>
      </c>
      <c r="M93" s="31">
        <f>M18</f>
        <v>15000</v>
      </c>
      <c r="N93" s="31">
        <f>N18</f>
        <v>15000</v>
      </c>
    </row>
    <row r="94" spans="1:14" outlineLevel="1" x14ac:dyDescent="0.35">
      <c r="A94" s="4" t="s">
        <v>73</v>
      </c>
      <c r="B94" s="4"/>
      <c r="C94" s="4"/>
      <c r="D94" s="4"/>
      <c r="E94" s="13">
        <v>19500</v>
      </c>
      <c r="F94" s="13">
        <v>18150</v>
      </c>
      <c r="G94" s="13">
        <v>17205</v>
      </c>
      <c r="H94" s="13">
        <v>16544</v>
      </c>
      <c r="I94" s="13">
        <v>16080</v>
      </c>
      <c r="J94" s="18">
        <f>J92*J11</f>
        <v>15008.400000000001</v>
      </c>
      <c r="K94" s="18">
        <f>K92*K11</f>
        <v>15005.04</v>
      </c>
      <c r="L94" s="18">
        <f>L92*L11</f>
        <v>15003.023999999999</v>
      </c>
      <c r="M94" s="18">
        <f>M92*M11</f>
        <v>15001.814400000001</v>
      </c>
      <c r="N94" s="18">
        <f>N92*N11</f>
        <v>15001.08864</v>
      </c>
    </row>
    <row r="95" spans="1:14" outlineLevel="1" x14ac:dyDescent="0.35">
      <c r="A95" t="s">
        <v>74</v>
      </c>
      <c r="E95" s="10">
        <f>E92+E93-E94</f>
        <v>45500</v>
      </c>
      <c r="F95" s="10">
        <f t="shared" ref="F95:N95" si="29">F92+F93-F94</f>
        <v>42350</v>
      </c>
      <c r="G95" s="10">
        <f t="shared" si="29"/>
        <v>40145</v>
      </c>
      <c r="H95" s="10">
        <f t="shared" si="29"/>
        <v>38601</v>
      </c>
      <c r="I95" s="10">
        <f t="shared" si="29"/>
        <v>37521</v>
      </c>
      <c r="J95" s="10">
        <f t="shared" si="29"/>
        <v>37512.6</v>
      </c>
      <c r="K95" s="10">
        <f t="shared" si="29"/>
        <v>37507.56</v>
      </c>
      <c r="L95" s="10">
        <f t="shared" si="29"/>
        <v>37504.536</v>
      </c>
      <c r="M95" s="10">
        <f t="shared" si="29"/>
        <v>37502.721599999997</v>
      </c>
      <c r="N95" s="10">
        <f t="shared" si="29"/>
        <v>37501.632959999995</v>
      </c>
    </row>
    <row r="96" spans="1:14" outlineLevel="1" x14ac:dyDescent="0.35">
      <c r="M96" s="10"/>
      <c r="N96" s="10"/>
    </row>
    <row r="97" spans="1:14" outlineLevel="1" x14ac:dyDescent="0.35">
      <c r="A97" s="3" t="s">
        <v>75</v>
      </c>
      <c r="M97" s="10"/>
      <c r="N97" s="10"/>
    </row>
    <row r="98" spans="1:14" outlineLevel="1" x14ac:dyDescent="0.35">
      <c r="A98" t="s">
        <v>76</v>
      </c>
      <c r="E98" s="10">
        <v>50000</v>
      </c>
      <c r="F98" s="17">
        <f>E100</f>
        <v>50000</v>
      </c>
      <c r="G98" s="17">
        <f t="shared" ref="G98:N98" si="30">F100</f>
        <v>50000</v>
      </c>
      <c r="H98" s="17">
        <f t="shared" si="30"/>
        <v>30000</v>
      </c>
      <c r="I98" s="17">
        <f t="shared" si="30"/>
        <v>30000</v>
      </c>
      <c r="J98" s="17">
        <f t="shared" si="30"/>
        <v>30000</v>
      </c>
      <c r="K98" s="17">
        <f t="shared" si="30"/>
        <v>30000</v>
      </c>
      <c r="L98" s="17">
        <f t="shared" si="30"/>
        <v>30000</v>
      </c>
      <c r="M98" s="17">
        <f t="shared" si="30"/>
        <v>10000</v>
      </c>
      <c r="N98" s="17">
        <f t="shared" si="30"/>
        <v>10000</v>
      </c>
    </row>
    <row r="99" spans="1:14" outlineLevel="1" x14ac:dyDescent="0.35">
      <c r="A99" s="4" t="s">
        <v>77</v>
      </c>
      <c r="B99" s="4"/>
      <c r="C99" s="4"/>
      <c r="D99" s="4"/>
      <c r="E99" s="18">
        <f>E72</f>
        <v>0</v>
      </c>
      <c r="F99" s="18">
        <f>F72</f>
        <v>0</v>
      </c>
      <c r="G99" s="18">
        <f>G72</f>
        <v>-20000</v>
      </c>
      <c r="H99" s="18">
        <f>H72</f>
        <v>0</v>
      </c>
      <c r="I99" s="18">
        <f>I72</f>
        <v>0</v>
      </c>
      <c r="J99" s="39">
        <f>J19</f>
        <v>0</v>
      </c>
      <c r="K99" s="39">
        <f>K19</f>
        <v>0</v>
      </c>
      <c r="L99" s="39">
        <f>L19</f>
        <v>-20000</v>
      </c>
      <c r="M99" s="39">
        <f>M19</f>
        <v>0</v>
      </c>
      <c r="N99" s="39">
        <f>N19</f>
        <v>0</v>
      </c>
    </row>
    <row r="100" spans="1:14" outlineLevel="1" x14ac:dyDescent="0.35">
      <c r="A100" t="s">
        <v>78</v>
      </c>
      <c r="E100" s="10">
        <f>SUM(E98:E99)</f>
        <v>50000</v>
      </c>
      <c r="F100" s="10">
        <f t="shared" ref="F100:N100" si="31">SUM(F98:F99)</f>
        <v>50000</v>
      </c>
      <c r="G100" s="10">
        <f t="shared" si="31"/>
        <v>30000</v>
      </c>
      <c r="H100" s="10">
        <f t="shared" si="31"/>
        <v>30000</v>
      </c>
      <c r="I100" s="10">
        <f t="shared" si="31"/>
        <v>30000</v>
      </c>
      <c r="J100" s="10">
        <f t="shared" si="31"/>
        <v>30000</v>
      </c>
      <c r="K100" s="10">
        <f t="shared" si="31"/>
        <v>30000</v>
      </c>
      <c r="L100" s="10">
        <f t="shared" si="31"/>
        <v>10000</v>
      </c>
      <c r="M100" s="10">
        <f t="shared" si="31"/>
        <v>10000</v>
      </c>
      <c r="N100" s="10">
        <f t="shared" si="31"/>
        <v>10000</v>
      </c>
    </row>
    <row r="101" spans="1:14" outlineLevel="1" x14ac:dyDescent="0.35">
      <c r="A101" t="s">
        <v>79</v>
      </c>
      <c r="E101" s="17">
        <f t="shared" ref="E101:N101" si="32">E100*E12</f>
        <v>2500</v>
      </c>
      <c r="F101" s="17">
        <f t="shared" si="32"/>
        <v>2500</v>
      </c>
      <c r="G101" s="17">
        <f t="shared" si="32"/>
        <v>1500</v>
      </c>
      <c r="H101" s="17">
        <f t="shared" si="32"/>
        <v>1500</v>
      </c>
      <c r="I101" s="17">
        <f t="shared" si="32"/>
        <v>1500</v>
      </c>
      <c r="J101" s="17">
        <f t="shared" si="32"/>
        <v>1500</v>
      </c>
      <c r="K101" s="17">
        <f t="shared" si="32"/>
        <v>1500</v>
      </c>
      <c r="L101" s="17">
        <f t="shared" si="32"/>
        <v>500</v>
      </c>
      <c r="M101" s="17">
        <f t="shared" si="32"/>
        <v>500</v>
      </c>
      <c r="N101" s="17">
        <f t="shared" si="32"/>
        <v>500</v>
      </c>
    </row>
    <row r="102" spans="1:14" outlineLevel="1" x14ac:dyDescent="0.35">
      <c r="M102" s="10"/>
      <c r="N102" s="10"/>
    </row>
    <row r="103" spans="1:14" outlineLevel="1" x14ac:dyDescent="0.35">
      <c r="M103" s="10"/>
      <c r="N103" s="10"/>
    </row>
    <row r="104" spans="1:14" x14ac:dyDescent="0.35">
      <c r="M104" s="10"/>
      <c r="N104" s="10"/>
    </row>
    <row r="105" spans="1:14" x14ac:dyDescent="0.35">
      <c r="A105" s="2" t="s">
        <v>9</v>
      </c>
      <c r="B105" s="2"/>
      <c r="C105" s="2"/>
      <c r="D105" s="2"/>
      <c r="E105" s="11"/>
      <c r="F105" s="11"/>
      <c r="G105" s="11"/>
      <c r="H105" s="11"/>
      <c r="I105" s="11"/>
      <c r="J105" s="11"/>
      <c r="K105" s="11"/>
      <c r="L105" s="11"/>
      <c r="M105" s="11"/>
      <c r="N105" s="11"/>
    </row>
    <row r="106" spans="1:14" outlineLevel="1" x14ac:dyDescent="0.35">
      <c r="M106" s="10"/>
      <c r="N106" s="10"/>
    </row>
    <row r="107" spans="1:14" outlineLevel="1" x14ac:dyDescent="0.35">
      <c r="A107" s="32" t="s">
        <v>4</v>
      </c>
      <c r="B107" s="32"/>
      <c r="C107" s="32"/>
      <c r="D107" s="32"/>
      <c r="M107" s="10"/>
      <c r="N107" s="10"/>
    </row>
    <row r="108" spans="1:14" outlineLevel="1" x14ac:dyDescent="0.35">
      <c r="A108" t="s">
        <v>80</v>
      </c>
      <c r="D108" s="20">
        <v>0.25</v>
      </c>
      <c r="M108" s="10"/>
      <c r="N108" s="10"/>
    </row>
    <row r="109" spans="1:14" outlineLevel="1" x14ac:dyDescent="0.35">
      <c r="A109" t="s">
        <v>81</v>
      </c>
      <c r="D109" s="20">
        <v>0.12</v>
      </c>
      <c r="M109" s="10"/>
      <c r="N109" s="10"/>
    </row>
    <row r="110" spans="1:14" outlineLevel="1" x14ac:dyDescent="0.35">
      <c r="A110" t="s">
        <v>82</v>
      </c>
      <c r="D110" s="20">
        <v>0.03</v>
      </c>
      <c r="M110" s="10"/>
      <c r="N110" s="10"/>
    </row>
    <row r="111" spans="1:14" outlineLevel="1" x14ac:dyDescent="0.35">
      <c r="A111" t="s">
        <v>83</v>
      </c>
      <c r="D111" s="21">
        <v>7</v>
      </c>
      <c r="M111" s="10"/>
      <c r="N111" s="10"/>
    </row>
    <row r="112" spans="1:14" outlineLevel="1" x14ac:dyDescent="0.35">
      <c r="A112" t="s">
        <v>84</v>
      </c>
      <c r="D112" s="22">
        <v>43100</v>
      </c>
      <c r="M112" s="10"/>
      <c r="N112" s="10"/>
    </row>
    <row r="113" spans="1:16" outlineLevel="1" x14ac:dyDescent="0.35">
      <c r="A113" t="s">
        <v>489</v>
      </c>
      <c r="D113" s="22">
        <v>43281</v>
      </c>
      <c r="M113" s="10"/>
      <c r="N113" s="10"/>
    </row>
    <row r="114" spans="1:16" outlineLevel="1" x14ac:dyDescent="0.35">
      <c r="A114" t="s">
        <v>85</v>
      </c>
      <c r="D114" s="23">
        <v>25</v>
      </c>
      <c r="M114" s="10"/>
      <c r="N114" s="10"/>
    </row>
    <row r="115" spans="1:16" outlineLevel="1" x14ac:dyDescent="0.35">
      <c r="A115" t="s">
        <v>86</v>
      </c>
      <c r="D115" s="24">
        <v>20000</v>
      </c>
      <c r="M115" s="10"/>
      <c r="N115" s="10"/>
    </row>
    <row r="116" spans="1:16" outlineLevel="1" x14ac:dyDescent="0.35">
      <c r="M116" s="10"/>
      <c r="N116" s="10"/>
    </row>
    <row r="117" spans="1:16" outlineLevel="1" x14ac:dyDescent="0.35">
      <c r="M117" s="10"/>
      <c r="N117" s="10"/>
    </row>
    <row r="118" spans="1:16" outlineLevel="1" x14ac:dyDescent="0.35">
      <c r="A118" t="s">
        <v>87</v>
      </c>
      <c r="D118" t="s">
        <v>88</v>
      </c>
      <c r="E118" s="25">
        <v>2018</v>
      </c>
      <c r="F118" s="25">
        <v>2019</v>
      </c>
      <c r="G118" s="25">
        <v>2020</v>
      </c>
      <c r="H118" s="25">
        <v>2021</v>
      </c>
      <c r="I118" s="25">
        <v>2022</v>
      </c>
      <c r="J118" s="10" t="s">
        <v>92</v>
      </c>
      <c r="L118" s="34" t="s">
        <v>102</v>
      </c>
      <c r="M118" s="32"/>
      <c r="N118" s="32"/>
    </row>
    <row r="119" spans="1:16" outlineLevel="1" x14ac:dyDescent="0.35">
      <c r="A119" t="s">
        <v>89</v>
      </c>
      <c r="D119" s="22">
        <f>D112</f>
        <v>43100</v>
      </c>
      <c r="E119" s="22">
        <f>D113</f>
        <v>43281</v>
      </c>
      <c r="F119" s="27">
        <f>DATE(YEAR($D$113) + F120, MONTH($D$113), DAY($D$113))</f>
        <v>43646</v>
      </c>
      <c r="G119" s="27">
        <f>DATE(YEAR($D$113) + G120, MONTH($D$113), DAY($D$113))</f>
        <v>44012</v>
      </c>
      <c r="H119" s="27">
        <f>DATE(YEAR($D$113) + H120, MONTH($D$113), DAY($D$113))</f>
        <v>44377</v>
      </c>
      <c r="I119" s="27">
        <f>DATE(YEAR($D$113) + I120, MONTH($D$113), DAY($D$113))</f>
        <v>44742</v>
      </c>
      <c r="J119" s="22">
        <f>I119</f>
        <v>44742</v>
      </c>
      <c r="L119" s="10" t="s">
        <v>103</v>
      </c>
      <c r="N119" s="35">
        <f>I130/(D109-D110)</f>
        <v>522308.84396902629</v>
      </c>
    </row>
    <row r="120" spans="1:16" outlineLevel="1" x14ac:dyDescent="0.35">
      <c r="A120" t="s">
        <v>90</v>
      </c>
      <c r="E120" s="8">
        <v>0</v>
      </c>
      <c r="F120" s="10">
        <v>1</v>
      </c>
      <c r="G120" s="10">
        <v>2</v>
      </c>
      <c r="H120" s="10">
        <v>3</v>
      </c>
      <c r="I120" s="10">
        <v>4</v>
      </c>
      <c r="L120" s="10" t="s">
        <v>104</v>
      </c>
      <c r="N120" s="40">
        <f>(I125+I127)*D111</f>
        <v>546277.73326543416</v>
      </c>
      <c r="O120" s="35"/>
      <c r="P120" s="41"/>
    </row>
    <row r="121" spans="1:16" outlineLevel="1" x14ac:dyDescent="0.35">
      <c r="A121" t="s">
        <v>91</v>
      </c>
      <c r="E121" s="26">
        <f>(E119-D119)/365</f>
        <v>0.49589041095890413</v>
      </c>
      <c r="F121" s="26">
        <f>(F119-E119)/365</f>
        <v>1</v>
      </c>
      <c r="G121" s="26">
        <f>(G119-F119)/365</f>
        <v>1.0027397260273974</v>
      </c>
      <c r="H121" s="26">
        <f>(H119-G119)/365</f>
        <v>1</v>
      </c>
      <c r="I121" s="26">
        <f>(I119-H119)/365</f>
        <v>1</v>
      </c>
      <c r="L121" s="10" t="s">
        <v>105</v>
      </c>
      <c r="N121" s="35">
        <f>AVERAGE(N119:N120)</f>
        <v>534293.28861723025</v>
      </c>
    </row>
    <row r="122" spans="1:16" outlineLevel="1" x14ac:dyDescent="0.35"/>
    <row r="123" spans="1:16" outlineLevel="1" x14ac:dyDescent="0.35">
      <c r="A123" t="s">
        <v>93</v>
      </c>
      <c r="E123" s="10">
        <f>J33</f>
        <v>46314.47600000001</v>
      </c>
      <c r="F123" s="10">
        <f>K33</f>
        <v>49594.865419999995</v>
      </c>
      <c r="G123" s="10">
        <f>L33</f>
        <v>55361.397237599995</v>
      </c>
      <c r="H123" s="10">
        <f>M33</f>
        <v>58192.861580915982</v>
      </c>
      <c r="I123" s="10">
        <f>N33</f>
        <v>62538.587540776316</v>
      </c>
      <c r="J123" t="s">
        <v>136</v>
      </c>
    </row>
    <row r="124" spans="1:16" outlineLevel="1" x14ac:dyDescent="0.35">
      <c r="A124" t="s">
        <v>31</v>
      </c>
      <c r="E124" s="13">
        <f>J101</f>
        <v>1500</v>
      </c>
      <c r="F124" s="13">
        <f>K101</f>
        <v>1500</v>
      </c>
      <c r="G124" s="13">
        <f>L101</f>
        <v>500</v>
      </c>
      <c r="H124" s="13">
        <f>M101</f>
        <v>500</v>
      </c>
      <c r="I124" s="13">
        <f>N101</f>
        <v>500</v>
      </c>
      <c r="J124" t="s">
        <v>133</v>
      </c>
    </row>
    <row r="125" spans="1:16" outlineLevel="1" x14ac:dyDescent="0.35">
      <c r="A125" t="s">
        <v>94</v>
      </c>
      <c r="E125" s="17">
        <f>E123+E124</f>
        <v>47814.47600000001</v>
      </c>
      <c r="F125" s="17">
        <f>F123+F124</f>
        <v>51094.865419999995</v>
      </c>
      <c r="G125" s="17">
        <f>G123+G124</f>
        <v>55861.397237599995</v>
      </c>
      <c r="H125" s="17">
        <f>H123+H124</f>
        <v>58692.861580915982</v>
      </c>
      <c r="I125" s="17">
        <f>I123+I124</f>
        <v>63038.587540776316</v>
      </c>
    </row>
    <row r="126" spans="1:16" outlineLevel="1" x14ac:dyDescent="0.35">
      <c r="A126" t="s">
        <v>95</v>
      </c>
      <c r="E126" s="17">
        <f>E125*$D$108</f>
        <v>11953.619000000002</v>
      </c>
      <c r="F126" s="17">
        <f>F125*$D$108</f>
        <v>12773.716354999999</v>
      </c>
      <c r="G126" s="17">
        <f>G125*$D$108</f>
        <v>13965.349309399999</v>
      </c>
      <c r="H126" s="17">
        <f>H125*$D$108</f>
        <v>14673.215395228995</v>
      </c>
      <c r="I126" s="17">
        <f>I125*$D$108</f>
        <v>15759.646885194079</v>
      </c>
    </row>
    <row r="127" spans="1:16" outlineLevel="1" x14ac:dyDescent="0.35">
      <c r="A127" t="s">
        <v>96</v>
      </c>
      <c r="E127" s="10">
        <f>J94</f>
        <v>15008.400000000001</v>
      </c>
      <c r="F127" s="10">
        <f>K94</f>
        <v>15005.04</v>
      </c>
      <c r="G127" s="10">
        <f>L94</f>
        <v>15003.023999999999</v>
      </c>
      <c r="H127" s="10">
        <f>M94</f>
        <v>15001.814400000001</v>
      </c>
      <c r="I127" s="10">
        <f>N94</f>
        <v>15001.08864</v>
      </c>
      <c r="J127" t="s">
        <v>133</v>
      </c>
    </row>
    <row r="128" spans="1:16" outlineLevel="1" x14ac:dyDescent="0.35">
      <c r="A128" t="s">
        <v>97</v>
      </c>
      <c r="E128" s="10">
        <f>J93</f>
        <v>15000</v>
      </c>
      <c r="F128" s="10">
        <f>K93</f>
        <v>15000</v>
      </c>
      <c r="G128" s="10">
        <f>L93</f>
        <v>15000</v>
      </c>
      <c r="H128" s="10">
        <f>M93</f>
        <v>15000</v>
      </c>
      <c r="I128" s="10">
        <f>N93</f>
        <v>15000</v>
      </c>
      <c r="J128" t="s">
        <v>133</v>
      </c>
    </row>
    <row r="129" spans="1:14" outlineLevel="1" x14ac:dyDescent="0.35">
      <c r="A129" t="s">
        <v>98</v>
      </c>
      <c r="E129" s="13">
        <f>J89</f>
        <v>374.35066301369807</v>
      </c>
      <c r="F129" s="13">
        <f>K89</f>
        <v>611.29577983561649</v>
      </c>
      <c r="G129" s="13">
        <f>L89</f>
        <v>398.13077379945207</v>
      </c>
      <c r="H129" s="13">
        <f>M89</f>
        <v>510.78220258270267</v>
      </c>
      <c r="I129" s="13">
        <f>N89</f>
        <v>272.23333836987331</v>
      </c>
      <c r="J129" t="s">
        <v>133</v>
      </c>
    </row>
    <row r="130" spans="1:14" outlineLevel="1" x14ac:dyDescent="0.35">
      <c r="A130" t="s">
        <v>99</v>
      </c>
      <c r="E130" s="10">
        <f>E125-E126+E127-E128-E129</f>
        <v>35494.906336986307</v>
      </c>
      <c r="F130" s="10">
        <f>F125-F126+F127-F128-F129</f>
        <v>37714.893285164384</v>
      </c>
      <c r="G130" s="10">
        <f>G125-G126+G127-G128-G129</f>
        <v>41500.941154400542</v>
      </c>
      <c r="H130" s="10">
        <f>H125-H126+H127-H128-H129</f>
        <v>43510.678383104285</v>
      </c>
      <c r="I130" s="10">
        <f>I125-I126+I127-I128-I129</f>
        <v>47007.795957212365</v>
      </c>
    </row>
    <row r="131" spans="1:14" outlineLevel="1" x14ac:dyDescent="0.35">
      <c r="A131" t="s">
        <v>100</v>
      </c>
      <c r="D131" s="40">
        <f>-H139</f>
        <v>-290451</v>
      </c>
      <c r="E131" s="13"/>
      <c r="F131" s="13"/>
      <c r="G131" s="13"/>
      <c r="H131" s="13"/>
      <c r="I131" s="13"/>
      <c r="J131" s="13">
        <f>N121</f>
        <v>534293.28861723025</v>
      </c>
    </row>
    <row r="132" spans="1:14" outlineLevel="1" x14ac:dyDescent="0.35">
      <c r="A132" t="s">
        <v>101</v>
      </c>
      <c r="D132" s="35">
        <f>D131</f>
        <v>-290451</v>
      </c>
      <c r="E132" s="10">
        <f>(E131+E130)*E121</f>
        <v>17601.58369039595</v>
      </c>
      <c r="F132" s="10">
        <f>(F131+F130)*F121</f>
        <v>37714.893285164384</v>
      </c>
      <c r="G132" s="10">
        <f>(G131+G130)*G121</f>
        <v>41614.642363042738</v>
      </c>
      <c r="H132" s="10">
        <f>(H131+H130)*H121</f>
        <v>43510.678383104285</v>
      </c>
      <c r="I132" s="10">
        <f>(I131+I130)*I121</f>
        <v>47007.795957212365</v>
      </c>
      <c r="J132" s="10">
        <f>J131+J130</f>
        <v>534293.28861723025</v>
      </c>
      <c r="N132" s="42"/>
    </row>
    <row r="133" spans="1:14" outlineLevel="1" x14ac:dyDescent="0.35"/>
    <row r="134" spans="1:14" outlineLevel="1" x14ac:dyDescent="0.35"/>
    <row r="135" spans="1:14" outlineLevel="1" x14ac:dyDescent="0.35">
      <c r="A135" s="32" t="s">
        <v>106</v>
      </c>
      <c r="B135" s="32"/>
      <c r="C135" s="32"/>
      <c r="D135" s="32"/>
      <c r="F135" s="32" t="s">
        <v>112</v>
      </c>
      <c r="G135" s="32"/>
      <c r="H135" s="32"/>
      <c r="I135"/>
      <c r="J135" s="32" t="s">
        <v>116</v>
      </c>
      <c r="K135" s="32"/>
      <c r="L135" s="32"/>
    </row>
    <row r="136" spans="1:14" outlineLevel="1" x14ac:dyDescent="0.35">
      <c r="A136" t="s">
        <v>604</v>
      </c>
      <c r="D136" s="10">
        <f>IFERROR(XNPV(D109,E132:J132,E119:J119),"")</f>
        <v>484713.32456630806</v>
      </c>
      <c r="F136" s="10" t="s">
        <v>113</v>
      </c>
      <c r="H136" s="10">
        <f>D115*D114</f>
        <v>500000</v>
      </c>
      <c r="J136" s="10" t="s">
        <v>117</v>
      </c>
      <c r="L136" s="33">
        <f>IFERROR(D141/H141-1,"-")</f>
        <v>0.38852464913261597</v>
      </c>
    </row>
    <row r="137" spans="1:14" outlineLevel="1" x14ac:dyDescent="0.35">
      <c r="A137" t="s">
        <v>108</v>
      </c>
      <c r="D137" s="35">
        <f>I78</f>
        <v>239549</v>
      </c>
      <c r="E137" s="43" t="s">
        <v>138</v>
      </c>
      <c r="F137" s="10" t="s">
        <v>114</v>
      </c>
      <c r="H137" s="10">
        <f>I100</f>
        <v>30000</v>
      </c>
      <c r="I137" s="43" t="s">
        <v>137</v>
      </c>
      <c r="J137" s="10" t="s">
        <v>118</v>
      </c>
      <c r="L137" s="33">
        <f>IFERROR(XIRR(D132:J132,D119:J119),"-")</f>
        <v>0.26023738980293276</v>
      </c>
    </row>
    <row r="138" spans="1:14" outlineLevel="1" x14ac:dyDescent="0.35">
      <c r="A138" t="s">
        <v>109</v>
      </c>
      <c r="D138" s="40">
        <f>I100</f>
        <v>30000</v>
      </c>
      <c r="E138" s="43" t="s">
        <v>137</v>
      </c>
      <c r="F138" s="10" t="s">
        <v>115</v>
      </c>
      <c r="H138" s="13">
        <f>I78</f>
        <v>239549</v>
      </c>
      <c r="I138" s="43" t="s">
        <v>138</v>
      </c>
    </row>
    <row r="139" spans="1:14" outlineLevel="1" x14ac:dyDescent="0.35">
      <c r="A139" t="s">
        <v>110</v>
      </c>
      <c r="D139" s="35">
        <f>D136+D137-D138</f>
        <v>694262.32456630806</v>
      </c>
      <c r="F139" s="10" t="s">
        <v>605</v>
      </c>
      <c r="H139" s="10">
        <f>H136+H137-H138</f>
        <v>290451</v>
      </c>
    </row>
    <row r="140" spans="1:14" outlineLevel="1" x14ac:dyDescent="0.35"/>
    <row r="141" spans="1:14" outlineLevel="1" x14ac:dyDescent="0.35">
      <c r="A141" t="s">
        <v>111</v>
      </c>
      <c r="D141" s="44">
        <f>D139/D115</f>
        <v>34.7131162283154</v>
      </c>
      <c r="F141" t="s">
        <v>111</v>
      </c>
      <c r="H141" s="44">
        <f>H136/D115</f>
        <v>25</v>
      </c>
    </row>
    <row r="142" spans="1:14" outlineLevel="1" x14ac:dyDescent="0.35"/>
    <row r="144" spans="1:14" x14ac:dyDescent="0.35">
      <c r="A144" s="2" t="s">
        <v>10</v>
      </c>
      <c r="B144" s="2"/>
      <c r="C144" s="2"/>
      <c r="D144" s="2"/>
      <c r="E144" s="11"/>
      <c r="F144" s="11"/>
      <c r="G144" s="11"/>
      <c r="H144" s="11"/>
      <c r="I144" s="11"/>
      <c r="J144" s="11"/>
      <c r="K144" s="11"/>
      <c r="L144" s="11"/>
      <c r="M144" s="11"/>
      <c r="N144" s="11"/>
    </row>
  </sheetData>
  <mergeCells count="3">
    <mergeCell ref="A1:D2"/>
    <mergeCell ref="E1:I1"/>
    <mergeCell ref="J1:N1"/>
  </mergeCells>
  <phoneticPr fontId="4"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4 5 1 3 2 1 - 0 8 7 8 - 4 e 1 d - a 1 6 b - 5 d 6 5 f 0 6 4 2 d e 6 "   x m l n s = " h t t p : / / s c h e m a s . m i c r o s o f t . c o m / D a t a M a s h u p " > A A A A A D 8 U A A B Q S w M E F A A C A A g A Z p 8 p 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m n y 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p 8 p W b 7 X 6 f U 6 E Q A A X m 0 A A B M A H A B G b 3 J t d W x h c y 9 T Z W N 0 a W 9 u M S 5 t I K I Y A C i g F A A A A A A A A A A A A A A A A A A A A A A A A A A A A O 1 c W 2 / b y B V + D 5 D / I K g v N u o a 6 0 X b h 2 5 T Q J b t r F H b U i 1 l 0 0 U S C G N y J M 2 G 4 q i 8 y H a C / P e e G Q 7 J I X n O c G S k y X a z + 7 B J N G e u P J f v + z h S y o N M y H g w K / 4 8 + e H 5 s + f P 0 j V L e D i 4 j A O 5 4 b O M Z X z D 4 2 z w Y h D x 7 P m z A f w 3 k 3 k S c P j k / C H g 0 f F r m b y / k / L 9 w Y W I + P F Y x h n Y p w f D 8 d / e v k p 5 k r 6 9 y r M P g + n 4 7 Z k M c j V W + l b M R m d v v / v L 4 m x 8 8 f a 7 k 8 U 4 T x L 4 / J Z v Z Q K t Y b B c t K Y / f o j S h + H h 0 S D O o + h o k C U 5 P z w q V t O y X M z W n K v l F q v 8 + O Y S P n 8 x b F k N j / 4 p 4 v D F U B s P 3 3 1 6 c 8 Y y 9 s 6 M + I f h N J E b m c E p / M h Z C F s Y w n h z d g f b M y 3 m 8 w N 0 8 q P B G 2 M 2 i q J Z w C K W p C / U k t 8 d V j O M 1 y x e w Q T z x y 2 v R 5 8 n L E 6 X M t m M Z Z R v Y t W Y H i D L O f r 4 c S j C I R w E W A w y / p B 9 O h p 8 H L J 0 s o S N 8 L I h h L / r h i 1 P h A z 1 X O 0 + g T 7 7 4 H E s w 2 7 j a M c T t u J n I s q V g 5 y z J B b x C u a H U 8 / + + u d j N a I 2 P G W p C I z 1 T D k Q Z X M + n Z W z x P n m j i e 6 a S z T b L K 8 5 T s e 5 7 z b 8 4 x v E x 4 I p t Y w 2 o C P i A / 6 7 / A 5 O C X 8 p f N 0 n S P E o T 3 I p U d v t X 8 e 9 u z P W O E 7 N I 0 3 l 6 M d E 1 E m x 3 I z y 2 T w f i 2 j 4 o m 2 R z s / v Z z j n 5 6 N k M / N k 7 k A T z n / T y 6 y R z D g s M z s h s P J z t l D t 8 9 L J u J J P G M R n y x P 8 1 T E P E X W Y V t B n s g T G B u x 4 j G c T a S O N t y I W K R Z A o e 7 4 + c P W x 6 n y C N 9 m c g 0 B b 9 e C u S 8 y 7 W T v V s G N z K e g I v D j P G K N i 4 e c 1 + 7 e 6 x r E c v E O l 3 k w O D A q Z m q J n j 6 G x m 7 H c A y j m E x u c x T s z A Z u 8 y V C 5 g u s A V 4 I m c i D Y p / 8 7 A a w X u A q g e 0 t 3 f v G A T + H + U h 9 I f z V L M n M o r g X 3 3 n 5 n 5 S Y G I / n q Y 5 6 S w 3 k E 9 Z J D 5 A a B L R U 1 t U M 7 f j t 5 q U n M Z a F r 7 6 y o D M c 5 N s z Z O X D I K I a O v Z q b Z p n p B l j 5 y 5 7 t D e G m W X x + C o 0 4 Q v O V S M U D v v m d i J k M d h t w f Y Z e y B O o p b D j 4 R A F w I e z J / b W h n c M w u 5 S w J 1 s r d Y a x I b v F M P u P a D c H s m i X v u f O B G l s 8 t W G L m G 3 V A i M T t V A l V t h Z Q i 4 + X y 4 B c U 2 W r + I 8 z a E D 1 J 0 U 8 T m w h A y 5 E y k 6 G 7 T e Q s W 6 k M m Y R Q H a X 2 Y s o h + q b m 6 5 y i g t Q B h H H q m 2 J 5 + U b m 1 t q M 8 E 8 G O R J F 5 K G d 6 L K O r 2 e Q 3 5 B i r P 0 p F q 6 v z W k y L p I o k U h c 2 W i U Q 5 0 W Q 5 Z l s B K x + l K c c S F x 4 S i K G N O t y t k y U 0 A k A U A A r T X n i i o 9 M 4 H + l 2 2 g h 8 B m u D 6 A F 4 G m R Q 3 I v Y 4 D B G E o 8 C O K R U 4 M u 1 c c F 0 e o 4 d i 3 F d 8 N A z m d 9 l y z w a B Y H M Y + w Q Z w o l C 5 7 C 7 K 8 Z u o F b 2 D u 0 X k F 6 h F V e c M r G O P w s 3 w I 4 V A f G E L e a i + A 9 T x p 4 9 1 M N z i + h v 4 q B w c + Q V G p 0 P g r D A p c f t P D 7 0 W C o L Y 8 G n A X r g Y L g x + q D g z c l I g f k b y 2 h n u m W y w S y K g x U j G w x D d N k P j 9 o r + r I M A A b 9 J e r a O L 9 N s R 3 o H o c x 9 v I v Q P V n w L O 9 4 X j F A B v Q m 4 P j F 2 i 6 h p H + y F n C i t T 6 N g D D 7 c Q M I J 5 e 1 B u F 9 e 6 k S y K X R t o t Q e f 9 i L S J 2 D Q J 6 L O v X A m i i x 9 s S S G H j G 8 i A F E B B J i I L A J + 3 C g 5 w H t a D D n A 9 / a g M 0 B 0 W h Q R s M w N / D y g F o U u H L A q T Z + Q h B T B y L 1 g 6 I 2 D E K B j x / U s c G N D 5 x x A x g n Z H G A l D Y s 2 Q e I E N C j C T b 8 4 A U C K P o g B A Y a c J j g A A Y l F P h 0 + P y Z i O m 6 b G u j p z B v H P B S a f y i w q g 9 t 0 M V t c 0 I S d Q 2 + V x 6 a H f a 3 5 A Y a j x v y h 7 V + h A E b w w g P 3 K x I 2 3 y T R 7 B W n o Y L Y B N H R o s m j I B d c Z E N G I Y R f J e H T o S J M 6 V 6 N z w I 4 9 C 6 K j C z j g b Y q n g l B r E G B q g I 1 C R N x e R C j w V k 5 C Q I I B 1 q C G W Z k N X n K V 8 c h e J F U X b j K F O X F h r q s q N + k O l x B 2 s j 5 g u X b e M o N t s D Y E 1 5 8 n m M t 5 B l q K W W s M h Z 2 O R k z G T u M i A G t + C A 6 8 S V G s 1 T w C e H s R H S D P 3 0 o 4 g p K Y Z P 2 D S / I z f I c / e a t S n v N e Q V 4 L d i Y j w F G N T 5 X h C e 0 6 v A C b z 9 E Z m I 1 3 m N X T K o A E O i H w d Q e s J Z Q t s x g C t s r x R p 6 l x u k 9 A F Y A e o 8 I q y O b y m m W a H 7 j C p y i x C r h Q S a a s + A 4 D 5 c k 8 J B N G 7 e o i v h A x p A 5 B i x t W X G h Y t l O Z B r F T 9 b Y 3 5 L X f Y J / L e K W C 0 N e 9 S n v c Z e 3 W P X y 2 7 F Y C q 3 L f t K X L d a 9 Z s A Y f T R 4 v c n B S e P B c j U u o k l 6 6 O r 5 Z a E B d D j 6 f 9 z g 2 s I k q u g t s 6 I z X r r k G e J 5 9 I H 5 5 H T y Y P p V A 2 W D J Y 0 H u b 7 S K i V i p m O 1 J f 7 b N q U w S e Y 8 n C d v O u Q t t W L j F K P w l J 8 u E Z 0 I p q Z z P N m q z / h W S G a F o T S Q A H 0 d 3 9 9 P R O N + r W J p l O F p U I u k r c V P 4 X K E f k 6 a n w E E h 7 Y t E p 5 Z T 4 I l L k U 0 B a 6 Y k a q k Z T 5 V v J 3 m W A u 9 x 1 m r o B j Q q p M V e + h i d J 6 h J k A h 0 Y k 7 X W H t f U d O R c Z m m O S b O 2 1 o N t b U y I Z w C J / m J R a S K T + 1 d N 5 p 0 S s r Y 2 g j P V Q X Z 1 o v T t b I / 7 e k e l u d 7 v Y P U n f r j q 2 X 2 p F l c h R r o S 8 g r / z W u X 8 / X 7 a D o I j x 5 s m 7 v k 6 x b t u R b m / P N N p K P n J u I Q k a 6 U D r M m o c K O B H 4 I M 5 k g r h b t 2 D 4 V y J d W v r N T Z Y Y W V k i Q b M E E m / s H g A Z U E E W I a 3 q W W i k H u B A 3 Y d t V N g K A 4 T h S m k h e o O k Q 3 S P h X y O i o T w R E 0 2 Z V u s c F p l m C a w l S x E W g A D 5 G J l l h U 8 a o o e F T K + q z J a B U P E s G u p a C 9 P W a a 0 R Q R g Q S K c L M e w Y e x 2 C M S m 2 O Q b 8 + y d Y V D X A C e q a I p j W C g D e M z 7 s E l l h Q / y K o Z 2 L R o r W q N Y D f I A w G G h B p i t G Q d 2 O Y Y P L z G w p I h T u v 4 7 i 7 q O R 9 c k n p F + B g G 3 0 2 9 C I L Z C Y M T O x 7 c P O 7 m M 9 S 5 + g r 8 D 2 E 5 f K b W 7 q D X X P F t L p G R a U y u C t i z E D V e G b p y 7 G 7 9 Y O c o N K C x w S R c b 6 + l Z c V Y p P 9 g D + 6 Z f c H a U O l y b c 6 h x D v 3 N X 3 F z a W x u V c 2 l o z m U s 7 Z W R q t j + + l h L Q U M 1 b x o l Y v W t T p K V q 9 2 1 V K r f P U p X J F C N a g 9 V C d b Z / J R l h x a k q 0 e u f Q i T C F C N C F E B e r R f W i l h 9 B 2 a j W n X 7 9 p K z b e G o 1 L l c F 1 m B 7 l B d N a L H W l 1 l N Q B a V X M / F T S Z y 6 C K W E 4 N o H r X Y 4 9 A 1 a 0 S A 1 D F K 1 c O s U b W U C 0 S I w 9 c G p N 9 g K g 1 t T e I q K 4 K 0 b d J S C p j b Q U g O 6 / B 9 j / C 2 O j 7 N 6 l M e 3 m D v B 1 R v s 3 I e P e z J w k n P v z b I R X u 3 B p L v c 2 c 2 W a X 6 M M e I O B 2 6 w X h f P 7 W W 2 T + S y b f b a 4 a s I Q + 1 w U o q F O n k n w j Q J b o m x S W / + 2 M s Y 2 x z R y Q p J H t h l f h T X 6 7 A 7 n M + R D K 6 P s 2 E s D e N l C B M j u V c f 2 0 L 4 1 Z 6 M y o d D O V m T g y c R z M i H C z 3 l T o e O D h j j S 9 / n K O d 1 3 O U o T Y h 7 H G X z 5 7 r D 0 Z z u N 3 R / Q 3 l W f U m q u K 4 0 7 N 5 g 4 J A U Y 1 1 M 0 j V k Y e L + s y k 1 2 p d D D T M x m + I k m 3 c b T d R B 4 g V e s a M E X L R r E Z 1 P 6 l r d a X N 2 1 Q / y M j Y p i p Q B L T s r o G k 7 t S T 7 3 p X r a w Z l H 5 9 X f Z i t W x e 3 O / Q K 7 s a 4 9 x h I E O r o 4 l a F S j P n K 6 X S y G 8 f a f V Y P Q Z N i 2 e G N N f M X 8 F U l X G d R n A 0 h K R Y l q u K 0 N I m R G P P v f O e L s 1 r 5 1 3 j E p Y X S o B 9 5 d K h k 5 Z X U a F g 6 H N U 9 0 3 N i S L G h T B D 5 5 g q U 9 Q p v m O S c E 6 3 l s h k E t e r d l 0 / q e 3 7 v h Z q y R A i t E N b F R 3 M v F Q o / K x N m q N 3 V j p f d d W V U N 1 r u / 7 L I r R D 2 1 a 0 R w O j K Q 9 s C g V 6 z V K u J D W G p Q 6 w 9 Q o l s G t h 5 t K 1 6 L c I P t 9 A J a 7 b U 6 O V z u O z r 3 I z 5 U F R R w + m f q e v v o i h 8 n U d D t S X n E r L 2 o G o 2 C t 0 H p / t N C k C v c q q w N J O W 5 l Y E i N i p Y u Z E m 4 r e G s E i G I 3 g k j N l R A D r c Q 3 8 H z 3 o o k k D 3 X W 0 6 a T r f 6 m 0 I N i f i l W t c u T d O W M 2 s Z 1 u 6 q 2 Q i 8 2 A X A o / I p y K z C o R n D n h r 4 c V 7 S 7 1 u r 4 + p u e 8 x R W E U K c K z B A l J k u j f R N 1 n b 5 o n 2 O v M 3 v A 2 k d K A 0 m t A i + c A C 5 / j u N t S V 5 m a A 0 c Q 5 T J 9 R y a f j K 3 D e v 2 0 W Q u l 9 X y Z P u 7 F X r O i 1 p i f 7 i s d / A D T O 6 K m n X g D i 2 v 4 L l T 0 F a H f 0 J S K u j F / 2 o H K p A q B A 6 F 5 d 9 S c z 9 p J u 2 9 C F V r x B Y H J b f y p F L 8 g K K / k J Z G U i 9 R c T O e 4 7 w + 7 Z f 2 R L k n K T j O A H f i 3 L v R b L 3 o t U 0 k a a p s x 9 Z d t N j D 0 L c Q 4 E R 0 u t F c 0 l i S 1 B Z m r z 2 0 N U O Q S U o K U F C U d r Z I p p e 1 L K H T H r S x x 7 C i F B E l B S 2 a W A / 8 X N R v V 5 y 1 0 f n U A J H U 7 Y u S a N o G U X E 3 N S L J l t + 9 I r 4 k r S D Q v W R J i d N c h A j F x V y k R + S 7 j g J D k p p K B L j T 1 t Q o k J T E x 8 y g t M P i n B 0 K A Z C K l w 0 o k s c M K r Q I A c 0 H d i H A F C Q 3 w n y 3 b A e B f I u 6 I 6 C d R y e O w B 5 G 4 I T o N s F s 3 2 A N Q m l S f C 8 B 1 z e A y D v A Y k p E O y G v T T Q 7 Y O 2 v W C W h K 9 P e c t 2 z T O m i s S X f s t W z u t 4 y 1 a a E G / Z y u b P 9 Z a t O d 1 X e 8 u 2 h H O Y i w 0 v Q w j h J f f 8 D t B H 9 3 0 a H A P k e R 3 / z Y Y U E I 1 M O h 9 H U N P K n D n L N x u G d E V f + I U Q o n N Z 3 X / R j d b P X G X 0 N 0 7 4 n c h C R G C W Z e h d Q / U U u m S 3 R 0 2 K K w 8 v E 3 m f r a l Z N T Z T F 5 V Y w u k x H B b V K N 0 1 J h x S d T y J q 0 h t 9 9 3 q 3 4 6 h d 7 C q f 2 C m a m b x Y 3 E w B p 2 S 2 1 s a Q L l E R a V y b e Q z g c + D 9 7 c q u y O N g Y l P o l n a q A O f H 2 r H T s g 8 H U c y x Y 4 1 N N n x 1 n I n p P l n w a M Q a e c P Z X p t + 2 M G o V K c D 2 R m x W x H u 9 V Z z 2 h 3 X I P i z q N P m F A / e q I L X e f 4 Z X L P k h B t Y 8 W v I P 2 k 4 p 2 f f B e y R y R o l 2 K Z P c 7 v 5 W v O 3 1 / p I + x M Y V n 8 K F a Y E 2 w T E f C 5 V I U g n Z v l n n x / D S l 5 j T l c u a N R H O c Q k e 5 n g B t T Z 7 j R P x o D S K a 7 U 1 1 Z 9 B W 9 r P j N j 6 7 J n X V R j t i j u k u H t E Y s z S 6 g Z r N I P e z z O E S d I Y b 0 1 W + 1 0 b c P A / D 8 f + U M 4 F e C W m 3 5 i g o M V C C y a 2 + j Q t h l t + i p F p e i l b f 1 y y 5 V y Y E S n O l a f i v v r V I 2 4 x G k e P X Z Q T G E E Z k O 3 t Q i z z u w H o K z D A 8 h 6 Y T Q Z P 9 u z r v B 3 / + h S / B h X d 4 g F e X b z l T 6 0 4 P 2 S h q n U a t N 6 p T q i y O L a 6 G g p V 7 Z l U i z Y / h 3 U / 0 y B x z p a / h 1 v a k H 0 H K A N Q B 7 6 B 1 g P 8 m u s e m n S 3 Y z D e f b T w k + R C Q 6 6 + Q m C q k d j 9 K A 6 8 D R m z c r a D c 1 H c 2 e r + t n + / n Y L d 9 I Q L k D z Q q 7 k m P h a 6 X i a N z t Y 4 0 9 O + O c 5 d t I B O q y Y D 0 I w G 4 o K I E 6 D n w 6 v 6 N E p n C e p 9 + h T V U G 0 l D w 5 W w 6 / h 8 i 4 + 9 L Z F x w B D V t i Z F X 6 T Z Y b M u F O F C y R q s n B E Y u G j 8 X Q r a n + j L 4 G E m w V Y l Y h B g 0 B a w S I 5 l 6 j d f T C C 3 E A Q F i d r r A d 6 s Z C 3 + h u i A A f w q P c E H d o 1 P F a F G A O R y I x Q s 9 1 S I U + l f K U A u 1 W c o A w M l C L h f 3 g D E c x 7 p 4 L J K O t V H P w t a M n Q W g M Q U 3 0 B h q m n q V n b K 4 1 e l G F x g 1 S 3 l m d X E w P 0 6 p a 6 B 1 r t 0 y Y Y 7 H S l 1 Q E R R f B j Y l N / 5 1 I n o c m D k H z e U U l 5 a P p / K e J w c n g z 8 O 3 l Q r f n d 0 8 v 3 h 4 E + D k 8 b x N u b H j 3 d + 8 + + v k 5 m y + O H 3 x P R 7 Y v r / T U w Q O Z 5 5 C S x / D W n J 3 l 9 j G c T + 9 B q + U n L Q c / + e H 7 6 t / B B a v 1 7 a H i g F Z I 6 q Z c V b v Y W I C 2 / B l I D f V t o p Q s M z 8 2 j j X 0 P y + f V j I j P + Z b w s v r j 2 d T I f 2 6 2 q F X y r W a 8 w O U E S j X U 4 r S B E B A P k l p N q q C 8 5 N e 9 V 1 f O 2 X 3 w 1 h / v h v 1 B L A Q I t A B Q A A g A I A G a f K V l F B P I g o w A A A P Y A A A A S A A A A A A A A A A A A A A A A A A A A A A B D b 2 5 m a W c v U G F j a 2 F n Z S 5 4 b W x Q S w E C L Q A U A A I A C A B m n y l Z D 8 r p q 6 Q A A A D p A A A A E w A A A A A A A A A A A A A A A A D v A A A A W 0 N v b n R l b n R f V H l w Z X N d L n h t b F B L A Q I t A B Q A A g A I A G a f K V m + 1 + n 1 O h E A A F 5 t A A A T A A A A A A A A A A A A A A A A A O A B A A B G b 3 J t d W x h c y 9 T Z W N 0 a W 9 u M S 5 t U E s F B g A A A A A D A A M A w g A A A G c T 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J A Q A A A A A A t I k 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Y 2 9 t Z V N 0 Y X R l b W V u d D w v S X R l b V B h d G g + P C 9 J d G V t T G 9 j Y X R p b 2 4 + P F N 0 Y W J s Z U V u d H J p Z X M + P E V u d H J 5 I F R 5 c G U 9 I k l z U H J p d m F 0 Z S I g V m F s d W U 9 I m w w I i A v P j x F b n R y e S B U e X B l P S J R d W V y e U l E I i B W Y W x 1 Z T 0 i c z J j M G E 0 Z W V l L T Z k M W E t N D g 2 Y i 0 5 N m Z k L T I y M m E x N z F h Y z N k 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5 j b 2 1 l U 3 R h d G V t Z W 5 0 I i A v P j x F b n R y e S B U e X B l P S J G a W x s Z W R D b 2 1 w b G V 0 Z V J l c 3 V s d F R v V 2 9 y a 3 N o Z W V 0 I i B W Y W x 1 Z T 0 i b D E i I C 8 + P E V u d H J 5 I F R 5 c G U 9 I k Z p b G x F c n J v c k N v d W 5 0 I i B W Y W x 1 Z T 0 i b D A i I C 8 + P E V u d H J 5 I F R 5 c G U 9 I k Z p b G x F c n J v c k N v Z G U i I F Z h b H V l P S J z V W 5 r b m 9 3 b i I g L z 4 8 R W 5 0 c n k g V H l w Z T 0 i R m l s b E N v d W 5 0 I i B W Y W x 1 Z T 0 i b D k y I i A v P j x F b n R y e S B U e X B l P S J B Z G R l Z F R v R G F 0 Y U 1 v Z G V s I i B W Y W x 1 Z T 0 i b D A i I C 8 + P E V u d H J 5 I F R 5 c G U 9 I k Z p b G x M Y X N 0 V X B k Y X R l Z C I g V m F s d W U 9 I m Q y M D I 0 L T A 5 L T A 5 V D I z O j U 5 O j A z L j U 2 O T E 5 N T F a I i A v P j x F b n R y e S B U e X B l P S J G a W x s Q 2 9 s d W 1 u V H l w Z X M i I F Z h b H V l P S J z Q m d r R E J n W U R B d 1 V E Q X d N R E J R T U R B d 0 1 E Q X d N R E F 3 T U R B d 0 1 E Q X d N R E F 3 T U R B d 0 1 G Q X d N R E F 3 T U R B d 0 1 E Q X d N R E F 3 T U R C U U 1 G Q U F N R E F 3 T U R B d 0 1 B Q X d N Q U F 3 Q U R B d 0 1 E Q X d N R E F 3 T U R C Z z 0 9 I i A v P j x F b n R y e S B U e X B l P S J G a W x s Q 2 9 s d W 1 u T m F t Z X M i I F Z h b H V l P S J z W y Z x d W 9 0 O 2 l k J n F 1 b 3 Q 7 L C Z x d W 9 0 O 2 F z T 2 Z E Y X R l J n F 1 b 3 Q 7 L C Z x d W 9 0 O 1 l l Y X I m c X V v d D s s J n F 1 b 3 Q 7 c G V y a W 9 k V H l w Z S Z x d W 9 0 O y w m c X V v d D t j d X J y Z W 5 j e U N v Z G U m c X V v d D s s J n F 1 b 3 Q 7 Q X Z l c m F n Z U R p b H V 0 a W 9 u R W F y b m l u Z 3 M m c X V v d D s s J n F 1 b 3 Q 7 Q m F z a W N B d m V y Y W d l U 2 h h c m V z J n F 1 b 3 Q 7 L C Z x d W 9 0 O 0 J h c 2 l j R V B T J n F 1 b 3 Q 7 L C Z x d W 9 0 O 0 N v c 3 R P Z l J l d m V u d W U m c X V v d D s s J n F 1 b 3 Q 7 R G V w c m V j a W F 0 a W 9 u Q W 1 v c n R p e m F 0 a W 9 u R G V w b G V 0 a W 9 u S W 5 j b 2 1 l U 3 R h d G V t Z W 5 0 J n F 1 b 3 Q 7 L C Z x d W 9 0 O 0 R l c H J l Y 2 l h d G l v b k F u Z E F t b 3 J 0 a X p h d G l v b k l u S W 5 j b 2 1 l U 3 R h d G V t Z W 5 0 J n F 1 b 3 Q 7 L C Z x d W 9 0 O 0 R p b H V 0 Z W R B d m V y Y W d l U 2 h h c m V z J n F 1 b 3 Q 7 L C Z x d W 9 0 O 0 R p b H V 0 Z W R F U F M m c X V v d D s s J n F 1 b 3 Q 7 R G l s d X R l Z E 5 J Q X Z h a W x 0 b 0 N v b V N 0 b 2 N r a G 9 s Z G V y c y Z x d W 9 0 O y w m c X V v d D t F Q k l U J n F 1 b 3 Q 7 L C Z x d W 9 0 O 0 V C S V R E Q S Z x d W 9 0 O y w m c X V v d D t F Y X J u a W 5 n c 0 Z y b 2 1 F c X V p d H l J b n R l c m V z d E 5 l d E 9 m V G F 4 J n F 1 b 3 Q 7 L C Z x d W 9 0 O 0 d h a W 5 P b l N h b G V P Z k J 1 c 2 l u Z X N z J n F 1 b 3 Q 7 L C Z x d W 9 0 O 0 d h a W 5 P b l N h b G V P Z l N l Y 3 V y a X R 5 J n F 1 b 3 Q 7 L C Z x d W 9 0 O 0 d l b m V y Y W x B b m R B Z G 1 p b m l z d H J h d G l 2 Z U V 4 c G V u c 2 U m c X V v d D s s J n F 1 b 3 Q 7 R 3 J v c 3 N Q c m 9 m a X Q m c X V v d D s s J n F 1 b 3 Q 7 S W 5 0 Z X J l c 3 R F e H B l b n N l J n F 1 b 3 Q 7 L C Z x d W 9 0 O 0 l u d G V y Z X N 0 R X h w Z W 5 z Z U 5 v b k 9 w Z X J h d G l u Z y Z x d W 9 0 O y w m c X V v d D t J b n R l c m V z d E l u Y 2 9 t Z S Z x d W 9 0 O y w m c X V v d D t J b n R l c m V z d E l u Y 2 9 t Z U 5 v b k 9 w Z X J h d G l u Z y Z x d W 9 0 O y w m c X V v d D t N a W 5 v c m l 0 e U l u d G V y Z X N 0 c y Z x d W 9 0 O y w m c X V v d D t O Z X R J b m N v b W U m c X V v d D s s J n F 1 b 3 Q 7 T m V 0 S W 5 j b 2 1 l Q 2 9 t b W 9 u U 3 R v Y 2 t o b 2 x k Z X J z J n F 1 b 3 Q 7 L C Z x d W 9 0 O 0 5 l d E l u Y 2 9 t Z U N v b n R p b n V v d X N P c G V y Y X R p b 2 5 z J n F 1 b 3 Q 7 L C Z x d W 9 0 O 0 5 l d E l u Y 2 9 t Z U Z y b 2 1 D b 2 5 0 a W 5 1 a W 5 n Q W 5 k R G l z Y 2 9 u d G l u d W V k T 3 B l c m F 0 a W 9 u J n F 1 b 3 Q 7 L C Z x d W 9 0 O 0 5 l d E l u Y 2 9 t Z U Z y b 2 1 D b 2 5 0 a W 5 1 a W 5 n T 3 B l c m F 0 a W 9 u T m V 0 T W l u b 3 J p d H l J b n R l c m V z d C Z x d W 9 0 O y w m c X V v d D t O Z X R J b m N v b W V J b m N s d W R p b m d O b 2 5 j b 2 5 0 c m 9 s b G l u Z 0 l u d G V y Z X N 0 c y Z x d W 9 0 O y w m c X V v d D t O Z X R J b n R l c m V z d E l u Y 2 9 t Z S Z x d W 9 0 O y w m c X V v d D t O Z X R O b 2 5 P c G V y Y X R p b m d J b n R l c m V z d E l u Y 2 9 t Z U V 4 c G V u c 2 U m c X V v d D s s J n F 1 b 3 Q 7 T m 9 y b W F s a X p l Z E V C S V R E Q S Z x d W 9 0 O y w m c X V v d D t O b 3 J t Y W x p e m V k S W 5 j b 2 1 l J n F 1 b 3 Q 7 L C Z x d W 9 0 O 0 9 w Z X J h d G l u Z 0 V 4 c G V u c 2 U m c X V v d D s s J n F 1 b 3 Q 7 T 3 B l c m F 0 a W 5 n S W 5 j b 2 1 l J n F 1 b 3 Q 7 L C Z x d W 9 0 O 0 9 w Z X J h d G l u Z 1 J l d m V u d W U m c X V v d D s s J n F 1 b 3 Q 7 T 3 R o Z X J H Y W 5 k Q S Z x d W 9 0 O y w m c X V v d D t P d G h l c k l u Y 2 9 t Z U V 4 c G V u c 2 U m c X V v d D s s J n F 1 b 3 Q 7 T 3 R o Z X J O b 2 5 P c G V y Y X R p b m d J b m N v b W V F e H B l b n N l c y Z x d W 9 0 O y w m c X V v d D t P d G h l c k 9 w Z X J h d G l u Z 0 V 4 c G V u c 2 V z J n F 1 b 3 Q 7 L C Z x d W 9 0 O 0 9 0 a G V y d W 5 k Z X J Q c m V m Z X J y Z W R T d G 9 j a 0 R p d m l k Z W 5 k J n F 1 b 3 Q 7 L C Z x d W 9 0 O 1 B y Z X R h e E l u Y 2 9 t Z S Z x d W 9 0 O y w m c X V v d D t S Z W N v b m N p b G V k Q 2 9 z d E 9 m U m V 2 Z W 5 1 Z S Z x d W 9 0 O y w m c X V v d D t S Z W N v b m N p b G V k R G V w c m V j a W F 0 a W 9 u J n F 1 b 3 Q 7 L C Z x d W 9 0 O 1 J l c 2 V h c m N o Q W 5 k R G V 2 Z W x v c G 1 l b n Q m c X V v d D s s J n F 1 b 3 Q 7 U 2 V s b G l u Z 0 F u Z E 1 h c m t l d G l u Z 0 V 4 c G V u c 2 U m c X V v d D s s J n F 1 b 3 Q 7 U 2 V s b G l u Z 0 d l b m V y Y W x B b m R B Z G 1 p b m l z d H J h d G l v b i Z x d W 9 0 O y w m c X V v d D t T c G V j a W F s S W 5 j b 2 1 l Q 2 h h c m d l c y Z x d W 9 0 O y w m c X V v d D t U Y X h F Z m Z l Y 3 R P Z l V u d X N 1 Y W x J d G V t c y Z x d W 9 0 O y w m c X V v d D t U Y X h Q c m 9 2 a X N p b 2 4 m c X V v d D s s J n F 1 b 3 Q 7 V G F 4 U m F 0 Z U Z v c k N h b G N z J n F 1 b 3 Q 7 L C Z x d W 9 0 O 1 R v d G F s T 3 R o Z X J G a W 5 h b m N l Q 2 9 z d C Z x d W 9 0 O y w m c X V v d D t U b 3 R h b E V 4 c G V u c 2 V z J n F 1 b 3 Q 7 L C Z x d W 9 0 O 1 R v d G F s T 3 B l c m F 0 a W 5 n S W 5 j b 2 1 l Q X N S Z X B v c n R l Z C Z x d W 9 0 O y w m c X V v d D t U b 3 R h b F J l d m V u d W U m c X V v d D s s J n F 1 b 3 Q 7 V G 9 0 Y W x V b n V z d W F s S X R l b X M m c X V v d D s s J n F 1 b 3 Q 7 V G 9 0 Y W x V b n V z d W F s S X R l b X N F e G N s d W R p b m d H b 2 9 k d 2 l s b C Z x d W 9 0 O y w m c X V v d D t X c m l 0 Z U 9 m Z i Z x d W 9 0 O y w m c X V v d D t O Z X R J b m N v b W V E a X N j b 2 5 0 a W 5 1 b 3 V z T 3 B l c m F 0 a W 9 u c y Z x d W 9 0 O y w m c X V v d D t E Z X B y Z W N p Y X R p b 2 5 J b m N v b W V T d G F 0 Z W 1 l b n Q m c X V v d D s s J n F 1 b 3 Q 7 R W F y b m l u Z 3 N G c m 9 t R X F 1 a X R 5 S W 5 0 Z X J l c 3 Q m c X V v d D s s J n F 1 b 3 Q 7 S W 1 w Y W l y b W V u d E 9 m Q 2 F w a X R h b E F z c 2 V 0 c y Z x d W 9 0 O y w m c X V v d D t J b n N 1 c m F u Y 2 V B b m R D b G F p b X M m c X V v d D s s J n F 1 b 3 Q 7 U H J l Z m V y c m V k U 3 R v Y 2 t E a X Z p Z G V u Z H M m c X V v d D s s J n F 1 b 3 Q 7 Y X N P Z l l l Y X I m c X V v d D s s J n F 1 b 3 Q 7 Q W 1 v c n R p e m F 0 a W 9 u J n F 1 b 3 Q 7 L C Z x d W 9 0 O 0 F t b 3 J 0 a X p h d G l v b k 9 m S W 5 0 Y W 5 n a W J s Z X N J b m N v b W V T d G F 0 Z W 1 l b n Q m c X V v d D s s J n F 1 b 3 Q 7 T 3 R o Z X J T c G V j a W F s Q 2 h h c m d l c y Z x d W 9 0 O y w m c X V v d D t P d G h l c l R h e G V z J n F 1 b 3 Q 7 L C Z x d W 9 0 O 1 J l c 3 R y d W N 0 d X J p b m d B b m R N Z X J n Z X J u Q W N x d W l z a X R p b 2 4 m c X V v d D s s J n F 1 b 3 Q 7 R 2 F p b k 9 u U 2 F s Z U 9 m U F B F J n F 1 b 3 Q 7 L C Z x d W 9 0 O 1 B y b 3 Z p c 2 l v b k Z v c k R v d W J 0 Z n V s Q W N j b 3 V u d H M m c X V v d D s s J n F 1 b 3 Q 7 U 2 F s Y X J p Z X N B b m R X Y W d l c y Z x d W 9 0 O y w m c X V v d D t S Z W 5 0 Q W 5 k T G F u Z G l u Z 0 Z l Z X M m c X V v d D s s J n F 1 b 3 Q 7 U m V u d E V 4 c G V u c 2 V T d X B w b G V t Z W 5 0 Y W w m c X V v d D s s J n F 1 b 3 Q 7 V G l j a 2 V y J n F 1 b 3 Q 7 X S I g L z 4 8 R W 5 0 c n k g V H l w Z T 0 i R m l s b F N 0 Y X R 1 c y I g V m F s d W U 9 I n N D b 2 1 w b G V 0 Z S I g L z 4 8 R W 5 0 c n k g V H l w Z T 0 i U m V s Y X R p b 2 5 z a G l w S W 5 m b 0 N v b n R h a W 5 l c i I g V m F s d W U 9 I n N 7 J n F 1 b 3 Q 7 Y 2 9 s d W 1 u Q 2 9 1 b n Q m c X V v d D s 6 N z k s J n F 1 b 3 Q 7 a 2 V 5 Q 2 9 s d W 1 u T m F t Z X M m c X V v d D s 6 W 1 0 s J n F 1 b 3 Q 7 c X V l c n l S Z W x h d G l v b n N o a X B z J n F 1 b 3 Q 7 O l t d L C Z x d W 9 0 O 2 N v b H V t b k l k Z W 5 0 a X R p Z X M m c X V v d D s 6 W y Z x d W 9 0 O 1 N l Y 3 R p b 2 4 x L 0 l u Y 2 9 t Z V N 0 Y X R l b W V u d C 9 D a G F u Z 2 V k I F R 5 c G U u e 2 l k L D B 9 J n F 1 b 3 Q 7 L C Z x d W 9 0 O 1 N l Y 3 R p b 2 4 x L 0 l u Y 2 9 t Z V N 0 Y X R l b W V u d C 9 D a G F u Z 2 V k I F R 5 c G U u e 2 F z T 2 Z E Y X R l L D F 9 J n F 1 b 3 Q 7 L C Z x d W 9 0 O 1 N l Y 3 R p b 2 4 x L 0 l u Y 2 9 t Z V N 0 Y X R l b W V u d C 9 J b n N l c n R l Z C B Z Z W F y L n t Z Z W F y L D c 4 f S Z x d W 9 0 O y w m c X V v d D t T Z W N 0 a W 9 u M S 9 J b m N v b W V T d G F 0 Z W 1 l b n Q v Q 2 h h b m d l Z C B U e X B l L n t w Z X J p b 2 R U e X B l L D J 9 J n F 1 b 3 Q 7 L C Z x d W 9 0 O 1 N l Y 3 R p b 2 4 x L 0 l u Y 2 9 t Z V N 0 Y X R l b W V u d C 9 D a G F u Z 2 V k I F R 5 c G U u e 2 N 1 c n J l b m N 5 Q 2 9 k Z S w z f S Z x d W 9 0 O y w m c X V v d D t T Z W N 0 a W 9 u M S 9 J b m N v b W V T d G F 0 Z W 1 l b n Q v Q 2 h h b m d l Z C B U e X B l L n t B d m V y Y W d l R G l s d X R p b 2 5 F Y X J u a W 5 n c y w 1 M n 0 m c X V v d D s s J n F 1 b 3 Q 7 U 2 V j d G l v b j E v S W 5 j b 2 1 l U 3 R h d G V t Z W 5 0 L 0 N o Y W 5 n Z W Q g V H l w Z S 5 7 Q m F z a W N B d m V y Y W d l U 2 h h c m V z L D R 9 J n F 1 b 3 Q 7 L C Z x d W 9 0 O 1 N l Y 3 R p b 2 4 x L 0 l u Y 2 9 t Z V N 0 Y X R l b W V u d C 9 D a G F u Z 2 V k I F R 5 c G U u e 0 J h c 2 l j R V B T L D V 9 J n F 1 b 3 Q 7 L C Z x d W 9 0 O 1 N l Y 3 R p b 2 4 x L 0 l u Y 2 9 t Z V N 0 Y X R l b W V u d C 9 D a G F u Z 2 V k I F R 5 c G U u e 0 N v c 3 R P Z l J l d m V u d W U s N n 0 m c X V v d D s s J n F 1 b 3 Q 7 U 2 V j d G l v b j E v S W 5 j b 2 1 l U 3 R h d G V t Z W 5 0 L 0 N o Y W 5 n Z W Q g V H l w Z S 5 7 R G V w c m V j a W F 0 a W 9 u Q W 1 v c n R p e m F 0 a W 9 u R G V w b G V 0 a W 9 u S W 5 j b 2 1 l U 3 R h d G V t Z W 5 0 L D Y w f S Z x d W 9 0 O y w m c X V v d D t T Z W N 0 a W 9 u M S 9 J b m N v b W V T d G F 0 Z W 1 l b n Q v Q 2 h h b m d l Z C B U e X B l L n t E Z X B y Z W N p Y X R p b 2 5 B b m R B b W 9 y d G l 6 Y X R p b 2 5 J b k l u Y 2 9 t Z V N 0 Y X R l b W V u d C w 2 M X 0 m c X V v d D s s J n F 1 b 3 Q 7 U 2 V j d G l v b j E v S W 5 j b 2 1 l U 3 R h d G V t Z W 5 0 L 0 N o Y W 5 n Z W Q g V H l w Z S 5 7 R G l s d X R l Z E F 2 Z X J h Z 2 V T a G F y Z X M s N 3 0 m c X V v d D s s J n F 1 b 3 Q 7 U 2 V j d G l v b j E v S W 5 j b 2 1 l U 3 R h d G V t Z W 5 0 L 0 N o Y W 5 n Z W Q g V H l w Z S 5 7 R G l s d X R l Z E V Q U y w 4 f S Z x d W 9 0 O y w m c X V v d D t T Z W N 0 a W 9 u M S 9 J b m N v b W V T d G F 0 Z W 1 l b n Q v Q 2 h h b m d l Z C B U e X B l L n t E a W x 1 d G V k T k l B d m F p b H R v Q 2 9 t U 3 R v Y 2 t o b 2 x k Z X J z L D l 9 J n F 1 b 3 Q 7 L C Z x d W 9 0 O 1 N l Y 3 R p b 2 4 x L 0 l u Y 2 9 t Z V N 0 Y X R l b W V u d C 9 D a G F u Z 2 V k I F R 5 c G U u e 0 V C S V Q s M T B 9 J n F 1 b 3 Q 7 L C Z x d W 9 0 O 1 N l Y 3 R p b 2 4 x L 0 l u Y 2 9 t Z V N 0 Y X R l b W V u d C 9 D a G F u Z 2 V k I F R 5 c G U u e 0 V C S V R E Q S w x M X 0 m c X V v d D s s J n F 1 b 3 Q 7 U 2 V j d G l v b j E v S W 5 j b 2 1 l U 3 R h d G V t Z W 5 0 L 0 N o Y W 5 n Z W Q g V H l w Z S 5 7 R W F y b m l u Z 3 N G c m 9 t R X F 1 a X R 5 S W 5 0 Z X J l c 3 R O Z X R P Z l R h e C w 2 O H 0 m c X V v d D s s J n F 1 b 3 Q 7 U 2 V j d G l v b j E v S W 5 j b 2 1 l U 3 R h d G V t Z W 5 0 L 0 N o Y W 5 n Z W Q g V H l w Z S 5 7 R 2 F p b k 9 u U 2 F s Z U 9 m Q n V z a W 5 l c 3 M s N T V 9 J n F 1 b 3 Q 7 L C Z x d W 9 0 O 1 N l Y 3 R p b 2 4 x L 0 l u Y 2 9 t Z V N 0 Y X R l b W V u d C 9 D a G F u Z 2 V k I F R 5 c G U u e 0 d h a W 5 P b l N h b G V P Z l N l Y 3 V y a X R 5 L D E y f S Z x d W 9 0 O y w m c X V v d D t T Z W N 0 a W 9 u M S 9 J b m N v b W V T d G F 0 Z W 1 l b n Q v Q 2 h h b m d l Z C B U e X B l L n t H Z W 5 l c m F s Q W 5 k Q W R t a W 5 p c 3 R y Y X R p d m V F e H B l b n N l L D E z f S Z x d W 9 0 O y w m c X V v d D t T Z W N 0 a W 9 u M S 9 J b m N v b W V T d G F 0 Z W 1 l b n Q v Q 2 h h b m d l Z C B U e X B l L n t H c m 9 z c 1 B y b 2 Z p d C w x N H 0 m c X V v d D s s J n F 1 b 3 Q 7 U 2 V j d G l v b j E v S W 5 j b 2 1 l U 3 R h d G V t Z W 5 0 L 0 N o Y W 5 n Z W Q g V H l w Z S 5 7 S W 5 0 Z X J l c 3 R F e H B l b n N l L D E 1 f S Z x d W 9 0 O y w m c X V v d D t T Z W N 0 a W 9 u M S 9 J b m N v b W V T d G F 0 Z W 1 l b n Q v Q 2 h h b m d l Z C B U e X B l L n t J b n R l c m V z d E V 4 c G V u c 2 V O b 2 5 P c G V y Y X R p b m c s M T Z 9 J n F 1 b 3 Q 7 L C Z x d W 9 0 O 1 N l Y 3 R p b 2 4 x L 0 l u Y 2 9 t Z V N 0 Y X R l b W V u d C 9 D a G F u Z 2 V k I F R 5 c G U u e 0 l u d G V y Z X N 0 S W 5 j b 2 1 l L D E 3 f S Z x d W 9 0 O y w m c X V v d D t T Z W N 0 a W 9 u M S 9 J b m N v b W V T d G F 0 Z W 1 l b n Q v Q 2 h h b m d l Z C B U e X B l L n t J b n R l c m V z d E l u Y 2 9 t Z U 5 v b k 9 w Z X J h d G l u Z y w x O H 0 m c X V v d D s s J n F 1 b 3 Q 7 U 2 V j d G l v b j E v S W 5 j b 2 1 l U 3 R h d G V t Z W 5 0 L 0 N o Y W 5 n Z W Q g V H l w Z S 5 7 T W l u b 3 J p d H l J b n R l c m V z d H M s N T h 9 J n F 1 b 3 Q 7 L C Z x d W 9 0 O 1 N l Y 3 R p b 2 4 x L 0 l u Y 2 9 t Z V N 0 Y X R l b W V u d C 9 D a G F u Z 2 V k I F R 5 c G U u e 0 5 l d E l u Y 2 9 t Z S w x O X 0 m c X V v d D s s J n F 1 b 3 Q 7 U 2 V j d G l v b j E v S W 5 j b 2 1 l U 3 R h d G V t Z W 5 0 L 0 N o Y W 5 n Z W Q g V H l w Z S 5 7 T m V 0 S W 5 j b 2 1 l Q 2 9 t b W 9 u U 3 R v Y 2 t o b 2 x k Z X J z L D I w f S Z x d W 9 0 O y w m c X V v d D t T Z W N 0 a W 9 u M S 9 J b m N v b W V T d G F 0 Z W 1 l b n Q v Q 2 h h b m d l Z C B U e X B l L n t O Z X R J b m N v b W V D b 2 5 0 a W 5 1 b 3 V z T 3 B l c m F 0 a W 9 u c y w y M X 0 m c X V v d D s s J n F 1 b 3 Q 7 U 2 V j d G l v b j E v S W 5 j b 2 1 l U 3 R h d G V t Z W 5 0 L 0 N o Y W 5 n Z W Q g V H l w Z S 5 7 T m V 0 S W 5 j b 2 1 l R n J v b U N v b n R p b n V p b m d B b m R E a X N j b 2 5 0 a W 5 1 Z W R P c G V y Y X R p b 2 4 s M j J 9 J n F 1 b 3 Q 7 L C Z x d W 9 0 O 1 N l Y 3 R p b 2 4 x L 0 l u Y 2 9 t Z V N 0 Y X R l b W V u d C 9 D a G F u Z 2 V k I F R 5 c G U u e 0 5 l d E l u Y 2 9 t Z U Z y b 2 1 D b 2 5 0 a W 5 1 a W 5 n T 3 B l c m F 0 a W 9 u T m V 0 T W l u b 3 J p d H l J b n R l c m V z d C w y M 3 0 m c X V v d D s s J n F 1 b 3 Q 7 U 2 V j d G l v b j E v S W 5 j b 2 1 l U 3 R h d G V t Z W 5 0 L 0 N o Y W 5 n Z W Q g V H l w Z S 5 7 T m V 0 S W 5 j b 2 1 l S W 5 j b H V k a W 5 n T m 9 u Y 2 9 u d H J v b G x p b m d J b n R l c m V z d H M s M j R 9 J n F 1 b 3 Q 7 L C Z x d W 9 0 O 1 N l Y 3 R p b 2 4 x L 0 l u Y 2 9 t Z V N 0 Y X R l b W V u d C 9 D a G F u Z 2 V k I F R 5 c G U u e 0 5 l d E l u d G V y Z X N 0 S W 5 j b 2 1 l L D I 1 f S Z x d W 9 0 O y w m c X V v d D t T Z W N 0 a W 9 u M S 9 J b m N v b W V T d G F 0 Z W 1 l b n Q v Q 2 h h b m d l Z C B U e X B l L n t O Z X R O b 2 5 P c G V y Y X R p b m d J b n R l c m V z d E l u Y 2 9 t Z U V 4 c G V u c 2 U s M j Z 9 J n F 1 b 3 Q 7 L C Z x d W 9 0 O 1 N l Y 3 R p b 2 4 x L 0 l u Y 2 9 t Z V N 0 Y X R l b W V u d C 9 D a G F u Z 2 V k I F R 5 c G U u e 0 5 v c m 1 h b G l 6 Z W R F Q k l U R E E s M j d 9 J n F 1 b 3 Q 7 L C Z x d W 9 0 O 1 N l Y 3 R p b 2 4 x L 0 l u Y 2 9 t Z V N 0 Y X R l b W V u d C 9 D a G F u Z 2 V k I F R 5 c G U u e 0 5 v c m 1 h b G l 6 Z W R J b m N v b W U s M j h 9 J n F 1 b 3 Q 7 L C Z x d W 9 0 O 1 N l Y 3 R p b 2 4 x L 0 l u Y 2 9 t Z V N 0 Y X R l b W V u d C 9 D a G F u Z 2 V k I F R 5 c G U u e 0 9 w Z X J h d G l u Z 0 V 4 c G V u c 2 U s M j l 9 J n F 1 b 3 Q 7 L C Z x d W 9 0 O 1 N l Y 3 R p b 2 4 x L 0 l u Y 2 9 t Z V N 0 Y X R l b W V u d C 9 D a G F u Z 2 V k I F R 5 c G U u e 0 9 w Z X J h d G l u Z 0 l u Y 2 9 t Z S w z M H 0 m c X V v d D s s J n F 1 b 3 Q 7 U 2 V j d G l v b j E v S W 5 j b 2 1 l U 3 R h d G V t Z W 5 0 L 0 N o Y W 5 n Z W Q g V H l w Z S 5 7 T 3 B l c m F 0 a W 5 n U m V 2 Z W 5 1 Z S w z M X 0 m c X V v d D s s J n F 1 b 3 Q 7 U 2 V j d G l v b j E v S W 5 j b 2 1 l U 3 R h d G V t Z W 5 0 L 0 N o Y W 5 n Z W Q g V H l w Z S 5 7 T 3 R o Z X J H Y W 5 k Q S w z M n 0 m c X V v d D s s J n F 1 b 3 Q 7 U 2 V j d G l v b j E v S W 5 j b 2 1 l U 3 R h d G V t Z W 5 0 L 0 N o Y W 5 n Z W Q g V H l w Z S 5 7 T 3 R o Z X J J b m N v b W V F e H B l b n N l L D M z f S Z x d W 9 0 O y w m c X V v d D t T Z W N 0 a W 9 u M S 9 J b m N v b W V T d G F 0 Z W 1 l b n Q v Q 2 h h b m d l Z C B U e X B l L n t P d G h l c k 5 v b k 9 w Z X J h d G l u Z 0 l u Y 2 9 t Z U V 4 c G V u c 2 V z L D M 0 f S Z x d W 9 0 O y w m c X V v d D t T Z W N 0 a W 9 u M S 9 J b m N v b W V T d G F 0 Z W 1 l b n Q v Q 2 h h b m d l Z C B U e X B l L n t P d G h l c k 9 w Z X J h d G l u Z 0 V 4 c G V u c 2 V z L D U 5 f S Z x d W 9 0 O y w m c X V v d D t T Z W N 0 a W 9 u M S 9 J b m N v b W V T d G F 0 Z W 1 l b n Q v Q 2 h h b m d l Z C B U e X B l L n t P d G h l c n V u Z G V y U H J l Z m V y c m V k U 3 R v Y 2 t E a X Z p Z G V u Z C w 2 O X 0 m c X V v d D s s J n F 1 b 3 Q 7 U 2 V j d G l v b j E v S W 5 j b 2 1 l U 3 R h d G V t Z W 5 0 L 0 N o Y W 5 n Z W Q g V H l w Z S 5 7 U H J l d G F 4 S W 5 j b 2 1 l L D M 2 f S Z x d W 9 0 O y w m c X V v d D t T Z W N 0 a W 9 u M S 9 J b m N v b W V T d G F 0 Z W 1 l b n Q v Q 2 h h b m d l Z C B U e X B l L n t S Z W N v b m N p b G V k Q 2 9 z d E 9 m U m V 2 Z W 5 1 Z S w z N 3 0 m c X V v d D s s J n F 1 b 3 Q 7 U 2 V j d G l v b j E v S W 5 j b 2 1 l U 3 R h d G V t Z W 5 0 L 0 N o Y W 5 n Z W Q g V H l w Z S 5 7 U m V j b 2 5 j a W x l Z E R l c H J l Y 2 l h d G l v b i w z O H 0 m c X V v d D s s J n F 1 b 3 Q 7 U 2 V j d G l v b j E v S W 5 j b 2 1 l U 3 R h d G V t Z W 5 0 L 0 N o Y W 5 n Z W Q g V H l w Z S 5 7 U m V z Z W F y Y 2 h B b m R E Z X Z l b G 9 w b W V u d C w z O X 0 m c X V v d D s s J n F 1 b 3 Q 7 U 2 V j d G l v b j E v S W 5 j b 2 1 l U 3 R h d G V t Z W 5 0 L 0 N o Y W 5 n Z W Q g V H l w Z S 5 7 U 2 V s b G l u Z 0 F u Z E 1 h c m t l d G l u Z 0 V 4 c G V u c 2 U s N D F 9 J n F 1 b 3 Q 7 L C Z x d W 9 0 O 1 N l Y 3 R p b 2 4 x L 0 l u Y 2 9 t Z V N 0 Y X R l b W V u d C 9 D a G F u Z 2 V k I F R 5 c G U u e 1 N l b G x p b m d H Z W 5 l c m F s Q W 5 k Q W R t a W 5 p c 3 R y Y X R p b 2 4 s N D J 9 J n F 1 b 3 Q 7 L C Z x d W 9 0 O 1 N l Y 3 R p b 2 4 x L 0 l u Y 2 9 t Z V N 0 Y X R l b W V u d C 9 D a G F u Z 2 V k I F R 5 c G U u e 1 N w Z W N p Y W x J b m N v b W V D a G F y Z 2 V z L D Q z f S Z x d W 9 0 O y w m c X V v d D t T Z W N 0 a W 9 u M S 9 J b m N v b W V T d G F 0 Z W 1 l b n Q v Q 2 h h b m d l Z C B U e X B l L n t U Y X h F Z m Z l Y 3 R P Z l V u d X N 1 Y W x J d G V t c y w 0 N H 0 m c X V v d D s s J n F 1 b 3 Q 7 U 2 V j d G l v b j E v S W 5 j b 2 1 l U 3 R h d G V t Z W 5 0 L 0 N o Y W 5 n Z W Q g V H l w Z S 5 7 V G F 4 U H J v d m l z a W 9 u L D Q 1 f S Z x d W 9 0 O y w m c X V v d D t T Z W N 0 a W 9 u M S 9 J b m N v b W V T d G F 0 Z W 1 l b n Q v Q 2 h h b m d l Z C B U e X B l L n t U Y X h S Y X R l R m 9 y Q 2 F s Y 3 M s N D Z 9 J n F 1 b 3 Q 7 L C Z x d W 9 0 O 1 N l Y 3 R p b 2 4 x L 0 l u Y 2 9 t Z V N 0 Y X R l b W V u d C 9 Q c m 9 t b 3 R l Z C B I Z W F k Z X J z L n t U b 3 R h b E 9 0 a G V y R m l u Y W 5 j Z U N v c 3 Q s N T R 9 J n F 1 b 3 Q 7 L C Z x d W 9 0 O 1 N l Y 3 R p b 2 4 x L 0 l u Y 2 9 t Z V N 0 Y X R l b W V u d C 9 D a G F u Z 2 V k I F R 5 c G U u e 1 R v d G F s R X h w Z W 5 z Z X M s N D d 9 J n F 1 b 3 Q 7 L C Z x d W 9 0 O 1 N l Y 3 R p b 2 4 x L 0 l u Y 2 9 t Z V N 0 Y X R l b W V u d C 9 D a G F u Z 2 V k I F R 5 c G U u e 1 R v d G F s T 3 B l c m F 0 a W 5 n S W 5 j b 2 1 l Q X N S Z X B v c n R l Z C w 0 O H 0 m c X V v d D s s J n F 1 b 3 Q 7 U 2 V j d G l v b j E v S W 5 j b 2 1 l U 3 R h d G V t Z W 5 0 L 0 N o Y W 5 n Z W Q g V H l w Z S 5 7 V G 9 0 Y W x S Z X Z l b n V l L D Q 5 f S Z x d W 9 0 O y w m c X V v d D t T Z W N 0 a W 9 u M S 9 J b m N v b W V T d G F 0 Z W 1 l b n Q v Q 2 h h b m d l Z C B U e X B l L n t U b 3 R h b F V u d X N 1 Y W x J d G V t c y w 1 M H 0 m c X V v d D s s J n F 1 b 3 Q 7 U 2 V j d G l v b j E v S W 5 j b 2 1 l U 3 R h d G V t Z W 5 0 L 0 N o Y W 5 n Z W Q g V H l w Z S 5 7 V G 9 0 Y W x V b n V z d W F s S X R l b X N F e G N s d W R p b m d H b 2 9 k d 2 l s b C w 1 M X 0 m c X V v d D s s J n F 1 b 3 Q 7 U 2 V j d G l v b j E v S W 5 j b 2 1 l U 3 R h d G V t Z W 5 0 L 0 N o Y W 5 n Z W Q g V H l w Z S 5 7 V 3 J p d G V P Z m Y s N T d 9 J n F 1 b 3 Q 7 L C Z x d W 9 0 O 1 N l Y 3 R p b 2 4 x L 0 l u Y 2 9 t Z V N 0 Y X R l b W V u d C 9 D a G F u Z 2 V k I F R 5 c G U u e 0 5 l d E l u Y 2 9 t Z U R p c 2 N v b n R p b n V v d X N P c G V y Y X R p b 2 5 z L D c w f S Z x d W 9 0 O y w m c X V v d D t T Z W N 0 a W 9 u M S 9 J b m N v b W V T d G F 0 Z W 1 l b n Q v U H J v b W 9 0 Z W Q g S G V h Z G V y c y 5 7 R G V w c m V j a W F 0 a W 9 u S W 5 j b 2 1 l U 3 R h d G V t Z W 5 0 L D Y y f S Z x d W 9 0 O y w m c X V v d D t T Z W N 0 a W 9 u M S 9 J b m N v b W V T d G F 0 Z W 1 l b n Q v Q 2 h h b m d l Z C B U e X B l L n t F Y X J u a W 5 n c 0 Z y b 2 1 F c X V p d H l J b n R l c m V z d C w 3 M X 0 m c X V v d D s s J n F 1 b 3 Q 7 U 2 V j d G l v b j E v S W 5 j b 2 1 l U 3 R h d G V t Z W 5 0 L 0 N o Y W 5 n Z W Q g V H l w Z S 5 7 S W 1 w Y W l y b W V u d E 9 m Q 2 F w a X R h b E F z c 2 V 0 c y w 1 M 3 0 m c X V v d D s s J n F 1 b 3 Q 7 U 2 V j d G l v b j E v S W 5 j b 2 1 l U 3 R h d G V t Z W 5 0 L 1 B y b 2 1 v d G V k I E h l Y W R l c n M u e 0 l u c 3 V y Y W 5 j Z U F u Z E N s Y W l t c y w 2 N X 0 m c X V v d D s s J n F 1 b 3 Q 7 U 2 V j d G l v b j E v S W 5 j b 2 1 l U 3 R h d G V t Z W 5 0 L 0 N o Y W 5 n Z W Q g V H l w Z S 5 7 U H J l Z m V y c m V k U 3 R v Y 2 t E a X Z p Z G V u Z H M s N z J 9 J n F 1 b 3 Q 7 L C Z x d W 9 0 O 1 N l Y 3 R p b 2 4 x L 0 l u Y 2 9 t Z V N 0 Y X R l b W V u d C 9 Q c m 9 t b 3 R l Z C B I Z W F k Z X J z L n t h c 0 9 m W W V h c i w 2 N 3 0 m c X V v d D s s J n F 1 b 3 Q 7 U 2 V j d G l v b j E v S W 5 j b 2 1 l U 3 R h d G V t Z W 5 0 L 0 N o Y W 5 n Z W Q g V H l w Z S 5 7 Q W 1 v c n R p e m F 0 a W 9 u L D Y z f S Z x d W 9 0 O y w m c X V v d D t T Z W N 0 a W 9 u M S 9 J b m N v b W V T d G F 0 Z W 1 l b n Q v Q 2 h h b m d l Z C B U e X B l L n t B b W 9 y d G l 6 Y X R p b 2 5 P Z k l u d G F u Z 2 l i b G V z S W 5 j b 2 1 l U 3 R h d G V t Z W 5 0 L D Y 0 f S Z x d W 9 0 O y w m c X V v d D t T Z W N 0 a W 9 u M S 9 J b m N v b W V T d G F 0 Z W 1 l b n Q v Q 2 h h b m d l Z C B U e X B l L n t P d G h l c l N w Z W N p Y W x D a G F y Z 2 V z L D M 1 f S Z x d W 9 0 O y w m c X V v d D t T Z W N 0 a W 9 u M S 9 J b m N v b W V T d G F 0 Z W 1 l b n Q v Q 2 h h b m d l Z C B U e X B l L n t P d G h l c l R h e G V z L D c z f S Z x d W 9 0 O y w m c X V v d D t T Z W N 0 a W 9 u M S 9 J b m N v b W V T d G F 0 Z W 1 l b n Q v Q 2 h h b m d l Z C B U e X B l L n t S Z X N 0 c n V j d H V y a W 5 n Q W 5 k T W V y Z 2 V y b k F j c X V p c 2 l 0 a W 9 u L D U 2 f S Z x d W 9 0 O y w m c X V v d D t T Z W N 0 a W 9 u M S 9 J b m N v b W V T d G F 0 Z W 1 l b n Q v Q 2 h h b m d l Z C B U e X B l L n t H Y W l u T 2 5 T Y W x l T 2 Z Q U E U s N z R 9 J n F 1 b 3 Q 7 L C Z x d W 9 0 O 1 N l Y 3 R p b 2 4 x L 0 l u Y 2 9 t Z V N 0 Y X R l b W V u d C 9 D a G F u Z 2 V k I F R 5 c G U u e 1 B y b 3 Z p c 2 l v b k Z v c k R v d W J 0 Z n V s Q W N j b 3 V u d H M s N z V 9 J n F 1 b 3 Q 7 L C Z x d W 9 0 O 1 N l Y 3 R p b 2 4 x L 0 l u Y 2 9 t Z V N 0 Y X R l b W V u d C 9 D a G F u Z 2 V k I F R 5 c G U u e 1 N h b G F y a W V z Q W 5 k V 2 F n Z X M s N D B 9 J n F 1 b 3 Q 7 L C Z x d W 9 0 O 1 N l Y 3 R p b 2 4 x L 0 l u Y 2 9 t Z V N 0 Y X R l b W V u d C 9 D a G F u Z 2 V k I F R 5 c G U u e 1 J l b n R B b m R M Y W 5 k a W 5 n R m V l c y w 3 N n 0 m c X V v d D s s J n F 1 b 3 Q 7 U 2 V j d G l v b j E v S W 5 j b 2 1 l U 3 R h d G V t Z W 5 0 L 0 N o Y W 5 n Z W Q g V H l w Z S 5 7 U m V u d E V 4 c G V u c 2 V T d X B w b G V t Z W 5 0 Y W w s N z d 9 J n F 1 b 3 Q 7 L C Z x d W 9 0 O 1 N l Y 3 R p b 2 4 x L 0 l u Y 2 9 t Z V N 0 Y X R l b W V u d C 9 D a G F u Z 2 V k I F R 5 c G U u e 1 R p Y 2 t l c i w 2 N n 0 m c X V v d D t d L C Z x d W 9 0 O 0 N v b H V t b k N v d W 5 0 J n F 1 b 3 Q 7 O j c 5 L C Z x d W 9 0 O 0 t l e U N v b H V t b k 5 h b W V z J n F 1 b 3 Q 7 O l t d L C Z x d W 9 0 O 0 N v b H V t b k l k Z W 5 0 a X R p Z X M m c X V v d D s 6 W y Z x d W 9 0 O 1 N l Y 3 R p b 2 4 x L 0 l u Y 2 9 t Z V N 0 Y X R l b W V u d C 9 D a G F u Z 2 V k I F R 5 c G U u e 2 l k L D B 9 J n F 1 b 3 Q 7 L C Z x d W 9 0 O 1 N l Y 3 R p b 2 4 x L 0 l u Y 2 9 t Z V N 0 Y X R l b W V u d C 9 D a G F u Z 2 V k I F R 5 c G U u e 2 F z T 2 Z E Y X R l L D F 9 J n F 1 b 3 Q 7 L C Z x d W 9 0 O 1 N l Y 3 R p b 2 4 x L 0 l u Y 2 9 t Z V N 0 Y X R l b W V u d C 9 J b n N l c n R l Z C B Z Z W F y L n t Z Z W F y L D c 4 f S Z x d W 9 0 O y w m c X V v d D t T Z W N 0 a W 9 u M S 9 J b m N v b W V T d G F 0 Z W 1 l b n Q v Q 2 h h b m d l Z C B U e X B l L n t w Z X J p b 2 R U e X B l L D J 9 J n F 1 b 3 Q 7 L C Z x d W 9 0 O 1 N l Y 3 R p b 2 4 x L 0 l u Y 2 9 t Z V N 0 Y X R l b W V u d C 9 D a G F u Z 2 V k I F R 5 c G U u e 2 N 1 c n J l b m N 5 Q 2 9 k Z S w z f S Z x d W 9 0 O y w m c X V v d D t T Z W N 0 a W 9 u M S 9 J b m N v b W V T d G F 0 Z W 1 l b n Q v Q 2 h h b m d l Z C B U e X B l L n t B d m V y Y W d l R G l s d X R p b 2 5 F Y X J u a W 5 n c y w 1 M n 0 m c X V v d D s s J n F 1 b 3 Q 7 U 2 V j d G l v b j E v S W 5 j b 2 1 l U 3 R h d G V t Z W 5 0 L 0 N o Y W 5 n Z W Q g V H l w Z S 5 7 Q m F z a W N B d m V y Y W d l U 2 h h c m V z L D R 9 J n F 1 b 3 Q 7 L C Z x d W 9 0 O 1 N l Y 3 R p b 2 4 x L 0 l u Y 2 9 t Z V N 0 Y X R l b W V u d C 9 D a G F u Z 2 V k I F R 5 c G U u e 0 J h c 2 l j R V B T L D V 9 J n F 1 b 3 Q 7 L C Z x d W 9 0 O 1 N l Y 3 R p b 2 4 x L 0 l u Y 2 9 t Z V N 0 Y X R l b W V u d C 9 D a G F u Z 2 V k I F R 5 c G U u e 0 N v c 3 R P Z l J l d m V u d W U s N n 0 m c X V v d D s s J n F 1 b 3 Q 7 U 2 V j d G l v b j E v S W 5 j b 2 1 l U 3 R h d G V t Z W 5 0 L 0 N o Y W 5 n Z W Q g V H l w Z S 5 7 R G V w c m V j a W F 0 a W 9 u Q W 1 v c n R p e m F 0 a W 9 u R G V w b G V 0 a W 9 u S W 5 j b 2 1 l U 3 R h d G V t Z W 5 0 L D Y w f S Z x d W 9 0 O y w m c X V v d D t T Z W N 0 a W 9 u M S 9 J b m N v b W V T d G F 0 Z W 1 l b n Q v Q 2 h h b m d l Z C B U e X B l L n t E Z X B y Z W N p Y X R p b 2 5 B b m R B b W 9 y d G l 6 Y X R p b 2 5 J b k l u Y 2 9 t Z V N 0 Y X R l b W V u d C w 2 M X 0 m c X V v d D s s J n F 1 b 3 Q 7 U 2 V j d G l v b j E v S W 5 j b 2 1 l U 3 R h d G V t Z W 5 0 L 0 N o Y W 5 n Z W Q g V H l w Z S 5 7 R G l s d X R l Z E F 2 Z X J h Z 2 V T a G F y Z X M s N 3 0 m c X V v d D s s J n F 1 b 3 Q 7 U 2 V j d G l v b j E v S W 5 j b 2 1 l U 3 R h d G V t Z W 5 0 L 0 N o Y W 5 n Z W Q g V H l w Z S 5 7 R G l s d X R l Z E V Q U y w 4 f S Z x d W 9 0 O y w m c X V v d D t T Z W N 0 a W 9 u M S 9 J b m N v b W V T d G F 0 Z W 1 l b n Q v Q 2 h h b m d l Z C B U e X B l L n t E a W x 1 d G V k T k l B d m F p b H R v Q 2 9 t U 3 R v Y 2 t o b 2 x k Z X J z L D l 9 J n F 1 b 3 Q 7 L C Z x d W 9 0 O 1 N l Y 3 R p b 2 4 x L 0 l u Y 2 9 t Z V N 0 Y X R l b W V u d C 9 D a G F u Z 2 V k I F R 5 c G U u e 0 V C S V Q s M T B 9 J n F 1 b 3 Q 7 L C Z x d W 9 0 O 1 N l Y 3 R p b 2 4 x L 0 l u Y 2 9 t Z V N 0 Y X R l b W V u d C 9 D a G F u Z 2 V k I F R 5 c G U u e 0 V C S V R E Q S w x M X 0 m c X V v d D s s J n F 1 b 3 Q 7 U 2 V j d G l v b j E v S W 5 j b 2 1 l U 3 R h d G V t Z W 5 0 L 0 N o Y W 5 n Z W Q g V H l w Z S 5 7 R W F y b m l u Z 3 N G c m 9 t R X F 1 a X R 5 S W 5 0 Z X J l c 3 R O Z X R P Z l R h e C w 2 O H 0 m c X V v d D s s J n F 1 b 3 Q 7 U 2 V j d G l v b j E v S W 5 j b 2 1 l U 3 R h d G V t Z W 5 0 L 0 N o Y W 5 n Z W Q g V H l w Z S 5 7 R 2 F p b k 9 u U 2 F s Z U 9 m Q n V z a W 5 l c 3 M s N T V 9 J n F 1 b 3 Q 7 L C Z x d W 9 0 O 1 N l Y 3 R p b 2 4 x L 0 l u Y 2 9 t Z V N 0 Y X R l b W V u d C 9 D a G F u Z 2 V k I F R 5 c G U u e 0 d h a W 5 P b l N h b G V P Z l N l Y 3 V y a X R 5 L D E y f S Z x d W 9 0 O y w m c X V v d D t T Z W N 0 a W 9 u M S 9 J b m N v b W V T d G F 0 Z W 1 l b n Q v Q 2 h h b m d l Z C B U e X B l L n t H Z W 5 l c m F s Q W 5 k Q W R t a W 5 p c 3 R y Y X R p d m V F e H B l b n N l L D E z f S Z x d W 9 0 O y w m c X V v d D t T Z W N 0 a W 9 u M S 9 J b m N v b W V T d G F 0 Z W 1 l b n Q v Q 2 h h b m d l Z C B U e X B l L n t H c m 9 z c 1 B y b 2 Z p d C w x N H 0 m c X V v d D s s J n F 1 b 3 Q 7 U 2 V j d G l v b j E v S W 5 j b 2 1 l U 3 R h d G V t Z W 5 0 L 0 N o Y W 5 n Z W Q g V H l w Z S 5 7 S W 5 0 Z X J l c 3 R F e H B l b n N l L D E 1 f S Z x d W 9 0 O y w m c X V v d D t T Z W N 0 a W 9 u M S 9 J b m N v b W V T d G F 0 Z W 1 l b n Q v Q 2 h h b m d l Z C B U e X B l L n t J b n R l c m V z d E V 4 c G V u c 2 V O b 2 5 P c G V y Y X R p b m c s M T Z 9 J n F 1 b 3 Q 7 L C Z x d W 9 0 O 1 N l Y 3 R p b 2 4 x L 0 l u Y 2 9 t Z V N 0 Y X R l b W V u d C 9 D a G F u Z 2 V k I F R 5 c G U u e 0 l u d G V y Z X N 0 S W 5 j b 2 1 l L D E 3 f S Z x d W 9 0 O y w m c X V v d D t T Z W N 0 a W 9 u M S 9 J b m N v b W V T d G F 0 Z W 1 l b n Q v Q 2 h h b m d l Z C B U e X B l L n t J b n R l c m V z d E l u Y 2 9 t Z U 5 v b k 9 w Z X J h d G l u Z y w x O H 0 m c X V v d D s s J n F 1 b 3 Q 7 U 2 V j d G l v b j E v S W 5 j b 2 1 l U 3 R h d G V t Z W 5 0 L 0 N o Y W 5 n Z W Q g V H l w Z S 5 7 T W l u b 3 J p d H l J b n R l c m V z d H M s N T h 9 J n F 1 b 3 Q 7 L C Z x d W 9 0 O 1 N l Y 3 R p b 2 4 x L 0 l u Y 2 9 t Z V N 0 Y X R l b W V u d C 9 D a G F u Z 2 V k I F R 5 c G U u e 0 5 l d E l u Y 2 9 t Z S w x O X 0 m c X V v d D s s J n F 1 b 3 Q 7 U 2 V j d G l v b j E v S W 5 j b 2 1 l U 3 R h d G V t Z W 5 0 L 0 N o Y W 5 n Z W Q g V H l w Z S 5 7 T m V 0 S W 5 j b 2 1 l Q 2 9 t b W 9 u U 3 R v Y 2 t o b 2 x k Z X J z L D I w f S Z x d W 9 0 O y w m c X V v d D t T Z W N 0 a W 9 u M S 9 J b m N v b W V T d G F 0 Z W 1 l b n Q v Q 2 h h b m d l Z C B U e X B l L n t O Z X R J b m N v b W V D b 2 5 0 a W 5 1 b 3 V z T 3 B l c m F 0 a W 9 u c y w y M X 0 m c X V v d D s s J n F 1 b 3 Q 7 U 2 V j d G l v b j E v S W 5 j b 2 1 l U 3 R h d G V t Z W 5 0 L 0 N o Y W 5 n Z W Q g V H l w Z S 5 7 T m V 0 S W 5 j b 2 1 l R n J v b U N v b n R p b n V p b m d B b m R E a X N j b 2 5 0 a W 5 1 Z W R P c G V y Y X R p b 2 4 s M j J 9 J n F 1 b 3 Q 7 L C Z x d W 9 0 O 1 N l Y 3 R p b 2 4 x L 0 l u Y 2 9 t Z V N 0 Y X R l b W V u d C 9 D a G F u Z 2 V k I F R 5 c G U u e 0 5 l d E l u Y 2 9 t Z U Z y b 2 1 D b 2 5 0 a W 5 1 a W 5 n T 3 B l c m F 0 a W 9 u T m V 0 T W l u b 3 J p d H l J b n R l c m V z d C w y M 3 0 m c X V v d D s s J n F 1 b 3 Q 7 U 2 V j d G l v b j E v S W 5 j b 2 1 l U 3 R h d G V t Z W 5 0 L 0 N o Y W 5 n Z W Q g V H l w Z S 5 7 T m V 0 S W 5 j b 2 1 l S W 5 j b H V k a W 5 n T m 9 u Y 2 9 u d H J v b G x p b m d J b n R l c m V z d H M s M j R 9 J n F 1 b 3 Q 7 L C Z x d W 9 0 O 1 N l Y 3 R p b 2 4 x L 0 l u Y 2 9 t Z V N 0 Y X R l b W V u d C 9 D a G F u Z 2 V k I F R 5 c G U u e 0 5 l d E l u d G V y Z X N 0 S W 5 j b 2 1 l L D I 1 f S Z x d W 9 0 O y w m c X V v d D t T Z W N 0 a W 9 u M S 9 J b m N v b W V T d G F 0 Z W 1 l b n Q v Q 2 h h b m d l Z C B U e X B l L n t O Z X R O b 2 5 P c G V y Y X R p b m d J b n R l c m V z d E l u Y 2 9 t Z U V 4 c G V u c 2 U s M j Z 9 J n F 1 b 3 Q 7 L C Z x d W 9 0 O 1 N l Y 3 R p b 2 4 x L 0 l u Y 2 9 t Z V N 0 Y X R l b W V u d C 9 D a G F u Z 2 V k I F R 5 c G U u e 0 5 v c m 1 h b G l 6 Z W R F Q k l U R E E s M j d 9 J n F 1 b 3 Q 7 L C Z x d W 9 0 O 1 N l Y 3 R p b 2 4 x L 0 l u Y 2 9 t Z V N 0 Y X R l b W V u d C 9 D a G F u Z 2 V k I F R 5 c G U u e 0 5 v c m 1 h b G l 6 Z W R J b m N v b W U s M j h 9 J n F 1 b 3 Q 7 L C Z x d W 9 0 O 1 N l Y 3 R p b 2 4 x L 0 l u Y 2 9 t Z V N 0 Y X R l b W V u d C 9 D a G F u Z 2 V k I F R 5 c G U u e 0 9 w Z X J h d G l u Z 0 V 4 c G V u c 2 U s M j l 9 J n F 1 b 3 Q 7 L C Z x d W 9 0 O 1 N l Y 3 R p b 2 4 x L 0 l u Y 2 9 t Z V N 0 Y X R l b W V u d C 9 D a G F u Z 2 V k I F R 5 c G U u e 0 9 w Z X J h d G l u Z 0 l u Y 2 9 t Z S w z M H 0 m c X V v d D s s J n F 1 b 3 Q 7 U 2 V j d G l v b j E v S W 5 j b 2 1 l U 3 R h d G V t Z W 5 0 L 0 N o Y W 5 n Z W Q g V H l w Z S 5 7 T 3 B l c m F 0 a W 5 n U m V 2 Z W 5 1 Z S w z M X 0 m c X V v d D s s J n F 1 b 3 Q 7 U 2 V j d G l v b j E v S W 5 j b 2 1 l U 3 R h d G V t Z W 5 0 L 0 N o Y W 5 n Z W Q g V H l w Z S 5 7 T 3 R o Z X J H Y W 5 k Q S w z M n 0 m c X V v d D s s J n F 1 b 3 Q 7 U 2 V j d G l v b j E v S W 5 j b 2 1 l U 3 R h d G V t Z W 5 0 L 0 N o Y W 5 n Z W Q g V H l w Z S 5 7 T 3 R o Z X J J b m N v b W V F e H B l b n N l L D M z f S Z x d W 9 0 O y w m c X V v d D t T Z W N 0 a W 9 u M S 9 J b m N v b W V T d G F 0 Z W 1 l b n Q v Q 2 h h b m d l Z C B U e X B l L n t P d G h l c k 5 v b k 9 w Z X J h d G l u Z 0 l u Y 2 9 t Z U V 4 c G V u c 2 V z L D M 0 f S Z x d W 9 0 O y w m c X V v d D t T Z W N 0 a W 9 u M S 9 J b m N v b W V T d G F 0 Z W 1 l b n Q v Q 2 h h b m d l Z C B U e X B l L n t P d G h l c k 9 w Z X J h d G l u Z 0 V 4 c G V u c 2 V z L D U 5 f S Z x d W 9 0 O y w m c X V v d D t T Z W N 0 a W 9 u M S 9 J b m N v b W V T d G F 0 Z W 1 l b n Q v Q 2 h h b m d l Z C B U e X B l L n t P d G h l c n V u Z G V y U H J l Z m V y c m V k U 3 R v Y 2 t E a X Z p Z G V u Z C w 2 O X 0 m c X V v d D s s J n F 1 b 3 Q 7 U 2 V j d G l v b j E v S W 5 j b 2 1 l U 3 R h d G V t Z W 5 0 L 0 N o Y W 5 n Z W Q g V H l w Z S 5 7 U H J l d G F 4 S W 5 j b 2 1 l L D M 2 f S Z x d W 9 0 O y w m c X V v d D t T Z W N 0 a W 9 u M S 9 J b m N v b W V T d G F 0 Z W 1 l b n Q v Q 2 h h b m d l Z C B U e X B l L n t S Z W N v b m N p b G V k Q 2 9 z d E 9 m U m V 2 Z W 5 1 Z S w z N 3 0 m c X V v d D s s J n F 1 b 3 Q 7 U 2 V j d G l v b j E v S W 5 j b 2 1 l U 3 R h d G V t Z W 5 0 L 0 N o Y W 5 n Z W Q g V H l w Z S 5 7 U m V j b 2 5 j a W x l Z E R l c H J l Y 2 l h d G l v b i w z O H 0 m c X V v d D s s J n F 1 b 3 Q 7 U 2 V j d G l v b j E v S W 5 j b 2 1 l U 3 R h d G V t Z W 5 0 L 0 N o Y W 5 n Z W Q g V H l w Z S 5 7 U m V z Z W F y Y 2 h B b m R E Z X Z l b G 9 w b W V u d C w z O X 0 m c X V v d D s s J n F 1 b 3 Q 7 U 2 V j d G l v b j E v S W 5 j b 2 1 l U 3 R h d G V t Z W 5 0 L 0 N o Y W 5 n Z W Q g V H l w Z S 5 7 U 2 V s b G l u Z 0 F u Z E 1 h c m t l d G l u Z 0 V 4 c G V u c 2 U s N D F 9 J n F 1 b 3 Q 7 L C Z x d W 9 0 O 1 N l Y 3 R p b 2 4 x L 0 l u Y 2 9 t Z V N 0 Y X R l b W V u d C 9 D a G F u Z 2 V k I F R 5 c G U u e 1 N l b G x p b m d H Z W 5 l c m F s Q W 5 k Q W R t a W 5 p c 3 R y Y X R p b 2 4 s N D J 9 J n F 1 b 3 Q 7 L C Z x d W 9 0 O 1 N l Y 3 R p b 2 4 x L 0 l u Y 2 9 t Z V N 0 Y X R l b W V u d C 9 D a G F u Z 2 V k I F R 5 c G U u e 1 N w Z W N p Y W x J b m N v b W V D a G F y Z 2 V z L D Q z f S Z x d W 9 0 O y w m c X V v d D t T Z W N 0 a W 9 u M S 9 J b m N v b W V T d G F 0 Z W 1 l b n Q v Q 2 h h b m d l Z C B U e X B l L n t U Y X h F Z m Z l Y 3 R P Z l V u d X N 1 Y W x J d G V t c y w 0 N H 0 m c X V v d D s s J n F 1 b 3 Q 7 U 2 V j d G l v b j E v S W 5 j b 2 1 l U 3 R h d G V t Z W 5 0 L 0 N o Y W 5 n Z W Q g V H l w Z S 5 7 V G F 4 U H J v d m l z a W 9 u L D Q 1 f S Z x d W 9 0 O y w m c X V v d D t T Z W N 0 a W 9 u M S 9 J b m N v b W V T d G F 0 Z W 1 l b n Q v Q 2 h h b m d l Z C B U e X B l L n t U Y X h S Y X R l R m 9 y Q 2 F s Y 3 M s N D Z 9 J n F 1 b 3 Q 7 L C Z x d W 9 0 O 1 N l Y 3 R p b 2 4 x L 0 l u Y 2 9 t Z V N 0 Y X R l b W V u d C 9 Q c m 9 t b 3 R l Z C B I Z W F k Z X J z L n t U b 3 R h b E 9 0 a G V y R m l u Y W 5 j Z U N v c 3 Q s N T R 9 J n F 1 b 3 Q 7 L C Z x d W 9 0 O 1 N l Y 3 R p b 2 4 x L 0 l u Y 2 9 t Z V N 0 Y X R l b W V u d C 9 D a G F u Z 2 V k I F R 5 c G U u e 1 R v d G F s R X h w Z W 5 z Z X M s N D d 9 J n F 1 b 3 Q 7 L C Z x d W 9 0 O 1 N l Y 3 R p b 2 4 x L 0 l u Y 2 9 t Z V N 0 Y X R l b W V u d C 9 D a G F u Z 2 V k I F R 5 c G U u e 1 R v d G F s T 3 B l c m F 0 a W 5 n S W 5 j b 2 1 l Q X N S Z X B v c n R l Z C w 0 O H 0 m c X V v d D s s J n F 1 b 3 Q 7 U 2 V j d G l v b j E v S W 5 j b 2 1 l U 3 R h d G V t Z W 5 0 L 0 N o Y W 5 n Z W Q g V H l w Z S 5 7 V G 9 0 Y W x S Z X Z l b n V l L D Q 5 f S Z x d W 9 0 O y w m c X V v d D t T Z W N 0 a W 9 u M S 9 J b m N v b W V T d G F 0 Z W 1 l b n Q v Q 2 h h b m d l Z C B U e X B l L n t U b 3 R h b F V u d X N 1 Y W x J d G V t c y w 1 M H 0 m c X V v d D s s J n F 1 b 3 Q 7 U 2 V j d G l v b j E v S W 5 j b 2 1 l U 3 R h d G V t Z W 5 0 L 0 N o Y W 5 n Z W Q g V H l w Z S 5 7 V G 9 0 Y W x V b n V z d W F s S X R l b X N F e G N s d W R p b m d H b 2 9 k d 2 l s b C w 1 M X 0 m c X V v d D s s J n F 1 b 3 Q 7 U 2 V j d G l v b j E v S W 5 j b 2 1 l U 3 R h d G V t Z W 5 0 L 0 N o Y W 5 n Z W Q g V H l w Z S 5 7 V 3 J p d G V P Z m Y s N T d 9 J n F 1 b 3 Q 7 L C Z x d W 9 0 O 1 N l Y 3 R p b 2 4 x L 0 l u Y 2 9 t Z V N 0 Y X R l b W V u d C 9 D a G F u Z 2 V k I F R 5 c G U u e 0 5 l d E l u Y 2 9 t Z U R p c 2 N v b n R p b n V v d X N P c G V y Y X R p b 2 5 z L D c w f S Z x d W 9 0 O y w m c X V v d D t T Z W N 0 a W 9 u M S 9 J b m N v b W V T d G F 0 Z W 1 l b n Q v U H J v b W 9 0 Z W Q g S G V h Z G V y c y 5 7 R G V w c m V j a W F 0 a W 9 u S W 5 j b 2 1 l U 3 R h d G V t Z W 5 0 L D Y y f S Z x d W 9 0 O y w m c X V v d D t T Z W N 0 a W 9 u M S 9 J b m N v b W V T d G F 0 Z W 1 l b n Q v Q 2 h h b m d l Z C B U e X B l L n t F Y X J u a W 5 n c 0 Z y b 2 1 F c X V p d H l J b n R l c m V z d C w 3 M X 0 m c X V v d D s s J n F 1 b 3 Q 7 U 2 V j d G l v b j E v S W 5 j b 2 1 l U 3 R h d G V t Z W 5 0 L 0 N o Y W 5 n Z W Q g V H l w Z S 5 7 S W 1 w Y W l y b W V u d E 9 m Q 2 F w a X R h b E F z c 2 V 0 c y w 1 M 3 0 m c X V v d D s s J n F 1 b 3 Q 7 U 2 V j d G l v b j E v S W 5 j b 2 1 l U 3 R h d G V t Z W 5 0 L 1 B y b 2 1 v d G V k I E h l Y W R l c n M u e 0 l u c 3 V y Y W 5 j Z U F u Z E N s Y W l t c y w 2 N X 0 m c X V v d D s s J n F 1 b 3 Q 7 U 2 V j d G l v b j E v S W 5 j b 2 1 l U 3 R h d G V t Z W 5 0 L 0 N o Y W 5 n Z W Q g V H l w Z S 5 7 U H J l Z m V y c m V k U 3 R v Y 2 t E a X Z p Z G V u Z H M s N z J 9 J n F 1 b 3 Q 7 L C Z x d W 9 0 O 1 N l Y 3 R p b 2 4 x L 0 l u Y 2 9 t Z V N 0 Y X R l b W V u d C 9 Q c m 9 t b 3 R l Z C B I Z W F k Z X J z L n t h c 0 9 m W W V h c i w 2 N 3 0 m c X V v d D s s J n F 1 b 3 Q 7 U 2 V j d G l v b j E v S W 5 j b 2 1 l U 3 R h d G V t Z W 5 0 L 0 N o Y W 5 n Z W Q g V H l w Z S 5 7 Q W 1 v c n R p e m F 0 a W 9 u L D Y z f S Z x d W 9 0 O y w m c X V v d D t T Z W N 0 a W 9 u M S 9 J b m N v b W V T d G F 0 Z W 1 l b n Q v Q 2 h h b m d l Z C B U e X B l L n t B b W 9 y d G l 6 Y X R p b 2 5 P Z k l u d G F u Z 2 l i b G V z S W 5 j b 2 1 l U 3 R h d G V t Z W 5 0 L D Y 0 f S Z x d W 9 0 O y w m c X V v d D t T Z W N 0 a W 9 u M S 9 J b m N v b W V T d G F 0 Z W 1 l b n Q v Q 2 h h b m d l Z C B U e X B l L n t P d G h l c l N w Z W N p Y W x D a G F y Z 2 V z L D M 1 f S Z x d W 9 0 O y w m c X V v d D t T Z W N 0 a W 9 u M S 9 J b m N v b W V T d G F 0 Z W 1 l b n Q v Q 2 h h b m d l Z C B U e X B l L n t P d G h l c l R h e G V z L D c z f S Z x d W 9 0 O y w m c X V v d D t T Z W N 0 a W 9 u M S 9 J b m N v b W V T d G F 0 Z W 1 l b n Q v Q 2 h h b m d l Z C B U e X B l L n t S Z X N 0 c n V j d H V y a W 5 n Q W 5 k T W V y Z 2 V y b k F j c X V p c 2 l 0 a W 9 u L D U 2 f S Z x d W 9 0 O y w m c X V v d D t T Z W N 0 a W 9 u M S 9 J b m N v b W V T d G F 0 Z W 1 l b n Q v Q 2 h h b m d l Z C B U e X B l L n t H Y W l u T 2 5 T Y W x l T 2 Z Q U E U s N z R 9 J n F 1 b 3 Q 7 L C Z x d W 9 0 O 1 N l Y 3 R p b 2 4 x L 0 l u Y 2 9 t Z V N 0 Y X R l b W V u d C 9 D a G F u Z 2 V k I F R 5 c G U u e 1 B y b 3 Z p c 2 l v b k Z v c k R v d W J 0 Z n V s Q W N j b 3 V u d H M s N z V 9 J n F 1 b 3 Q 7 L C Z x d W 9 0 O 1 N l Y 3 R p b 2 4 x L 0 l u Y 2 9 t Z V N 0 Y X R l b W V u d C 9 D a G F u Z 2 V k I F R 5 c G U u e 1 N h b G F y a W V z Q W 5 k V 2 F n Z X M s N D B 9 J n F 1 b 3 Q 7 L C Z x d W 9 0 O 1 N l Y 3 R p b 2 4 x L 0 l u Y 2 9 t Z V N 0 Y X R l b W V u d C 9 D a G F u Z 2 V k I F R 5 c G U u e 1 J l b n R B b m R M Y W 5 k a W 5 n R m V l c y w 3 N n 0 m c X V v d D s s J n F 1 b 3 Q 7 U 2 V j d G l v b j E v S W 5 j b 2 1 l U 3 R h d G V t Z W 5 0 L 0 N o Y W 5 n Z W Q g V H l w Z S 5 7 U m V u d E V 4 c G V u c 2 V T d X B w b G V t Z W 5 0 Y W w s N z d 9 J n F 1 b 3 Q 7 L C Z x d W 9 0 O 1 N l Y 3 R p b 2 4 x L 0 l u Y 2 9 t Z V N 0 Y X R l b W V u d C 9 D a G F u Z 2 V k I F R 5 c G U u e 1 R p Y 2 t l c i w 2 N n 0 m c X V v d D t d L C Z x d W 9 0 O 1 J l b G F 0 a W 9 u c 2 h p c E l u Z m 8 m c X V v d D s 6 W 1 1 9 I i A v P j w v U 3 R h Y m x l R W 5 0 c m l l c z 4 8 L 0 l 0 Z W 0 + P E l 0 Z W 0 + P E l 0 Z W 1 M b 2 N h d G l v b j 4 8 S X R l b V R 5 c G U + R m 9 y b X V s Y T w v S X R l b V R 5 c G U + P E l 0 Z W 1 Q Y X R o P l N l Y 3 R p b 2 4 x L 0 l u Y 2 9 t Z V N 0 Y X R l b W V u d C 9 T b 3 V y Y 2 U 8 L 0 l 0 Z W 1 Q Y X R o P j w v S X R l b U x v Y 2 F 0 a W 9 u P j x T d G F i b G V F b n R y a W V z I C 8 + P C 9 J d G V t P j x J d G V t P j x J d G V t T G 9 j Y X R p b 2 4 + P E l 0 Z W 1 U e X B l P k Z v c m 1 1 b G E 8 L 0 l 0 Z W 1 U e X B l P j x J d G V t U G F 0 a D 5 T Z W N 0 a W 9 u M S 9 J b m N v b W V T d G F 0 Z W 1 l b n Q v S W 5 j b 2 1 l U 3 R h d G V t Z W 5 0 X 1 N o Z W V 0 P C 9 J d G V t U G F 0 a D 4 8 L 0 l 0 Z W 1 M b 2 N h d G l v b j 4 8 U 3 R h Y m x l R W 5 0 c m l l c y A v P j w v S X R l b T 4 8 S X R l b T 4 8 S X R l b U x v Y 2 F 0 a W 9 u P j x J d G V t V H l w Z T 5 G b 3 J t d W x h P C 9 J d G V t V H l w Z T 4 8 S X R l b V B h d G g + U 2 V j d G l v b j E v S W 5 j b 2 1 l U 3 R h d G V t Z W 5 0 L 1 B y b 2 1 v d G V k J T I w S G V h Z G V y c z w v S X R l b V B h d G g + P C 9 J d G V t T G 9 j Y X R p b 2 4 + P F N 0 Y W J s Z U V u d H J p Z X M g L z 4 8 L 0 l 0 Z W 0 + P E l 0 Z W 0 + P E l 0 Z W 1 M b 2 N h d G l v b j 4 8 S X R l b V R 5 c G U + R m 9 y b X V s Y T w v S X R l b V R 5 c G U + P E l 0 Z W 1 Q Y X R o P l N l Y 3 R p b 2 4 x L 0 l u Y 2 9 t Z V N 0 Y X R l b W V u d C 9 D a G F u Z 2 V k J T I w V H l w Z T w v S X R l b V B h d G g + P C 9 J d G V t T G 9 j Y X R p b 2 4 + P F N 0 Y W J s Z U V u d H J p Z X M g L z 4 8 L 0 l 0 Z W 0 + P E l 0 Z W 0 + P E l 0 Z W 1 M b 2 N h d G l v b j 4 8 S X R l b V R 5 c G U + R m 9 y b X V s Y T w v S X R l b V R 5 c G U + P E l 0 Z W 1 Q Y X R o P l N l Y 3 R p b 2 4 x L 0 J h b G F u Y 2 V T a G V l d D w v S X R l b V B h d G g + P C 9 J d G V t T G 9 j Y X R p b 2 4 + P F N 0 Y W J s Z U V u d H J p Z X M + P E V u d H J 5 I F R 5 c G U 9 I k l z U H J p d m F 0 Z S I g V m F s d W U 9 I m w w I i A v P j x F b n R y e S B U e X B l P S J R d W V y e U l E I i B W Y W x 1 Z T 0 i c z Q z O D Z i N j E z L W Y 5 M 2 E t N G I 0 Y i 1 h N D M 2 L W M 3 O G U 1 N G U w M 2 I z 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F s Y W 5 j Z V N o Z W V 0 I i A v P j x F b n R y e S B U e X B l P S J G a W x s Z W R D b 2 1 w b G V 0 Z V J l c 3 V s d F R v V 2 9 y a 3 N o Z W V 0 I i B W Y W x 1 Z T 0 i b D E i I C 8 + P E V u d H J 5 I F R 5 c G U 9 I k Z p b G x F c n J v c k N v Z G U i I F Z h b H V l P S J z V W 5 r b m 9 3 b i I g L z 4 8 R W 5 0 c n k g V H l w Z T 0 i R m l s b E V y c m 9 y Q 2 9 1 b n Q i I F Z h b H V l P S J s M C I g L z 4 8 R W 5 0 c n k g V H l w Z T 0 i R m l s b E N v d W 5 0 I i B W Y W x 1 Z T 0 i b D U w I i A v P j x F b n R y e S B U e X B l P S J B Z G R l Z F R v R G F 0 Y U 1 v Z G V s I i B W Y W x 1 Z T 0 i b D A i I C 8 + P E V u d H J 5 I F R 5 c G U 9 I k Z p b G x M Y X N 0 V X B k Y X R l Z C I g V m F s d W U 9 I m Q y M D I 0 L T A 5 L T A 5 V D I z O j U 5 O j A 2 L j M z O T E 5 O D d a I i A v P j x F b n R y e S B U e X B l P S J G a W x s Q 2 9 s d W 1 u V H l w Z X M i I F Z h b H V l P S J z Q m d r R E J n W U R B d 0 1 E Q X d N R E F 3 T U R B d 0 1 E Q X d N R E F 3 T U R B d 0 1 E Q X d N R E F 3 T U R B d 0 1 E Q X d N R E F 3 T U R B d 0 1 E Q X d N R E F 3 T U R B d 0 1 E Q X d N R E F 3 T U R B d 0 1 E Q X d N R E F 3 T U R B d 0 1 E Q X d N R E F 3 T U R B d 0 1 E Q X d N R E F 3 T U R B d 0 1 E Q X d N Q U F 3 T U R B d 0 F E Q X d B R E F B T U R B d 0 1 B Q X d N R E F 3 T U R B d 0 1 E Q X d N R E F 3 T U R B d 0 1 E Q X d N R E F 3 T U R C Z z 0 9 I i A v P j x F b n R y e S B U e X B l P S J G a W x s Q 2 9 s d W 1 u T m F t Z X M i I F Z h b H V l P S J z W y Z x d W 9 0 O 2 l k J n F 1 b 3 Q 7 L C Z x d W 9 0 O 2 F z T 2 Z E Y X R l J n F 1 b 3 Q 7 L C Z x d W 9 0 O 1 l l Y X I m c X V v d D s s J n F 1 b 3 Q 7 c G V y a W 9 k V H l w Z S Z x d W 9 0 O y w m c X V v d D t j d X J y Z W 5 j e U N v Z G U m c X V v d D s s J n F 1 b 3 Q 7 Q W N j b 3 V u d H N Q Y X l h Y m x l J n F 1 b 3 Q 7 L C Z x d W 9 0 O 0 F j Y 2 9 1 b n R z U m V j Z W l 2 Y W J s Z S Z x d W 9 0 O y w m c X V v d D t B Y 2 N 1 b X V s Y X R l Z E R l c H J l Y 2 l h d G l v b i Z x d W 9 0 O y w m c X V v d D t B Z G R p d G l v b m F s U G F p Z E l u Q 2 F w a X R h b C Z x d W 9 0 O y w m c X V v d D t B b G x v d 2 F u Y 2 V G b 3 J E b 3 V i d G Z 1 b E F j Y 2 9 1 b n R z U m V j Z W l 2 Y W J s Z S Z x d W 9 0 O y w m c X V v d D t B c 3 N l d H N I Z W x k R m 9 y U 2 F s Z U N 1 c n J l b n Q m c X V v d D s s J n F 1 b 3 Q 7 Q X Z h a W x h Y m x l R m 9 y U 2 F s Z V N l Y 3 V y a X R p Z X M m c X V v d D s s J n F 1 b 3 Q 7 Q n V p b G R p b m d z Q W 5 k S W 1 w c m 9 2 Z W 1 l b n R z J n F 1 b 3 Q 7 L C Z x d W 9 0 O 0 N h c G l 0 Y W x M Z W F z Z U 9 i b G l n Y X R p b 2 5 z J n F 1 b 3 Q 7 L C Z x d W 9 0 O 0 N h c G l 0 Y W x T d G 9 j a y Z x d W 9 0 O y w m c X V v d D t D Y X N o Q W 5 k Q 2 F z a E V x d W l 2 Y W x l b n R z J n F 1 b 3 Q 7 L C Z x d W 9 0 O 0 N h c 2 h D Y X N o R X F 1 a X Z h b G V u d H N B b m R T a G 9 y d F R l c m 1 J b n Z l c 3 R t Z W 5 0 c y Z x d W 9 0 O y w m c X V v d D t D b 2 1 t b 2 5 T d G 9 j a y Z x d W 9 0 O y w m c X V v d D t D b 2 1 t b 2 5 T d G 9 j a 0 V x d W l 0 e S Z x d W 9 0 O y w m c X V v d D t D b 2 5 z d H J 1 Y 3 R p b 2 5 J b l B y b 2 d y Z X N z J n F 1 b 3 Q 7 L C Z x d W 9 0 O 0 N 1 c n J l b n R B Y 2 N y d W V k R X h w Z W 5 z Z X M m c X V v d D s s J n F 1 b 3 Q 7 Q 3 V y c m V u d E F z c 2 V 0 c y Z x d W 9 0 O y w m c X V v d D t D d X J y Z W 5 0 Q 2 F w a X R h b E x l Y X N l T 2 J s a W d h d G l v b i Z x d W 9 0 O y w m c X V v d D t D d X J y Z W 5 0 R G V i d C Z x d W 9 0 O y w m c X V v d D t D d X J y Z W 5 0 R G V i d E F u Z E N h c G l 0 Y W x M Z W F z Z U 9 i b G l n Y X R p b 2 4 m c X V v d D s s J n F 1 b 3 Q 7 Q 3 V y c m V u d E x p Y W J p b G l 0 a W V z J n F 1 b 3 Q 7 L C Z x d W 9 0 O 0 N 1 c n J l b n R Q c m 9 2 a X N p b 2 5 z J n F 1 b 3 Q 7 L C Z x d W 9 0 O 0 d h a W 5 z T G 9 z c 2 V z T m 9 0 Q W Z m Z W N 0 a W 5 n U m V 0 Y W l u Z W R F Y X J u a W 5 n c y Z x d W 9 0 O y w m c X V v d D t H b 2 9 k d 2 l s b C Z x d W 9 0 O y w m c X V v d D t H b 2 9 k d 2 l s b E F u Z E 9 0 a G V y S W 5 0 Y W 5 n a W J s Z U F z c 2 V 0 c y Z x d W 9 0 O y w m c X V v d D t H c m 9 z c 0 F j Y 2 9 1 b n R z U m V j Z W l 2 Y W J s Z S Z x d W 9 0 O y w m c X V v d D t H c m 9 z c 1 B Q R S Z x d W 9 0 O y w m c X V v d D t I Z W x k V G 9 N Y X R 1 c m l 0 e V N l Y 3 V y a X R p Z X M m c X V v d D s s J n F 1 b 3 Q 7 S W 5 j b 2 1 l V G F 4 U G F 5 Y W J s Z S Z x d W 9 0 O y w m c X V v d D t J b n R l c m V z d F B h e W F i b G U m c X V v d D s s J n F 1 b 3 Q 7 S W 5 2 Z X N 0 Z W R D Y X B p d G F s J n F 1 b 3 Q 7 L C Z x d W 9 0 O 0 l u d m V z d G 1 l b n R p b k Z p b m F u Y 2 l h b E F z c 2 V 0 c y Z x d W 9 0 O y w m c X V v d D t J b n Z l c 3 R t Z W 5 0 c 0 F u Z E F k d m F u Y 2 V z J n F 1 b 3 Q 7 L C Z x d W 9 0 O 0 x h b m R B b m R J b X B y b 3 Z l b W V u d H M m c X V v d D s s J n F 1 b 3 Q 7 T G V h c 2 V z J n F 1 b 3 Q 7 L C Z x d W 9 0 O 0 x v b m d U Z X J t Q 2 F w a X R h b E x l Y X N l T 2 J s a W d h d G l v b i Z x d W 9 0 O y w m c X V v d D t M b 2 5 n V G V y b U R l Y n Q m c X V v d D s s J n F 1 b 3 Q 7 T G 9 u Z 1 R l c m 1 E Z W J 0 Q W 5 k Q 2 F w a X R h b E x l Y X N l T 2 J s a W d h d G l v b i Z x d W 9 0 O y w m c X V v d D t M b 2 5 n V G V y b U V x d W l 0 e U l u d m V z d G 1 l b n Q m c X V v d D s s J n F 1 b 3 Q 7 T G 9 u Z 1 R l c m 1 Q c m 9 2 a X N p b 2 5 z J n F 1 b 3 Q 7 L C Z x d W 9 0 O 0 1 h Y 2 h p b m V y e U Z 1 c m 5 p d H V y Z U V x d W l w b W V u d C Z x d W 9 0 O y w m c X V v d D t N a W 5 v c m l 0 e U l u d G V y Z X N 0 J n F 1 b 3 Q 7 L C Z x d W 9 0 O 0 5 l d E R l Y n Q m c X V v d D s s J n F 1 b 3 Q 7 T m V 0 U F B F J n F 1 b 3 Q 7 L C Z x d W 9 0 O 0 5 l d F R h b m d p Y m x l Q X N z Z X R z J n F 1 b 3 Q 7 L C Z x d W 9 0 O 0 5 v b k N 1 c n J l b n R E Z W Z l c n J l Z E x p Y W J p b G l 0 a W V z J n F 1 b 3 Q 7 L C Z x d W 9 0 O 0 5 v b k N 1 c n J l b n R E Z W Z l c n J l Z F R h e G V z T G l h Y m l s a X R p Z X M m c X V v d D s s J n F 1 b 3 Q 7 T m 9 u Q 3 V y c m V u d E 5 v d G V S Z W N l a X Z h Y m x l c y Z x d W 9 0 O y w m c X V v d D t P c m R p b m F y e V N o Y X J l c 0 5 1 b W J l c i Z x d W 9 0 O y w m c X V v d D t P d G h l c k N 1 c n J l b n R B c 3 N l d H M m c X V v d D s s J n F 1 b 3 Q 7 T 3 R o Z X J D d X J y Z W 5 0 Q m 9 y c m 9 3 a W 5 n c y Z x d W 9 0 O y w m c X V v d D t P d G h l c k N 1 c n J l b n R M a W F i a W x p d G l l c y Z x d W 9 0 O y w m c X V v d D t P d G h l c k V x d W l 0 e U F k a n V z d G 1 l b n R z J n F 1 b 3 Q 7 L C Z x d W 9 0 O 0 9 0 a G V y S W 5 0 Y W 5 n a W J s Z U F z c 2 V 0 c y Z x d W 9 0 O y w m c X V v d D t P d G h l c k 5 v b k N 1 c n J l b n R B c 3 N l d H M m c X V v d D s s J n F 1 b 3 Q 7 T 3 R o Z X J O b 2 5 D d X J y Z W 5 0 T G l h Y m l s a X R p Z X M m c X V v d D s s J n F 1 b 3 Q 7 T 3 R o Z X J Q Y X l h Y m x l J n F 1 b 3 Q 7 L C Z x d W 9 0 O 0 9 0 a G V y U H J v c G V y d G l l c y Z x d W 9 0 O y w m c X V v d D t P d G h l c l J l Y 2 V p d m F i b G V z J n F 1 b 3 Q 7 L C Z x d W 9 0 O 0 9 0 a G V y U 2 h v c n R U Z X J t S W 5 2 Z X N 0 b W V u d H M m c X V v d D s s J n F 1 b 3 Q 7 U G F 5 Y W J s Z X M m c X V v d D s s J n F 1 b 3 Q 7 U G F 5 Y W J s Z X N B b m R B Y 2 N y d W V k R X h w Z W 5 z Z X M m c X V v d D s s J n F 1 b 3 Q 7 U G V u c 2 l v b m F u Z E 9 0 a G V y U G 9 z d F J l d G l y Z W 1 l b n R C Z W 5 l Z m l 0 U G x h b n N D d X J y Z W 5 0 J n F 1 b 3 Q 7 L C Z x d W 9 0 O 1 B y Z W Z l c n J l Z F N l Y 3 V y a X R p Z X N P d X R z a W R l U 3 R v Y 2 t F c X V p d H k m c X V v d D s s J n F 1 b 3 Q 7 U H J l c G F p Z E F z c 2 V 0 c y Z x d W 9 0 O y w m c X V v d D t Q c m 9 w Z X J 0 a W V z J n F 1 b 3 Q 7 L C Z x d W 9 0 O 1 J l Y 2 V p d m F i b G V z J n F 1 b 3 Q 7 L C Z x d W 9 0 O 1 J l c 3 R y a W N 0 Z W R D Y X N o J n F 1 b 3 Q 7 L C Z x d W 9 0 O 1 J l d G F p b m V k R W F y b m l u Z 3 M m c X V v d D s s J n F 1 b 3 Q 7 U 2 h h c m V J c 3 N 1 Z W Q m c X V v d D s s J n F 1 b 3 Q 7 U 3 R v Y 2 t o b 2 x k Z X J z R X F 1 a X R 5 J n F 1 b 3 Q 7 L C Z x d W 9 0 O 1 R h b m d p Y m x l Q m 9 v a 1 Z h b H V l J n F 1 b 3 Q 7 L C Z x d W 9 0 O 1 R v d G F s Q X N z Z X R z J n F 1 b 3 Q 7 L C Z x d W 9 0 O 1 R v d G F s Q 2 F w a X R h b G l 6 Y X R p b 2 4 m c X V v d D s s J n F 1 b 3 Q 7 V G 9 0 Y W x E Z W J 0 J n F 1 b 3 Q 7 L C Z x d W 9 0 O 1 R v d G F s R X F 1 a X R 5 R 3 J v c 3 N N a W 5 v c m l 0 e U l u d G V y Z X N 0 J n F 1 b 3 Q 7 L C Z x d W 9 0 O 1 R v d G F s T G l h Y m l s a X R p Z X N O Z X R N a W 5 v c m l 0 e U l u d G V y Z X N 0 J n F 1 b 3 Q 7 L C Z x d W 9 0 O 1 R v d G F s T m 9 u Q 3 V y c m V u d E F z c 2 V 0 c y Z x d W 9 0 O y w m c X V v d D t U b 3 R h b E 5 v b k N 1 c n J l b n R M a W F i a W x p d G l l c 0 5 l d E 1 p b m 9 y a X R 5 S W 5 0 Z X J l c 3 Q m c X V v d D s s J n F 1 b 3 Q 7 V G 9 0 Y W x U Y X h Q Y X l h Y m x l J n F 1 b 3 Q 7 L C Z x d W 9 0 O 1 R y Y W R l Y W 5 k T 3 R o Z X J Q Y X l h Y m x l c 0 5 v b k N 1 c n J l b n Q m c X V v d D s s J n F 1 b 3 Q 7 V 2 9 y a 2 l u Z 0 N h c G l 0 Y W w m c X V v d D s s J n F 1 b 3 Q 7 Q 3 V y c m V u d E R l Z m V y c m V k T G l h Y m l s a X R p Z X M m c X V v d D s s J n F 1 b 3 Q 7 Q 3 V y c m V u d E R l Z m V y c m V k U m V 2 Z W 5 1 Z S Z x d W 9 0 O y w m c X V v d D t F b X B s b 3 l l Z U J l b m V m a X R z J n F 1 b 3 Q 7 L C Z x d W 9 0 O 0 Z p b m l z a G V k R 2 9 v Z H M m c X V v d D s s J n F 1 b 3 Q 7 S W 5 2 Z W 5 0 b 3 J 5 J n F 1 b 3 Q 7 L C Z x d W 9 0 O 0 l u d m V z d G 1 l b n R Q c m 9 w Z X J 0 a W V z J n F 1 b 3 Q 7 L C Z x d W 9 0 O 0 5 v b k N 1 c n J l b n R E Z W Z l c n J l Z E F z c 2 V 0 c y Z x d W 9 0 O y w m c X V v d D t O b 2 5 D d X J y Z W 5 0 R G V m Z X J y Z W R U Y X h l c 0 F z c 2 V 0 c y Z x d W 9 0 O y w m c X V v d D t O b 2 5 D d X J y Z W 5 0 U G V u c 2 l v b k F u Z E 9 0 a G V y U G 9 z d H J l d G l y Z W 1 l b n R C Z W 5 l Z m l 0 U G x h b n M m c X V v d D s s J n F 1 b 3 Q 7 U m F 3 T W F 0 Z X J p Y W x z J n F 1 b 3 Q 7 L C Z x d W 9 0 O 1 B y Z W Z l c n J l Z F N 0 b 2 N r R X F 1 a X R 5 J n F 1 b 3 Q 7 L C Z x d W 9 0 O 1 d v c m t J b l B y b 2 N l c 3 M m c X V v d D s s J n F 1 b 3 Q 7 Q 2 F z a E V x d W l 2 Y W x l b n R z J n F 1 b 3 Q 7 L C Z x d W 9 0 O 0 R 1 Z W Z y b 2 1 S Z W x h d G V k U G F y d G l l c 0 N 1 c n J l b n Q m c X V v d D s s J n F 1 b 3 Q 7 Q 2 F z a E Z p b m F u Y 2 l h b C Z x d W 9 0 O y w m c X V v d D t E d W V m c m 9 t U m V s Y X R l Z F B h c n R p Z X N O b 2 5 D d X J y Z W 5 0 J n F 1 b 3 Q 7 L C Z x d W 9 0 O 0 h l Z G d p b m d B c 3 N l d H N D d X J y Z W 5 0 J n F 1 b 3 Q 7 L C Z x d W 9 0 O 0 5 v b k N 1 c n J l b n R E Z W Z l c n J l Z F J l d m V u d W U m c X V v d D s s J n F 1 b 3 Q 7 Q 2 9 t b W V y Y 2 l h b F B h c G V y J n F 1 b 3 Q 7 L C Z x d W 9 0 O 0 N 1 c n J l b n R O b 3 R l c 1 B h e W F i b G U m c X V v d D s s J n F 1 b 3 Q 7 Y X N P Z l l l Y X I m c X V v d D s s J n F 1 b 3 Q 7 R G l 2 a W R l b m R z U G F 5 Y W J s Z S Z x d W 9 0 O y w m c X V v d D t G b 3 J l a W d u Q 3 V y c m V u Y 3 l U c m F u c 2 x h d G l v b k F k a n V z d G 1 l b n R z J n F 1 b 3 Q 7 L C Z x d W 9 0 O 0 l u d m V z d G 1 l b n R z a W 5 B c 3 N v Y 2 l h d G V z Y X R D b 3 N 0 J n F 1 b 3 Q 7 L C Z x d W 9 0 O 0 x p b m V P Z k N y Z W R p d C Z x d W 9 0 O y w m c X V v d D t N a W 5 p b X V t U G V u c 2 l v b k x p Y W J p b G l 0 a W V z J n F 1 b 3 Q 7 L C Z x d W 9 0 O 1 B y Z W Z l c n J l Z F N o Y X J l c 0 5 1 b W J l c i Z x d W 9 0 O y w m c X V v d D t Q c m V m Z X J y Z W R T d G 9 j a y Z x d W 9 0 O y w m c X V v d D t U c m V h c 3 V y e V N o Y X J l c 0 5 1 b W J l c i Z x d W 9 0 O y w m c X V v d D t U c m V h c 3 V y e V N 0 b 2 N r J n F 1 b 3 Q 7 L C Z x d W 9 0 O 1 V u c m V h b G l 6 Z W R H Y W l u T G 9 z c y Z x d W 9 0 O y w m c X V v d D t E Z W Z p b m V k U G V u c 2 l v b k J l b m V m a X Q m c X V v d D s s J n F 1 b 3 Q 7 T m 9 u Q 3 V y c m V u d E F j Y 2 9 1 b n R z U m V j Z W l 2 Y W J s Z S Z x d W 9 0 O y w m c X V v d D t P d G h l c k l u d m V u d G 9 y a W V z J n F 1 b 3 Q 7 L C Z x d W 9 0 O 0 9 0 a G V y S W 5 2 Z X N 0 b W V u d H M m c X V v d D s s J n F 1 b 3 Q 7 V G F 4 Z X N S Z W N l a X Z h Y m x l J n F 1 b 3 Q 7 L C Z x d W 9 0 O 0 N 1 c n J l b n R E Z W Z l c n J l Z E F z c 2 V 0 c y Z x d W 9 0 O y w m c X V v d D t E Z X J p d m F 0 a X Z l U H J v Z H V j d E x p Y W J p b G l 0 a W V z J n F 1 b 3 Q 7 L C Z x d W 9 0 O 0 Z p b m F u Y 2 l h b E F z c 2 V 0 c y Z x d W 9 0 O y w m c X V v d D t J b n Z l c 3 R t Z W 5 0 c 0 l u T 3 R o Z X J W Z W 5 0 d X J l c 1 V u Z G V y R X F 1 a X R 5 T W V 0 a G 9 k J n F 1 b 3 Q 7 L C Z x d W 9 0 O 0 x p Y W J p b G l 0 a W V z S G V s Z G Z v c l N h b G V O b 2 5 D d X J y Z W 5 0 J n F 1 b 3 Q 7 L C Z x d W 9 0 O 0 5 v b k N 1 c n J l b n R B Y 2 N y d W V k R X h w Z W 5 z Z X M m c X V v d D s s J n F 1 b 3 Q 7 T m 9 u Q 3 V y c m V u d F B y Z X B h a W R B c 3 N l d H M m c X V v d D s s J n F 1 b 3 Q 7 T 3 R o Z X J F c X V p d H l J b n R l c m V z d C Z x d W 9 0 O y w m c X V v d D t J b n Z l b n R v c m l l c 0 F k a n V z d G 1 l b n R z Q W x s b 3 d h b m N l c y Z x d W 9 0 O y w m c X V v d D t U a W N r Z X I m c X V v d D t d I i A v P j x F b n R y e S B U e X B l P S J G a W x s U 3 R h d H V z I i B W Y W x 1 Z T 0 i c 0 N v b X B s Z X R l I i A v P j x F b n R y e S B U e X B l P S J S Z W x h d G l v b n N o a X B J b m Z v Q 2 9 u d G F p b m V y I i B W Y W x 1 Z T 0 i c 3 s m c X V v d D t j b 2 x 1 b W 5 D b 3 V u d C Z x d W 9 0 O z o x M z M s J n F 1 b 3 Q 7 a 2 V 5 Q 2 9 s d W 1 u T m F t Z X M m c X V v d D s 6 W 1 0 s J n F 1 b 3 Q 7 c X V l c n l S Z W x h d G l v b n N o a X B z J n F 1 b 3 Q 7 O l t d L C Z x d W 9 0 O 2 N v b H V t b k l k Z W 5 0 a X R p Z X M m c X V v d D s 6 W y Z x d W 9 0 O 1 N l Y 3 R p b 2 4 x L 0 J h b G F u Y 2 V T a G V l d C 9 D a G F u Z 2 V k I F R 5 c G U u e 2 l k L D B 9 J n F 1 b 3 Q 7 L C Z x d W 9 0 O 1 N l Y 3 R p b 2 4 x L 0 J h b G F u Y 2 V T a G V l d C 9 D a G F u Z 2 V k I F R 5 c G U u e 2 F z T 2 Z E Y X R l L D F 9 J n F 1 b 3 Q 7 L C Z x d W 9 0 O 1 N l Y 3 R p b 2 4 x L 0 J h b G F u Y 2 V T a G V l d C 9 J b n N l c n R l Z C B Z Z W F y L n t Z Z W F y L D E z M n 0 m c X V v d D s s J n F 1 b 3 Q 7 U 2 V j d G l v b j E v Q m F s Y W 5 j Z V N o Z W V 0 L 0 N o Y W 5 n Z W Q g V H l w Z S 5 7 c G V y a W 9 k V H l w Z S w y f S Z x d W 9 0 O y w m c X V v d D t T Z W N 0 a W 9 u M S 9 C Y W x h b m N l U 2 h l Z X Q v Q 2 h h b m d l Z C B U e X B l L n t j d X J y Z W 5 j e U N v Z G U s M 3 0 m c X V v d D s s J n F 1 b 3 Q 7 U 2 V j d G l v b j E v Q m F s Y W 5 j Z V N o Z W V 0 L 0 N o Y W 5 n Z W Q g V H l w Z S 5 7 Q W N j b 3 V u d H N Q Y X l h Y m x l L D R 9 J n F 1 b 3 Q 7 L C Z x d W 9 0 O 1 N l Y 3 R p b 2 4 x L 0 J h b G F u Y 2 V T a G V l d C 9 D a G F u Z 2 V k I F R 5 c G U u e 0 F j Y 2 9 1 b n R z U m V j Z W l 2 Y W J s Z S w 1 f S Z x d W 9 0 O y w m c X V v d D t T Z W N 0 a W 9 u M S 9 C Y W x h b m N l U 2 h l Z X Q v Q 2 h h b m d l Z C B U e X B l L n t B Y 2 N 1 b X V s Y X R l Z E R l c H J l Y 2 l h d G l v b i w 2 f S Z x d W 9 0 O y w m c X V v d D t T Z W N 0 a W 9 u M S 9 C Y W x h b m N l U 2 h l Z X Q v Q 2 h h b m d l Z C B U e X B l L n t B Z G R p d G l v b m F s U G F p Z E l u Q 2 F w a X R h b C w 3 f S Z x d W 9 0 O y w m c X V v d D t T Z W N 0 a W 9 u M S 9 C Y W x h b m N l U 2 h l Z X Q v Q 2 h h b m d l Z C B U e X B l L n t B b G x v d 2 F u Y 2 V G b 3 J E b 3 V i d G Z 1 b E F j Y 2 9 1 b n R z U m V j Z W l 2 Y W J s Z S w 4 f S Z x d W 9 0 O y w m c X V v d D t T Z W N 0 a W 9 u M S 9 C Y W x h b m N l U 2 h l Z X Q v Q 2 h h b m d l Z C B U e X B l L n t B c 3 N l d H N I Z W x k R m 9 y U 2 F s Z U N 1 c n J l b n Q s M T A 1 f S Z x d W 9 0 O y w m c X V v d D t T Z W N 0 a W 9 u M S 9 C Y W x h b m N l U 2 h l Z X Q v Q 2 h h b m d l Z C B U e X B l L n t B d m F p b G F i b G V G b 3 J T Y W x l U 2 V j d X J p d G l l c y w 5 M X 0 m c X V v d D s s J n F 1 b 3 Q 7 U 2 V j d G l v b j E v Q m F s Y W 5 j Z V N o Z W V 0 L 0 N o Y W 5 n Z W Q g V H l w Z S 5 7 Q n V p b G R p b m d z Q W 5 k S W 1 w c m 9 2 Z W 1 l b n R z L D c y f S Z x d W 9 0 O y w m c X V v d D t T Z W N 0 a W 9 u M S 9 C Y W x h b m N l U 2 h l Z X Q v Q 2 h h b m d l Z C B U e X B l L n t D Y X B p d G F s T G V h c 2 V P Y m x p Z 2 F 0 a W 9 u c y w 5 f S Z x d W 9 0 O y w m c X V v d D t T Z W N 0 a W 9 u M S 9 C Y W x h b m N l U 2 h l Z X Q v Q 2 h h b m d l Z C B U e X B l L n t D Y X B p d G F s U 3 R v Y 2 s s M T B 9 J n F 1 b 3 Q 7 L C Z x d W 9 0 O 1 N l Y 3 R p b 2 4 x L 0 J h b G F u Y 2 V T a G V l d C 9 D a G F u Z 2 V k I F R 5 c G U u e 0 N h c 2 h B b m R D Y X N o R X F 1 a X Z h b G V u d H M s M T F 9 J n F 1 b 3 Q 7 L C Z x d W 9 0 O 1 N l Y 3 R p b 2 4 x L 0 J h b G F u Y 2 V T a G V l d C 9 D a G F u Z 2 V k I F R 5 c G U u e 0 N h c 2 h D Y X N o R X F 1 a X Z h b G V u d H N B b m R T a G 9 y d F R l c m 1 J b n Z l c 3 R t Z W 5 0 c y w x M n 0 m c X V v d D s s J n F 1 b 3 Q 7 U 2 V j d G l v b j E v Q m F s Y W 5 j Z V N o Z W V 0 L 0 N o Y W 5 n Z W Q g V H l w Z S 5 7 Q 2 9 t b W 9 u U 3 R v Y 2 s s M T R 9 J n F 1 b 3 Q 7 L C Z x d W 9 0 O 1 N l Y 3 R p b 2 4 x L 0 J h b G F u Y 2 V T a G V l d C 9 D a G F u Z 2 V k I F R 5 c G U u e 0 N v b W 1 v b l N 0 b 2 N r R X F 1 a X R 5 L D E 1 f S Z x d W 9 0 O y w m c X V v d D t T Z W N 0 a W 9 u M S 9 C Y W x h b m N l U 2 h l Z X Q v Q 2 h h b m d l Z C B U e X B l L n t D b 2 5 z d H J 1 Y 3 R p b 2 5 J b l B y b 2 d y Z X N z L D E 2 f S Z x d W 9 0 O y w m c X V v d D t T Z W N 0 a W 9 u M S 9 C Y W x h b m N l U 2 h l Z X Q v Q 2 h h b m d l Z C B U e X B l L n t D d X J y Z W 5 0 Q W N j c n V l Z E V 4 c G V u c 2 V z L D E 3 f S Z x d W 9 0 O y w m c X V v d D t T Z W N 0 a W 9 u M S 9 C Y W x h b m N l U 2 h l Z X Q v Q 2 h h b m d l Z C B U e X B l L n t D d X J y Z W 5 0 Q X N z Z X R z L D E 4 f S Z x d W 9 0 O y w m c X V v d D t T Z W N 0 a W 9 u M S 9 C Y W x h b m N l U 2 h l Z X Q v Q 2 h h b m d l Z C B U e X B l L n t D d X J y Z W 5 0 Q 2 F w a X R h b E x l Y X N l T 2 J s a W d h d G l v b i w x O X 0 m c X V v d D s s J n F 1 b 3 Q 7 U 2 V j d G l v b j E v Q m F s Y W 5 j Z V N o Z W V 0 L 0 N o Y W 5 n Z W Q g V H l w Z S 5 7 Q 3 V y c m V u d E R l Y n Q s N z N 9 J n F 1 b 3 Q 7 L C Z x d W 9 0 O 1 N l Y 3 R p b 2 4 x L 0 J h b G F u Y 2 V T a G V l d C 9 D a G F u Z 2 V k I F R 5 c G U u e 0 N 1 c n J l b n R E Z W J 0 Q W 5 k Q 2 F w a X R h b E x l Y X N l T 2 J s a W d h d G l v b i w y M H 0 m c X V v d D s s J n F 1 b 3 Q 7 U 2 V j d G l v b j E v Q m F s Y W 5 j Z V N o Z W V 0 L 0 N o Y W 5 n Z W Q g V H l w Z S 5 7 Q 3 V y c m V u d E x p Y W J p b G l 0 a W V z L D I z f S Z x d W 9 0 O y w m c X V v d D t T Z W N 0 a W 9 u M S 9 C Y W x h b m N l U 2 h l Z X Q v Q 2 h h b m d l Z C B U e X B l L n t D d X J y Z W 5 0 U H J v d m l z a W 9 u c y w 5 O H 0 m c X V v d D s s J n F 1 b 3 Q 7 U 2 V j d G l v b j E v Q m F s Y W 5 j Z V N o Z W V 0 L 0 N o Y W 5 n Z W Q g V H l w Z S 5 7 R 2 F p b n N M b 3 N z Z X N O b 3 R B Z m Z l Y 3 R p b m d S Z X R h a W 5 l Z E V h c m 5 p b m d z L D I 2 f S Z x d W 9 0 O y w m c X V v d D t T Z W N 0 a W 9 u M S 9 C Y W x h b m N l U 2 h l Z X Q v Q 2 h h b m d l Z C B U e X B l L n t H b 2 9 k d 2 l s b C w y N 3 0 m c X V v d D s s J n F 1 b 3 Q 7 U 2 V j d G l v b j E v Q m F s Y W 5 j Z V N o Z W V 0 L 0 N o Y W 5 n Z W Q g V H l w Z S 5 7 R 2 9 v Z H d p b G x B b m R P d G h l c k l u d G F u Z 2 l i b G V B c 3 N l d H M s M j h 9 J n F 1 b 3 Q 7 L C Z x d W 9 0 O 1 N l Y 3 R p b 2 4 x L 0 J h b G F u Y 2 V T a G V l d C 9 D a G F u Z 2 V k I F R 5 c G U u e 0 d y b 3 N z Q W N j b 3 V u d H N S Z W N l a X Z h Y m x l L D I 5 f S Z x d W 9 0 O y w m c X V v d D t T Z W N 0 a W 9 u M S 9 C Y W x h b m N l U 2 h l Z X Q v Q 2 h h b m d l Z C B U e X B l L n t H c m 9 z c 1 B Q R S w z M H 0 m c X V v d D s s J n F 1 b 3 Q 7 U 2 V j d G l v b j E v Q m F s Y W 5 j Z V N o Z W V 0 L 0 N o Y W 5 n Z W Q g V H l w Z S 5 7 S G V s Z F R v T W F 0 d X J p d H l T Z W N 1 c m l 0 a W V z L D E w O H 0 m c X V v d D s s J n F 1 b 3 Q 7 U 2 V j d G l v b j E v Q m F s Y W 5 j Z V N o Z W V 0 L 0 N o Y W 5 n Z W Q g V H l w Z S 5 7 S W 5 j b 2 1 l V G F 4 U G F 5 Y W J s Z S w x M D l 9 J n F 1 b 3 Q 7 L C Z x d W 9 0 O 1 N l Y 3 R p b 2 4 x L 0 J h b G F u Y 2 V T a G V l d C 9 D a G F u Z 2 V k I F R 5 c G U u e 0 l u d G V y Z X N 0 U G F 5 Y W J s Z S w 4 N X 0 m c X V v d D s s J n F 1 b 3 Q 7 U 2 V j d G l v b j E v Q m F s Y W 5 j Z V N o Z W V 0 L 0 N o Y W 5 n Z W Q g V H l w Z S 5 7 S W 5 2 Z X N 0 Z W R D Y X B p d G F s L D M y f S Z x d W 9 0 O y w m c X V v d D t T Z W N 0 a W 9 u M S 9 C Y W x h b m N l U 2 h l Z X Q v Q 2 h h b m d l Z C B U e X B l L n t J b n Z l c 3 R t Z W 5 0 a W 5 G a W 5 h b m N p Y W x B c 3 N l d H M s O T N 9 J n F 1 b 3 Q 7 L C Z x d W 9 0 O 1 N l Y 3 R p b 2 4 x L 0 J h b G F u Y 2 V T a G V l d C 9 D a G F u Z 2 V k I F R 5 c G U u e 0 l u d m V z d G 1 l b n R z Q W 5 k Q W R 2 Y W 5 j Z X M s N z V 9 J n F 1 b 3 Q 7 L C Z x d W 9 0 O 1 N l Y 3 R p b 2 4 x L 0 J h b G F u Y 2 V T a G V l d C 9 D a G F u Z 2 V k I F R 5 c G U u e 0 x h b m R B b m R J b X B y b 3 Z l b W V u d H M s M T A 0 f S Z x d W 9 0 O y w m c X V v d D t T Z W N 0 a W 9 u M S 9 C Y W x h b m N l U 2 h l Z X Q v Q 2 h h b m d l Z C B U e X B l L n t M Z W F z Z X M s M z N 9 J n F 1 b 3 Q 7 L C Z x d W 9 0 O 1 N l Y 3 R p b 2 4 x L 0 J h b G F u Y 2 V T a G V l d C 9 D a G F u Z 2 V k I F R 5 c G U u e 0 x v b m d U Z X J t Q 2 F w a X R h b E x l Y X N l T 2 J s a W d h d G l v b i w z N H 0 m c X V v d D s s J n F 1 b 3 Q 7 U 2 V j d G l v b j E v Q m F s Y W 5 j Z V N o Z W V 0 L 0 N o Y W 5 n Z W Q g V H l w Z S 5 7 T G 9 u Z 1 R l c m 1 E Z W J 0 L D M 1 f S Z x d W 9 0 O y w m c X V v d D t T Z W N 0 a W 9 u M S 9 C Y W x h b m N l U 2 h l Z X Q v Q 2 h h b m d l Z C B U e X B l L n t M b 2 5 n V G V y b U R l Y n R B b m R D Y X B p d G F s T G V h c 2 V P Y m x p Z 2 F 0 a W 9 u L D M 2 f S Z x d W 9 0 O y w m c X V v d D t T Z W N 0 a W 9 u M S 9 C Y W x h b m N l U 2 h l Z X Q v Q 2 h h b m d l Z C B U e X B l L n t M b 2 5 n V G V y b U V x d W l 0 e U l u d m V z d G 1 l b n Q s O T R 9 J n F 1 b 3 Q 7 L C Z x d W 9 0 O 1 N l Y 3 R p b 2 4 x L 0 J h b G F u Y 2 V T a G V l d C 9 D a G F u Z 2 V k I F R 5 c G U u e 0 x v b m d U Z X J t U H J v d m l z a W 9 u c y w x M T B 9 J n F 1 b 3 Q 7 L C Z x d W 9 0 O 1 N l Y 3 R p b 2 4 x L 0 J h b G F u Y 2 V T a G V l d C 9 D a G F u Z 2 V k I F R 5 c G U u e 0 1 h Y 2 h p b m V y e U Z 1 c m 5 p d H V y Z U V x d W l w b W V u d C w z N 3 0 m c X V v d D s s J n F 1 b 3 Q 7 U 2 V j d G l v b j E v Q m F s Y W 5 j Z V N o Z W V 0 L 0 N o Y W 5 n Z W Q g V H l w Z S 5 7 T W l u b 3 J p d H l J b n R l c m V z d C w 5 N X 0 m c X V v d D s s J n F 1 b 3 Q 7 U 2 V j d G l v b j E v Q m F s Y W 5 j Z V N o Z W V 0 L 0 N o Y W 5 n Z W Q g V H l w Z S 5 7 T m V 0 R G V i d C w z O H 0 m c X V v d D s s J n F 1 b 3 Q 7 U 2 V j d G l v b j E v Q m F s Y W 5 j Z V N o Z W V 0 L 0 N o Y W 5 n Z W Q g V H l w Z S 5 7 T m V 0 U F B F L D M 5 f S Z x d W 9 0 O y w m c X V v d D t T Z W N 0 a W 9 u M S 9 C Y W x h b m N l U 2 h l Z X Q v Q 2 h h b m d l Z C B U e X B l L n t O Z X R U Y W 5 n a W J s Z U F z c 2 V 0 c y w 0 M H 0 m c X V v d D s s J n F 1 b 3 Q 7 U 2 V j d G l v b j E v Q m F s Y W 5 j Z V N o Z W V 0 L 0 N o Y W 5 n Z W Q g V H l w Z S 5 7 T m 9 u Q 3 V y c m V u d E R l Z m V y c m V k T G l h Y m l s a X R p Z X M s N D J 9 J n F 1 b 3 Q 7 L C Z x d W 9 0 O 1 N l Y 3 R p b 2 4 x L 0 J h b G F u Y 2 V T a G V l d C 9 D a G F u Z 2 V k I F R 5 c G U u e 0 5 v b k N 1 c n J l b n R E Z W Z l c n J l Z F R h e G V z T G l h Y m l s a X R p Z X M s N z h 9 J n F 1 b 3 Q 7 L C Z x d W 9 0 O 1 N l Y 3 R p b 2 4 x L 0 J h b G F u Y 2 V T a G V l d C 9 D a G F u Z 2 V k I F R 5 c G U u e 0 5 v b k N 1 c n J l b n R O b 3 R l U m V j Z W l 2 Y W J s Z X M s M T E x f S Z x d W 9 0 O y w m c X V v d D t T Z W N 0 a W 9 u M S 9 C Y W x h b m N l U 2 h l Z X Q v Q 2 h h b m d l Z C B U e X B l L n t P c m R p b m F y e V N o Y X J l c 0 5 1 b W J l c i w 0 M 3 0 m c X V v d D s s J n F 1 b 3 Q 7 U 2 V j d G l v b j E v Q m F s Y W 5 j Z V N o Z W V 0 L 0 N o Y W 5 n Z W Q g V H l w Z S 5 7 T 3 R o Z X J D d X J y Z W 5 0 Q X N z Z X R z L D Q 0 f S Z x d W 9 0 O y w m c X V v d D t T Z W N 0 a W 9 u M S 9 C Y W x h b m N l U 2 h l Z X Q v Q 2 h h b m d l Z C B U e X B l L n t P d G h l c k N 1 c n J l b n R C b 3 J y b 3 d p b m d z L D c 5 f S Z x d W 9 0 O y w m c X V v d D t T Z W N 0 a W 9 u M S 9 C Y W x h b m N l U 2 h l Z X Q v Q 2 h h b m d l Z C B U e X B l L n t P d G h l c k N 1 c n J l b n R M a W F i a W x p d G l l c y w 4 M H 0 m c X V v d D s s J n F 1 b 3 Q 7 U 2 V j d G l v b j E v Q m F s Y W 5 j Z V N o Z W V 0 L 0 N o Y W 5 n Z W Q g V H l w Z S 5 7 T 3 R o Z X J F c X V p d H l B Z G p 1 c 3 R t Z W 5 0 c y w 0 N X 0 m c X V v d D s s J n F 1 b 3 Q 7 U 2 V j d G l v b j E v Q m F s Y W 5 j Z V N o Z W V 0 L 0 N o Y W 5 n Z W Q g V H l w Z S 5 7 T 3 R o Z X J J b n R h b m d p Y m x l Q X N z Z X R z L D Q 2 f S Z x d W 9 0 O y w m c X V v d D t T Z W N 0 a W 9 u M S 9 C Y W x h b m N l U 2 h l Z X Q v Q 2 h h b m d l Z C B U e X B l L n t P d G h l c k 5 v b k N 1 c n J l b n R B c 3 N l d H M s N D d 9 J n F 1 b 3 Q 7 L C Z x d W 9 0 O 1 N l Y 3 R p b 2 4 x L 0 J h b G F u Y 2 V T a G V l d C 9 D a G F u Z 2 V k I F R 5 c G U u e 0 9 0 a G V y T m 9 u Q 3 V y c m V u d E x p Y W J p b G l 0 a W V z L D g x f S Z x d W 9 0 O y w m c X V v d D t T Z W N 0 a W 9 u M S 9 C Y W x h b m N l U 2 h l Z X Q v Q 2 h h b m d l Z C B U e X B l L n t P d G h l c l B h e W F i b G U s O T B 9 J n F 1 b 3 Q 7 L C Z x d W 9 0 O 1 N l Y 3 R p b 2 4 x L 0 J h b G F u Y 2 V T a G V l d C 9 D a G F u Z 2 V k I F R 5 c G U u e 0 9 0 a G V y U H J v c G V y d G l l c y w 0 O H 0 m c X V v d D s s J n F 1 b 3 Q 7 U 2 V j d G l v b j E v Q m F s Y W 5 j Z V N o Z W V 0 L 0 N o Y W 5 n Z W Q g V H l w Z S 5 7 T 3 R o Z X J S Z W N l a X Z h Y m x l c y w 5 N n 0 m c X V v d D s s J n F 1 b 3 Q 7 U 2 V j d G l v b j E v Q m F s Y W 5 j Z V N o Z W V 0 L 0 N o Y W 5 n Z W Q g V H l w Z S 5 7 T 3 R o Z X J T a G 9 y d F R l c m 1 J b n Z l c 3 R t Z W 5 0 c y w 0 O X 0 m c X V v d D s s J n F 1 b 3 Q 7 U 2 V j d G l v b j E v Q m F s Y W 5 j Z V N o Z W V 0 L 0 N o Y W 5 n Z W Q g V H l w Z S 5 7 U G F 5 Y W J s Z X M s N T B 9 J n F 1 b 3 Q 7 L C Z x d W 9 0 O 1 N l Y 3 R p b 2 4 x L 0 J h b G F u Y 2 V T a G V l d C 9 D a G F u Z 2 V k I F R 5 c G U u e 1 B h e W F i b G V z Q W 5 k Q W N j c n V l Z E V 4 c G V u c 2 V z L D U x f S Z x d W 9 0 O y w m c X V v d D t T Z W N 0 a W 9 u M S 9 C Y W x h b m N l U 2 h l Z X Q v Q 2 h h b m d l Z C B U e X B l L n t Q Z W 5 z a W 9 u Y W 5 k T 3 R o Z X J Q b 3 N 0 U m V 0 a X J l b W V u d E J l b m V m a X R Q b G F u c 0 N 1 c n J l b n Q s O D J 9 J n F 1 b 3 Q 7 L C Z x d W 9 0 O 1 N l Y 3 R p b 2 4 x L 0 J h b G F u Y 2 V T a G V l d C 9 D a G F u Z 2 V k I F R 5 c G U u e 1 B y Z W Z l c n J l Z F N l Y 3 V y a X R p Z X N P d X R z a W R l U 3 R v Y 2 t F c X V p d H k s N T J 9 J n F 1 b 3 Q 7 L C Z x d W 9 0 O 1 N l Y 3 R p b 2 4 x L 0 J h b G F u Y 2 V T a G V l d C 9 D a G F u Z 2 V k I F R 5 c G U u e 1 B y Z X B h a W R B c 3 N l d H M s N T R 9 J n F 1 b 3 Q 7 L C Z x d W 9 0 O 1 N l Y 3 R p b 2 4 x L 0 J h b G F u Y 2 V T a G V l d C 9 D a G F u Z 2 V k I F R 5 c G U u e 1 B y b 3 B l c n R p Z X M s N T V 9 J n F 1 b 3 Q 7 L C Z x d W 9 0 O 1 N l Y 3 R p b 2 4 x L 0 J h b G F u Y 2 V T a G V l d C 9 D a G F u Z 2 V k I F R 5 c G U u e 1 J l Y 2 V p d m F i b G V z L D U 3 f S Z x d W 9 0 O y w m c X V v d D t T Z W N 0 a W 9 u M S 9 C Y W x h b m N l U 2 h l Z X Q v Q 2 h h b m d l Z C B U e X B l L n t S Z X N 0 c m l j d G V k Q 2 F z a C w 4 M 3 0 m c X V v d D s s J n F 1 b 3 Q 7 U 2 V j d G l v b j E v Q m F s Y W 5 j Z V N o Z W V 0 L 0 N o Y W 5 n Z W Q g V H l w Z S 5 7 U m V 0 Y W l u Z W R F Y X J u a W 5 n c y w 1 O H 0 m c X V v d D s s J n F 1 b 3 Q 7 U 2 V j d G l v b j E v Q m F s Y W 5 j Z V N o Z W V 0 L 0 N o Y W 5 n Z W Q g V H l w Z S 5 7 U 2 h h c m V J c 3 N 1 Z W Q s N T l 9 J n F 1 b 3 Q 7 L C Z x d W 9 0 O 1 N l Y 3 R p b 2 4 x L 0 J h b G F u Y 2 V T a G V l d C 9 D a G F u Z 2 V k I F R 5 c G U u e 1 N 0 b 2 N r a G 9 s Z G V y c 0 V x d W l 0 e S w 2 M H 0 m c X V v d D s s J n F 1 b 3 Q 7 U 2 V j d G l v b j E v Q m F s Y W 5 j Z V N o Z W V 0 L 0 N o Y W 5 n Z W Q g V H l w Z S 5 7 V G F u Z 2 l i b G V C b 2 9 r V m F s d W U s N j F 9 J n F 1 b 3 Q 7 L C Z x d W 9 0 O 1 N l Y 3 R p b 2 4 x L 0 J h b G F u Y 2 V T a G V l d C 9 D a G F u Z 2 V k I F R 5 c G U u e 1 R v d G F s Q X N z Z X R z L D Y y f S Z x d W 9 0 O y w m c X V v d D t T Z W N 0 a W 9 u M S 9 C Y W x h b m N l U 2 h l Z X Q v Q 2 h h b m d l Z C B U e X B l L n t U b 3 R h b E N h c G l 0 Y W x p e m F 0 a W 9 u L D Y z f S Z x d W 9 0 O y w m c X V v d D t T Z W N 0 a W 9 u M S 9 C Y W x h b m N l U 2 h l Z X Q v Q 2 h h b m d l Z C B U e X B l L n t U b 3 R h b E R l Y n Q s N j R 9 J n F 1 b 3 Q 7 L C Z x d W 9 0 O 1 N l Y 3 R p b 2 4 x L 0 J h b G F u Y 2 V T a G V l d C 9 D a G F u Z 2 V k I F R 5 c G U u e 1 R v d G F s R X F 1 a X R 5 R 3 J v c 3 N N a W 5 v c m l 0 e U l u d G V y Z X N 0 L D Y 1 f S Z x d W 9 0 O y w m c X V v d D t T Z W N 0 a W 9 u M S 9 C Y W x h b m N l U 2 h l Z X Q v Q 2 h h b m d l Z C B U e X B l L n t U b 3 R h b E x p Y W J p b G l 0 a W V z T m V 0 T W l u b 3 J p d H l J b n R l c m V z d C w 2 N n 0 m c X V v d D s s J n F 1 b 3 Q 7 U 2 V j d G l v b j E v Q m F s Y W 5 j Z V N o Z W V 0 L 0 N o Y W 5 n Z W Q g V H l w Z S 5 7 V G 9 0 Y W x O b 2 5 D d X J y Z W 5 0 Q X N z Z X R z L D Y 3 f S Z x d W 9 0 O y w m c X V v d D t T Z W N 0 a W 9 u M S 9 C Y W x h b m N l U 2 h l Z X Q v Q 2 h h b m d l Z C B U e X B l L n t U b 3 R h b E 5 v b k N 1 c n J l b n R M a W F i a W x p d G l l c 0 5 l d E 1 p b m 9 y a X R 5 S W 5 0 Z X J l c 3 Q s N j h 9 J n F 1 b 3 Q 7 L C Z x d W 9 0 O 1 N l Y 3 R p b 2 4 x L 0 J h b G F u Y 2 V T a G V l d C 9 D a G F u Z 2 V k I F R 5 c G U u e 1 R v d G F s V G F 4 U G F 5 Y W J s Z S w 4 N H 0 m c X V v d D s s J n F 1 b 3 Q 7 U 2 V j d G l v b j E v Q m F s Y W 5 j Z V N o Z W V 0 L 0 N o Y W 5 n Z W Q g V H l w Z S 5 7 V H J h Z G V h b m R P d G h l c l B h e W F i b G V z T m 9 u Q 3 V y c m V u d C w x M T J 9 J n F 1 b 3 Q 7 L C Z x d W 9 0 O 1 N l Y 3 R p b 2 4 x L 0 J h b G F u Y 2 V T a G V l d C 9 D a G F u Z 2 V k I F R 5 c G U u e 1 d v c m t p b m d D Y X B p d G F s L D c x f S Z x d W 9 0 O y w m c X V v d D t T Z W N 0 a W 9 u M S 9 C Y W x h b m N l U 2 h l Z X Q v Q 2 h h b m d l Z C B U e X B l L n t D d X J y Z W 5 0 R G V m Z X J y Z W R M a W F i a W x p d G l l c y w y M X 0 m c X V v d D s s J n F 1 b 3 Q 7 U 2 V j d G l v b j E v Q m F s Y W 5 j Z V N o Z W V 0 L 0 N o Y W 5 n Z W Q g V H l w Z S 5 7 Q 3 V y c m V u d E R l Z m V y c m V k U m V 2 Z W 5 1 Z S w y M n 0 m c X V v d D s s J n F 1 b 3 Q 7 U 2 V j d G l v b j E v Q m F s Y W 5 j Z V N o Z W V 0 L 0 N o Y W 5 n Z W Q g V H l w Z S 5 7 R W 1 w b G 9 5 Z W V C Z W 5 l Z m l 0 c y w x M T N 9 J n F 1 b 3 Q 7 L C Z x d W 9 0 O 1 N l Y 3 R p b 2 4 x L 0 J h b G F u Y 2 V T a G V l d C 9 D a G F u Z 2 V k I F R 5 c G U u e 0 Z p b m l z a G V k R 2 9 v Z H M s M j V 9 J n F 1 b 3 Q 7 L C Z x d W 9 0 O 1 N l Y 3 R p b 2 4 x L 0 J h b G F u Y 2 V T a G V l d C 9 D a G F u Z 2 V k I F R 5 c G U u e 0 l u d m V u d G 9 y e S w z M X 0 m c X V v d D s s J n F 1 b 3 Q 7 U 2 V j d G l v b j E v Q m F s Y W 5 j Z V N o Z W V 0 L 1 B y b 2 1 v d G V k I E h l Y W R l c n M u e 0 l u d m V z d G 1 l b n R Q c m 9 w Z X J 0 a W V z L D k y f S Z x d W 9 0 O y w m c X V v d D t T Z W N 0 a W 9 u M S 9 C Y W x h b m N l U 2 h l Z X Q v Q 2 h h b m d l Z C B U e X B l L n t O b 2 5 D d X J y Z W 5 0 R G V m Z X J y Z W R B c 3 N l d H M s N D F 9 J n F 1 b 3 Q 7 L C Z x d W 9 0 O 1 N l Y 3 R p b 2 4 x L 0 J h b G F u Y 2 V T a G V l d C 9 D a G F u Z 2 V k I F R 5 c G U u e 0 5 v b k N 1 c n J l b n R E Z W Z l c n J l Z F R h e G V z Q X N z Z X R z L D c 3 f S Z x d W 9 0 O y w m c X V v d D t T Z W N 0 a W 9 u M S 9 C Y W x h b m N l U 2 h l Z X Q v Q 2 h h b m d l Z C B U e X B l L n t O b 2 5 D d X J y Z W 5 0 U G V u c 2 l v b k F u Z E 9 0 a G V y U G 9 z d H J l d G l y Z W 1 l b n R C Z W 5 l Z m l 0 U G x h b n M s M T E 0 f S Z x d W 9 0 O y w m c X V v d D t T Z W N 0 a W 9 u M S 9 C Y W x h b m N l U 2 h l Z X Q v Q 2 h h b m d l Z C B U e X B l L n t S Y X d N Y X R l c m l h b H M s N T Z 9 J n F 1 b 3 Q 7 L C Z x d W 9 0 O 1 N l Y 3 R p b 2 4 x L 0 J h b G F u Y 2 V T a G V l d C 9 Q c m 9 t b 3 R l Z C B I Z W F k Z X J z L n t Q c m V m Z X J y Z W R T d G 9 j a 0 V x d W l 0 e S w 5 N 3 0 m c X V v d D s s J n F 1 b 3 Q 7 U 2 V j d G l v b j E v Q m F s Y W 5 j Z V N o Z W V 0 L 0 N o Y W 5 n Z W Q g V H l w Z S 5 7 V 2 9 y a 0 l u U H J v Y 2 V z c y w 3 M H 0 m c X V v d D s s J n F 1 b 3 Q 7 U 2 V j d G l v b j E v Q m F s Y W 5 j Z V N o Z W V 0 L 0 N o Y W 5 n Z W Q g V H l w Z S 5 7 Q 2 F z a E V x d W l 2 Y W x l b n R z L D E x N X 0 m c X V v d D s s J n F 1 b 3 Q 7 U 2 V j d G l v b j E v Q m F s Y W 5 j Z V N o Z W V 0 L 1 B y b 2 1 v d G V k I E h l Y W R l c n M u e 0 R 1 Z W Z y b 2 1 S Z W x h d G V k U G F y d G l l c 0 N 1 c n J l b n Q s M T A w f S Z x d W 9 0 O y w m c X V v d D t T Z W N 0 a W 9 u M S 9 C Y W x h b m N l U 2 h l Z X Q v Q 2 h h b m d l Z C B U e X B l L n t D Y X N o R m l u Y W 5 j a W F s L D E z f S Z x d W 9 0 O y w m c X V v d D t T Z W N 0 a W 9 u M S 9 C Y W x h b m N l U 2 h l Z X Q v U H J v b W 9 0 Z W Q g S G V h Z G V y c y 5 7 R H V l Z n J v b V J l b G F 0 Z W R Q Y X J 0 a W V z T m 9 u Q 3 V y c m V u d C w x M D J 9 J n F 1 b 3 Q 7 L C Z x d W 9 0 O 1 N l Y 3 R p b 2 4 x L 0 J h b G F u Y 2 V T a G V l d C 9 D a G F u Z 2 V k I F R 5 c G U u e 0 h l Z G d p b m d B c 3 N l d H N D d X J y Z W 5 0 L D E x N n 0 m c X V v d D s s J n F 1 b 3 Q 7 U 2 V j d G l v b j E v Q m F s Y W 5 j Z V N o Z W V 0 L 0 N o Y W 5 n Z W Q g V H l w Z S 5 7 T m 9 u Q 3 V y c m V u d E R l Z m V y c m V k U m V 2 Z W 5 1 Z S w 3 N n 0 m c X V v d D s s J n F 1 b 3 Q 7 U 2 V j d G l v b j E v Q m F s Y W 5 j Z V N o Z W V 0 L 0 N o Y W 5 n Z W Q g V H l w Z S 5 7 Q 2 9 t b W V y Y 2 l h b F B h c G V y L D E x N 3 0 m c X V v d D s s J n F 1 b 3 Q 7 U 2 V j d G l v b j E v Q m F s Y W 5 j Z V N o Z W V 0 L 0 N o Y W 5 n Z W Q g V H l w Z S 5 7 Q 3 V y c m V u d E 5 v d G V z U G F 5 Y W J s Z S w x M T h 9 J n F 1 b 3 Q 7 L C Z x d W 9 0 O 1 N l Y 3 R p b 2 4 x L 0 J h b G F u Y 2 V T a G V l d C 9 Q c m 9 t b 3 R l Z C B I Z W F k Z X J z L n t h c 0 9 m W W V h c i w x M D d 9 J n F 1 b 3 Q 7 L C Z x d W 9 0 O 1 N l Y 3 R p b 2 4 x L 0 J h b G F u Y 2 V T a G V l d C 9 D a G F u Z 2 V k I F R 5 c G U u e 0 R p d m l k Z W 5 k c 1 B h e W F i b G U s O T l 9 J n F 1 b 3 Q 7 L C Z x d W 9 0 O 1 N l Y 3 R p b 2 4 x L 0 J h b G F u Y 2 V T a G V l d C 9 D a G F u Z 2 V k I F R 5 c G U u e 0 Z v c m V p Z 2 5 D d X J y Z W 5 j e V R y Y W 5 z b G F 0 a W 9 u Q W R q d X N 0 b W V u d H M s M T E 5 f S Z x d W 9 0 O y w m c X V v d D t T Z W N 0 a W 9 u M S 9 C Y W x h b m N l U 2 h l Z X Q v Q 2 h h b m d l Z C B U e X B l L n t J b n Z l c 3 R t Z W 5 0 c 2 l u Q X N z b 2 N p Y X R l c 2 F 0 Q 2 9 z d C w x M j B 9 J n F 1 b 3 Q 7 L C Z x d W 9 0 O 1 N l Y 3 R p b 2 4 x L 0 J h b G F u Y 2 V T a G V l d C 9 D a G F u Z 2 V k I F R 5 c G U u e 0 x p b m V P Z k N y Z W R p d C w 4 O X 0 m c X V v d D s s J n F 1 b 3 Q 7 U 2 V j d G l v b j E v Q m F s Y W 5 j Z V N o Z W V 0 L 0 N o Y W 5 n Z W Q g V H l w Z S 5 7 T W l u a W 1 1 b V B l b n N p b 2 5 M a W F i a W x p d G l l c y w x M j F 9 J n F 1 b 3 Q 7 L C Z x d W 9 0 O 1 N l Y 3 R p b 2 4 x L 0 J h b G F u Y 2 V T a G V l d C 9 D a G F u Z 2 V k I F R 5 c G U u e 1 B y Z W Z l c n J l Z F N o Y X J l c 0 5 1 b W J l c i w x M j J 9 J n F 1 b 3 Q 7 L C Z x d W 9 0 O 1 N l Y 3 R p b 2 4 x L 0 J h b G F u Y 2 V T a G V l d C 9 D a G F u Z 2 V k I F R 5 c G U u e 1 B y Z W Z l c n J l Z F N 0 b 2 N r L D U z f S Z x d W 9 0 O y w m c X V v d D t T Z W N 0 a W 9 u M S 9 C Y W x h b m N l U 2 h l Z X Q v Q 2 h h b m d l Z C B U e X B l L n t U c m V h c 3 V y e V N o Y X J l c 0 5 1 b W J l c i w 2 O X 0 m c X V v d D s s J n F 1 b 3 Q 7 U 2 V j d G l v b j E v Q m F s Y W 5 j Z V N o Z W V 0 L 0 N o Y W 5 n Z W Q g V H l w Z S 5 7 V H J l Y X N 1 c n l T d G 9 j a y w 4 O H 0 m c X V v d D s s J n F 1 b 3 Q 7 U 2 V j d G l v b j E v Q m F s Y W 5 j Z V N o Z W V 0 L 0 N o Y W 5 n Z W Q g V H l w Z S 5 7 V W 5 y Z W F s a X p l Z E d h a W 5 M b 3 N z L D E y M 3 0 m c X V v d D s s J n F 1 b 3 Q 7 U 2 V j d G l v b j E v Q m F s Y W 5 j Z V N o Z W V 0 L 0 N o Y W 5 n Z W Q g V H l w Z S 5 7 R G V m a W 5 l Z F B l b n N p b 2 5 C Z W 5 l Z m l 0 L D E y N H 0 m c X V v d D s s J n F 1 b 3 Q 7 U 2 V j d G l v b j E v Q m F s Y W 5 j Z V N o Z W V 0 L 0 N o Y W 5 n Z W Q g V H l w Z S 5 7 T m 9 u Q 3 V y c m V u d E F j Y 2 9 1 b n R z U m V j Z W l 2 Y W J s Z S w x M D N 9 J n F 1 b 3 Q 7 L C Z x d W 9 0 O 1 N l Y 3 R p b 2 4 x L 0 J h b G F u Y 2 V T a G V l d C 9 D a G F u Z 2 V k I F R 5 c G U u e 0 9 0 a G V y S W 5 2 Z W 5 0 b 3 J p Z X M s M T I 1 f S Z x d W 9 0 O y w m c X V v d D t T Z W N 0 a W 9 u M S 9 C Y W x h b m N l U 2 h l Z X Q v Q 2 h h b m d l Z C B U e X B l L n t P d G h l c k l u d m V z d G 1 l b n R z L D g 3 f S Z x d W 9 0 O y w m c X V v d D t T Z W N 0 a W 9 u M S 9 C Y W x h b m N l U 2 h l Z X Q v Q 2 h h b m d l Z C B U e X B l L n t U Y X h l c 1 J l Y 2 V p d m F i b G U s M T A x f S Z x d W 9 0 O y w m c X V v d D t T Z W N 0 a W 9 u M S 9 C Y W x h b m N l U 2 h l Z X Q v Q 2 h h b m d l Z C B U e X B l L n t D d X J y Z W 5 0 R G V m Z X J y Z W R B c 3 N l d H M s N z R 9 J n F 1 b 3 Q 7 L C Z x d W 9 0 O 1 N l Y 3 R p b 2 4 x L 0 J h b G F u Y 2 V T a G V l d C 9 D a G F u Z 2 V k I F R 5 c G U u e 0 R l c m l 2 Y X R p d m V Q c m 9 k d W N 0 T G l h Y m l s a X R p Z X M s M j R 9 J n F 1 b 3 Q 7 L C Z x d W 9 0 O 1 N l Y 3 R p b 2 4 x L 0 J h b G F u Y 2 V T a G V l d C 9 D a G F u Z 2 V k I F R 5 c G U u e 0 Z p b m F u Y 2 l h b E F z c 2 V 0 c y w x M j Z 9 J n F 1 b 3 Q 7 L C Z x d W 9 0 O 1 N l Y 3 R p b 2 4 x L 0 J h b G F u Y 2 V T a G V l d C 9 D a G F u Z 2 V k I F R 5 c G U u e 0 l u d m V z d G 1 l b n R z S W 5 P d G h l c l Z l b n R 1 c m V z V W 5 k Z X J F c X V p d H l N Z X R o b 2 Q s M T I 3 f S Z x d W 9 0 O y w m c X V v d D t T Z W N 0 a W 9 u M S 9 C Y W x h b m N l U 2 h l Z X Q v Q 2 h h b m d l Z C B U e X B l L n t M a W F i a W x p d G l l c 0 h l b G R m b 3 J T Y W x l T m 9 u Q 3 V y c m V u d C w x M j h 9 J n F 1 b 3 Q 7 L C Z x d W 9 0 O 1 N l Y 3 R p b 2 4 x L 0 J h b G F u Y 2 V T a G V l d C 9 D a G F u Z 2 V k I F R 5 c G U u e 0 5 v b k N 1 c n J l b n R B Y 2 N y d W V k R X h w Z W 5 z Z X M s M T I 5 f S Z x d W 9 0 O y w m c X V v d D t T Z W N 0 a W 9 u M S 9 C Y W x h b m N l U 2 h l Z X Q v Q 2 h h b m d l Z C B U e X B l L n t O b 2 5 D d X J y Z W 5 0 U H J l c G F p Z E F z c 2 V 0 c y w 4 N n 0 m c X V v d D s s J n F 1 b 3 Q 7 U 2 V j d G l v b j E v Q m F s Y W 5 j Z V N o Z W V 0 L 0 N o Y W 5 n Z W Q g V H l w Z S 5 7 T 3 R o Z X J F c X V p d H l J b n R l c m V z d C w x M z B 9 J n F 1 b 3 Q 7 L C Z x d W 9 0 O 1 N l Y 3 R p b 2 4 x L 0 J h b G F u Y 2 V T a G V l d C 9 D a G F u Z 2 V k I F R 5 c G U u e 0 l u d m V u d G 9 y a W V z Q W R q d X N 0 b W V u d H N B b G x v d 2 F u Y 2 V z L D E z M X 0 m c X V v d D s s J n F 1 b 3 Q 7 U 2 V j d G l v b j E v Q m F s Y W 5 j Z V N o Z W V 0 L 0 N o Y W 5 n Z W Q g V H l w Z S 5 7 V G l j a 2 V y L D E w N n 0 m c X V v d D t d L C Z x d W 9 0 O 0 N v b H V t b k N v d W 5 0 J n F 1 b 3 Q 7 O j E z M y w m c X V v d D t L Z X l D b 2 x 1 b W 5 O Y W 1 l c y Z x d W 9 0 O z p b X S w m c X V v d D t D b 2 x 1 b W 5 J Z G V u d G l 0 a W V z J n F 1 b 3 Q 7 O l s m c X V v d D t T Z W N 0 a W 9 u M S 9 C Y W x h b m N l U 2 h l Z X Q v Q 2 h h b m d l Z C B U e X B l L n t p Z C w w f S Z x d W 9 0 O y w m c X V v d D t T Z W N 0 a W 9 u M S 9 C Y W x h b m N l U 2 h l Z X Q v Q 2 h h b m d l Z C B U e X B l L n t h c 0 9 m R G F 0 Z S w x f S Z x d W 9 0 O y w m c X V v d D t T Z W N 0 a W 9 u M S 9 C Y W x h b m N l U 2 h l Z X Q v S W 5 z Z X J 0 Z W Q g W W V h c i 5 7 W W V h c i w x M z J 9 J n F 1 b 3 Q 7 L C Z x d W 9 0 O 1 N l Y 3 R p b 2 4 x L 0 J h b G F u Y 2 V T a G V l d C 9 D a G F u Z 2 V k I F R 5 c G U u e 3 B l c m l v Z F R 5 c G U s M n 0 m c X V v d D s s J n F 1 b 3 Q 7 U 2 V j d G l v b j E v Q m F s Y W 5 j Z V N o Z W V 0 L 0 N o Y W 5 n Z W Q g V H l w Z S 5 7 Y 3 V y c m V u Y 3 l D b 2 R l L D N 9 J n F 1 b 3 Q 7 L C Z x d W 9 0 O 1 N l Y 3 R p b 2 4 x L 0 J h b G F u Y 2 V T a G V l d C 9 D a G F u Z 2 V k I F R 5 c G U u e 0 F j Y 2 9 1 b n R z U G F 5 Y W J s Z S w 0 f S Z x d W 9 0 O y w m c X V v d D t T Z W N 0 a W 9 u M S 9 C Y W x h b m N l U 2 h l Z X Q v Q 2 h h b m d l Z C B U e X B l L n t B Y 2 N v d W 5 0 c 1 J l Y 2 V p d m F i b G U s N X 0 m c X V v d D s s J n F 1 b 3 Q 7 U 2 V j d G l v b j E v Q m F s Y W 5 j Z V N o Z W V 0 L 0 N o Y W 5 n Z W Q g V H l w Z S 5 7 Q W N j d W 1 1 b G F 0 Z W R E Z X B y Z W N p Y X R p b 2 4 s N n 0 m c X V v d D s s J n F 1 b 3 Q 7 U 2 V j d G l v b j E v Q m F s Y W 5 j Z V N o Z W V 0 L 0 N o Y W 5 n Z W Q g V H l w Z S 5 7 Q W R k a X R p b 2 5 h b F B h a W R J b k N h c G l 0 Y W w s N 3 0 m c X V v d D s s J n F 1 b 3 Q 7 U 2 V j d G l v b j E v Q m F s Y W 5 j Z V N o Z W V 0 L 0 N o Y W 5 n Z W Q g V H l w Z S 5 7 Q W x s b 3 d h b m N l R m 9 y R G 9 1 Y n R m d W x B Y 2 N v d W 5 0 c 1 J l Y 2 V p d m F i b G U s O H 0 m c X V v d D s s J n F 1 b 3 Q 7 U 2 V j d G l v b j E v Q m F s Y W 5 j Z V N o Z W V 0 L 0 N o Y W 5 n Z W Q g V H l w Z S 5 7 Q X N z Z X R z S G V s Z E Z v c l N h b G V D d X J y Z W 5 0 L D E w N X 0 m c X V v d D s s J n F 1 b 3 Q 7 U 2 V j d G l v b j E v Q m F s Y W 5 j Z V N o Z W V 0 L 0 N o Y W 5 n Z W Q g V H l w Z S 5 7 Q X Z h a W x h Y m x l R m 9 y U 2 F s Z V N l Y 3 V y a X R p Z X M s O T F 9 J n F 1 b 3 Q 7 L C Z x d W 9 0 O 1 N l Y 3 R p b 2 4 x L 0 J h b G F u Y 2 V T a G V l d C 9 D a G F u Z 2 V k I F R 5 c G U u e 0 J 1 a W x k a W 5 n c 0 F u Z E l t c H J v d m V t Z W 5 0 c y w 3 M n 0 m c X V v d D s s J n F 1 b 3 Q 7 U 2 V j d G l v b j E v Q m F s Y W 5 j Z V N o Z W V 0 L 0 N o Y W 5 n Z W Q g V H l w Z S 5 7 Q 2 F w a X R h b E x l Y X N l T 2 J s a W d h d G l v b n M s O X 0 m c X V v d D s s J n F 1 b 3 Q 7 U 2 V j d G l v b j E v Q m F s Y W 5 j Z V N o Z W V 0 L 0 N o Y W 5 n Z W Q g V H l w Z S 5 7 Q 2 F w a X R h b F N 0 b 2 N r L D E w f S Z x d W 9 0 O y w m c X V v d D t T Z W N 0 a W 9 u M S 9 C Y W x h b m N l U 2 h l Z X Q v Q 2 h h b m d l Z C B U e X B l L n t D Y X N o Q W 5 k Q 2 F z a E V x d W l 2 Y W x l b n R z L D E x f S Z x d W 9 0 O y w m c X V v d D t T Z W N 0 a W 9 u M S 9 C Y W x h b m N l U 2 h l Z X Q v Q 2 h h b m d l Z C B U e X B l L n t D Y X N o Q 2 F z a E V x d W l 2 Y W x l b n R z Q W 5 k U 2 h v c n R U Z X J t S W 5 2 Z X N 0 b W V u d H M s M T J 9 J n F 1 b 3 Q 7 L C Z x d W 9 0 O 1 N l Y 3 R p b 2 4 x L 0 J h b G F u Y 2 V T a G V l d C 9 D a G F u Z 2 V k I F R 5 c G U u e 0 N v b W 1 v b l N 0 b 2 N r L D E 0 f S Z x d W 9 0 O y w m c X V v d D t T Z W N 0 a W 9 u M S 9 C Y W x h b m N l U 2 h l Z X Q v Q 2 h h b m d l Z C B U e X B l L n t D b 2 1 t b 2 5 T d G 9 j a 0 V x d W l 0 e S w x N X 0 m c X V v d D s s J n F 1 b 3 Q 7 U 2 V j d G l v b j E v Q m F s Y W 5 j Z V N o Z W V 0 L 0 N o Y W 5 n Z W Q g V H l w Z S 5 7 Q 2 9 u c 3 R y d W N 0 a W 9 u S W 5 Q c m 9 n c m V z c y w x N n 0 m c X V v d D s s J n F 1 b 3 Q 7 U 2 V j d G l v b j E v Q m F s Y W 5 j Z V N o Z W V 0 L 0 N o Y W 5 n Z W Q g V H l w Z S 5 7 Q 3 V y c m V u d E F j Y 3 J 1 Z W R F e H B l b n N l c y w x N 3 0 m c X V v d D s s J n F 1 b 3 Q 7 U 2 V j d G l v b j E v Q m F s Y W 5 j Z V N o Z W V 0 L 0 N o Y W 5 n Z W Q g V H l w Z S 5 7 Q 3 V y c m V u d E F z c 2 V 0 c y w x O H 0 m c X V v d D s s J n F 1 b 3 Q 7 U 2 V j d G l v b j E v Q m F s Y W 5 j Z V N o Z W V 0 L 0 N o Y W 5 n Z W Q g V H l w Z S 5 7 Q 3 V y c m V u d E N h c G l 0 Y W x M Z W F z Z U 9 i b G l n Y X R p b 2 4 s M T l 9 J n F 1 b 3 Q 7 L C Z x d W 9 0 O 1 N l Y 3 R p b 2 4 x L 0 J h b G F u Y 2 V T a G V l d C 9 D a G F u Z 2 V k I F R 5 c G U u e 0 N 1 c n J l b n R E Z W J 0 L D c z f S Z x d W 9 0 O y w m c X V v d D t T Z W N 0 a W 9 u M S 9 C Y W x h b m N l U 2 h l Z X Q v Q 2 h h b m d l Z C B U e X B l L n t D d X J y Z W 5 0 R G V i d E F u Z E N h c G l 0 Y W x M Z W F z Z U 9 i b G l n Y X R p b 2 4 s M j B 9 J n F 1 b 3 Q 7 L C Z x d W 9 0 O 1 N l Y 3 R p b 2 4 x L 0 J h b G F u Y 2 V T a G V l d C 9 D a G F u Z 2 V k I F R 5 c G U u e 0 N 1 c n J l b n R M a W F i a W x p d G l l c y w y M 3 0 m c X V v d D s s J n F 1 b 3 Q 7 U 2 V j d G l v b j E v Q m F s Y W 5 j Z V N o Z W V 0 L 0 N o Y W 5 n Z W Q g V H l w Z S 5 7 Q 3 V y c m V u d F B y b 3 Z p c 2 l v b n M s O T h 9 J n F 1 b 3 Q 7 L C Z x d W 9 0 O 1 N l Y 3 R p b 2 4 x L 0 J h b G F u Y 2 V T a G V l d C 9 D a G F u Z 2 V k I F R 5 c G U u e 0 d h a W 5 z T G 9 z c 2 V z T m 9 0 Q W Z m Z W N 0 a W 5 n U m V 0 Y W l u Z W R F Y X J u a W 5 n c y w y N n 0 m c X V v d D s s J n F 1 b 3 Q 7 U 2 V j d G l v b j E v Q m F s Y W 5 j Z V N o Z W V 0 L 0 N o Y W 5 n Z W Q g V H l w Z S 5 7 R 2 9 v Z H d p b G w s M j d 9 J n F 1 b 3 Q 7 L C Z x d W 9 0 O 1 N l Y 3 R p b 2 4 x L 0 J h b G F u Y 2 V T a G V l d C 9 D a G F u Z 2 V k I F R 5 c G U u e 0 d v b 2 R 3 a W x s Q W 5 k T 3 R o Z X J J b n R h b m d p Y m x l Q X N z Z X R z L D I 4 f S Z x d W 9 0 O y w m c X V v d D t T Z W N 0 a W 9 u M S 9 C Y W x h b m N l U 2 h l Z X Q v Q 2 h h b m d l Z C B U e X B l L n t H c m 9 z c 0 F j Y 2 9 1 b n R z U m V j Z W l 2 Y W J s Z S w y O X 0 m c X V v d D s s J n F 1 b 3 Q 7 U 2 V j d G l v b j E v Q m F s Y W 5 j Z V N o Z W V 0 L 0 N o Y W 5 n Z W Q g V H l w Z S 5 7 R 3 J v c 3 N Q U E U s M z B 9 J n F 1 b 3 Q 7 L C Z x d W 9 0 O 1 N l Y 3 R p b 2 4 x L 0 J h b G F u Y 2 V T a G V l d C 9 D a G F u Z 2 V k I F R 5 c G U u e 0 h l b G R U b 0 1 h d H V y a X R 5 U 2 V j d X J p d G l l c y w x M D h 9 J n F 1 b 3 Q 7 L C Z x d W 9 0 O 1 N l Y 3 R p b 2 4 x L 0 J h b G F u Y 2 V T a G V l d C 9 D a G F u Z 2 V k I F R 5 c G U u e 0 l u Y 2 9 t Z V R h e F B h e W F i b G U s M T A 5 f S Z x d W 9 0 O y w m c X V v d D t T Z W N 0 a W 9 u M S 9 C Y W x h b m N l U 2 h l Z X Q v Q 2 h h b m d l Z C B U e X B l L n t J b n R l c m V z d F B h e W F i b G U s O D V 9 J n F 1 b 3 Q 7 L C Z x d W 9 0 O 1 N l Y 3 R p b 2 4 x L 0 J h b G F u Y 2 V T a G V l d C 9 D a G F u Z 2 V k I F R 5 c G U u e 0 l u d m V z d G V k Q 2 F w a X R h b C w z M n 0 m c X V v d D s s J n F 1 b 3 Q 7 U 2 V j d G l v b j E v Q m F s Y W 5 j Z V N o Z W V 0 L 0 N o Y W 5 n Z W Q g V H l w Z S 5 7 S W 5 2 Z X N 0 b W V u d G l u R m l u Y W 5 j a W F s Q X N z Z X R z L D k z f S Z x d W 9 0 O y w m c X V v d D t T Z W N 0 a W 9 u M S 9 C Y W x h b m N l U 2 h l Z X Q v Q 2 h h b m d l Z C B U e X B l L n t J b n Z l c 3 R t Z W 5 0 c 0 F u Z E F k d m F u Y 2 V z L D c 1 f S Z x d W 9 0 O y w m c X V v d D t T Z W N 0 a W 9 u M S 9 C Y W x h b m N l U 2 h l Z X Q v Q 2 h h b m d l Z C B U e X B l L n t M Y W 5 k Q W 5 k S W 1 w c m 9 2 Z W 1 l b n R z L D E w N H 0 m c X V v d D s s J n F 1 b 3 Q 7 U 2 V j d G l v b j E v Q m F s Y W 5 j Z V N o Z W V 0 L 0 N o Y W 5 n Z W Q g V H l w Z S 5 7 T G V h c 2 V z L D M z f S Z x d W 9 0 O y w m c X V v d D t T Z W N 0 a W 9 u M S 9 C Y W x h b m N l U 2 h l Z X Q v Q 2 h h b m d l Z C B U e X B l L n t M b 2 5 n V G V y b U N h c G l 0 Y W x M Z W F z Z U 9 i b G l n Y X R p b 2 4 s M z R 9 J n F 1 b 3 Q 7 L C Z x d W 9 0 O 1 N l Y 3 R p b 2 4 x L 0 J h b G F u Y 2 V T a G V l d C 9 D a G F u Z 2 V k I F R 5 c G U u e 0 x v b m d U Z X J t R G V i d C w z N X 0 m c X V v d D s s J n F 1 b 3 Q 7 U 2 V j d G l v b j E v Q m F s Y W 5 j Z V N o Z W V 0 L 0 N o Y W 5 n Z W Q g V H l w Z S 5 7 T G 9 u Z 1 R l c m 1 E Z W J 0 Q W 5 k Q 2 F w a X R h b E x l Y X N l T 2 J s a W d h d G l v b i w z N n 0 m c X V v d D s s J n F 1 b 3 Q 7 U 2 V j d G l v b j E v Q m F s Y W 5 j Z V N o Z W V 0 L 0 N o Y W 5 n Z W Q g V H l w Z S 5 7 T G 9 u Z 1 R l c m 1 F c X V p d H l J b n Z l c 3 R t Z W 5 0 L D k 0 f S Z x d W 9 0 O y w m c X V v d D t T Z W N 0 a W 9 u M S 9 C Y W x h b m N l U 2 h l Z X Q v Q 2 h h b m d l Z C B U e X B l L n t M b 2 5 n V G V y b V B y b 3 Z p c 2 l v b n M s M T E w f S Z x d W 9 0 O y w m c X V v d D t T Z W N 0 a W 9 u M S 9 C Y W x h b m N l U 2 h l Z X Q v Q 2 h h b m d l Z C B U e X B l L n t N Y W N o a W 5 l c n l G d X J u a X R 1 c m V F c X V p c G 1 l b n Q s M z d 9 J n F 1 b 3 Q 7 L C Z x d W 9 0 O 1 N l Y 3 R p b 2 4 x L 0 J h b G F u Y 2 V T a G V l d C 9 D a G F u Z 2 V k I F R 5 c G U u e 0 1 p b m 9 y a X R 5 S W 5 0 Z X J l c 3 Q s O T V 9 J n F 1 b 3 Q 7 L C Z x d W 9 0 O 1 N l Y 3 R p b 2 4 x L 0 J h b G F u Y 2 V T a G V l d C 9 D a G F u Z 2 V k I F R 5 c G U u e 0 5 l d E R l Y n Q s M z h 9 J n F 1 b 3 Q 7 L C Z x d W 9 0 O 1 N l Y 3 R p b 2 4 x L 0 J h b G F u Y 2 V T a G V l d C 9 D a G F u Z 2 V k I F R 5 c G U u e 0 5 l d F B Q R S w z O X 0 m c X V v d D s s J n F 1 b 3 Q 7 U 2 V j d G l v b j E v Q m F s Y W 5 j Z V N o Z W V 0 L 0 N o Y W 5 n Z W Q g V H l w Z S 5 7 T m V 0 V G F u Z 2 l i b G V B c 3 N l d H M s N D B 9 J n F 1 b 3 Q 7 L C Z x d W 9 0 O 1 N l Y 3 R p b 2 4 x L 0 J h b G F u Y 2 V T a G V l d C 9 D a G F u Z 2 V k I F R 5 c G U u e 0 5 v b k N 1 c n J l b n R E Z W Z l c n J l Z E x p Y W J p b G l 0 a W V z L D Q y f S Z x d W 9 0 O y w m c X V v d D t T Z W N 0 a W 9 u M S 9 C Y W x h b m N l U 2 h l Z X Q v Q 2 h h b m d l Z C B U e X B l L n t O b 2 5 D d X J y Z W 5 0 R G V m Z X J y Z W R U Y X h l c 0 x p Y W J p b G l 0 a W V z L D c 4 f S Z x d W 9 0 O y w m c X V v d D t T Z W N 0 a W 9 u M S 9 C Y W x h b m N l U 2 h l Z X Q v Q 2 h h b m d l Z C B U e X B l L n t O b 2 5 D d X J y Z W 5 0 T m 9 0 Z V J l Y 2 V p d m F i b G V z L D E x M X 0 m c X V v d D s s J n F 1 b 3 Q 7 U 2 V j d G l v b j E v Q m F s Y W 5 j Z V N o Z W V 0 L 0 N o Y W 5 n Z W Q g V H l w Z S 5 7 T 3 J k a W 5 h c n l T a G F y Z X N O d W 1 i Z X I s N D N 9 J n F 1 b 3 Q 7 L C Z x d W 9 0 O 1 N l Y 3 R p b 2 4 x L 0 J h b G F u Y 2 V T a G V l d C 9 D a G F u Z 2 V k I F R 5 c G U u e 0 9 0 a G V y Q 3 V y c m V u d E F z c 2 V 0 c y w 0 N H 0 m c X V v d D s s J n F 1 b 3 Q 7 U 2 V j d G l v b j E v Q m F s Y W 5 j Z V N o Z W V 0 L 0 N o Y W 5 n Z W Q g V H l w Z S 5 7 T 3 R o Z X J D d X J y Z W 5 0 Q m 9 y c m 9 3 a W 5 n c y w 3 O X 0 m c X V v d D s s J n F 1 b 3 Q 7 U 2 V j d G l v b j E v Q m F s Y W 5 j Z V N o Z W V 0 L 0 N o Y W 5 n Z W Q g V H l w Z S 5 7 T 3 R o Z X J D d X J y Z W 5 0 T G l h Y m l s a X R p Z X M s O D B 9 J n F 1 b 3 Q 7 L C Z x d W 9 0 O 1 N l Y 3 R p b 2 4 x L 0 J h b G F u Y 2 V T a G V l d C 9 D a G F u Z 2 V k I F R 5 c G U u e 0 9 0 a G V y R X F 1 a X R 5 Q W R q d X N 0 b W V u d H M s N D V 9 J n F 1 b 3 Q 7 L C Z x d W 9 0 O 1 N l Y 3 R p b 2 4 x L 0 J h b G F u Y 2 V T a G V l d C 9 D a G F u Z 2 V k I F R 5 c G U u e 0 9 0 a G V y S W 5 0 Y W 5 n a W J s Z U F z c 2 V 0 c y w 0 N n 0 m c X V v d D s s J n F 1 b 3 Q 7 U 2 V j d G l v b j E v Q m F s Y W 5 j Z V N o Z W V 0 L 0 N o Y W 5 n Z W Q g V H l w Z S 5 7 T 3 R o Z X J O b 2 5 D d X J y Z W 5 0 Q X N z Z X R z L D Q 3 f S Z x d W 9 0 O y w m c X V v d D t T Z W N 0 a W 9 u M S 9 C Y W x h b m N l U 2 h l Z X Q v Q 2 h h b m d l Z C B U e X B l L n t P d G h l c k 5 v b k N 1 c n J l b n R M a W F i a W x p d G l l c y w 4 M X 0 m c X V v d D s s J n F 1 b 3 Q 7 U 2 V j d G l v b j E v Q m F s Y W 5 j Z V N o Z W V 0 L 0 N o Y W 5 n Z W Q g V H l w Z S 5 7 T 3 R o Z X J Q Y X l h Y m x l L D k w f S Z x d W 9 0 O y w m c X V v d D t T Z W N 0 a W 9 u M S 9 C Y W x h b m N l U 2 h l Z X Q v Q 2 h h b m d l Z C B U e X B l L n t P d G h l c l B y b 3 B l c n R p Z X M s N D h 9 J n F 1 b 3 Q 7 L C Z x d W 9 0 O 1 N l Y 3 R p b 2 4 x L 0 J h b G F u Y 2 V T a G V l d C 9 D a G F u Z 2 V k I F R 5 c G U u e 0 9 0 a G V y U m V j Z W l 2 Y W J s Z X M s O T Z 9 J n F 1 b 3 Q 7 L C Z x d W 9 0 O 1 N l Y 3 R p b 2 4 x L 0 J h b G F u Y 2 V T a G V l d C 9 D a G F u Z 2 V k I F R 5 c G U u e 0 9 0 a G V y U 2 h v c n R U Z X J t S W 5 2 Z X N 0 b W V u d H M s N D l 9 J n F 1 b 3 Q 7 L C Z x d W 9 0 O 1 N l Y 3 R p b 2 4 x L 0 J h b G F u Y 2 V T a G V l d C 9 D a G F u Z 2 V k I F R 5 c G U u e 1 B h e W F i b G V z L D U w f S Z x d W 9 0 O y w m c X V v d D t T Z W N 0 a W 9 u M S 9 C Y W x h b m N l U 2 h l Z X Q v Q 2 h h b m d l Z C B U e X B l L n t Q Y X l h Y m x l c 0 F u Z E F j Y 3 J 1 Z W R F e H B l b n N l c y w 1 M X 0 m c X V v d D s s J n F 1 b 3 Q 7 U 2 V j d G l v b j E v Q m F s Y W 5 j Z V N o Z W V 0 L 0 N o Y W 5 n Z W Q g V H l w Z S 5 7 U G V u c 2 l v b m F u Z E 9 0 a G V y U G 9 z d F J l d G l y Z W 1 l b n R C Z W 5 l Z m l 0 U G x h b n N D d X J y Z W 5 0 L D g y f S Z x d W 9 0 O y w m c X V v d D t T Z W N 0 a W 9 u M S 9 C Y W x h b m N l U 2 h l Z X Q v Q 2 h h b m d l Z C B U e X B l L n t Q c m V m Z X J y Z W R T Z W N 1 c m l 0 a W V z T 3 V 0 c 2 l k Z V N 0 b 2 N r R X F 1 a X R 5 L D U y f S Z x d W 9 0 O y w m c X V v d D t T Z W N 0 a W 9 u M S 9 C Y W x h b m N l U 2 h l Z X Q v Q 2 h h b m d l Z C B U e X B l L n t Q c m V w Y W l k Q X N z Z X R z L D U 0 f S Z x d W 9 0 O y w m c X V v d D t T Z W N 0 a W 9 u M S 9 C Y W x h b m N l U 2 h l Z X Q v Q 2 h h b m d l Z C B U e X B l L n t Q c m 9 w Z X J 0 a W V z L D U 1 f S Z x d W 9 0 O y w m c X V v d D t T Z W N 0 a W 9 u M S 9 C Y W x h b m N l U 2 h l Z X Q v Q 2 h h b m d l Z C B U e X B l L n t S Z W N l a X Z h Y m x l c y w 1 N 3 0 m c X V v d D s s J n F 1 b 3 Q 7 U 2 V j d G l v b j E v Q m F s Y W 5 j Z V N o Z W V 0 L 0 N o Y W 5 n Z W Q g V H l w Z S 5 7 U m V z d H J p Y 3 R l Z E N h c 2 g s O D N 9 J n F 1 b 3 Q 7 L C Z x d W 9 0 O 1 N l Y 3 R p b 2 4 x L 0 J h b G F u Y 2 V T a G V l d C 9 D a G F u Z 2 V k I F R 5 c G U u e 1 J l d G F p b m V k R W F y b m l u Z 3 M s N T h 9 J n F 1 b 3 Q 7 L C Z x d W 9 0 O 1 N l Y 3 R p b 2 4 x L 0 J h b G F u Y 2 V T a G V l d C 9 D a G F u Z 2 V k I F R 5 c G U u e 1 N o Y X J l S X N z d W V k L D U 5 f S Z x d W 9 0 O y w m c X V v d D t T Z W N 0 a W 9 u M S 9 C Y W x h b m N l U 2 h l Z X Q v Q 2 h h b m d l Z C B U e X B l L n t T d G 9 j a 2 h v b G R l c n N F c X V p d H k s N j B 9 J n F 1 b 3 Q 7 L C Z x d W 9 0 O 1 N l Y 3 R p b 2 4 x L 0 J h b G F u Y 2 V T a G V l d C 9 D a G F u Z 2 V k I F R 5 c G U u e 1 R h b m d p Y m x l Q m 9 v a 1 Z h b H V l L D Y x f S Z x d W 9 0 O y w m c X V v d D t T Z W N 0 a W 9 u M S 9 C Y W x h b m N l U 2 h l Z X Q v Q 2 h h b m d l Z C B U e X B l L n t U b 3 R h b E F z c 2 V 0 c y w 2 M n 0 m c X V v d D s s J n F 1 b 3 Q 7 U 2 V j d G l v b j E v Q m F s Y W 5 j Z V N o Z W V 0 L 0 N o Y W 5 n Z W Q g V H l w Z S 5 7 V G 9 0 Y W x D Y X B p d G F s a X p h d G l v b i w 2 M 3 0 m c X V v d D s s J n F 1 b 3 Q 7 U 2 V j d G l v b j E v Q m F s Y W 5 j Z V N o Z W V 0 L 0 N o Y W 5 n Z W Q g V H l w Z S 5 7 V G 9 0 Y W x E Z W J 0 L D Y 0 f S Z x d W 9 0 O y w m c X V v d D t T Z W N 0 a W 9 u M S 9 C Y W x h b m N l U 2 h l Z X Q v Q 2 h h b m d l Z C B U e X B l L n t U b 3 R h b E V x d W l 0 e U d y b 3 N z T W l u b 3 J p d H l J b n R l c m V z d C w 2 N X 0 m c X V v d D s s J n F 1 b 3 Q 7 U 2 V j d G l v b j E v Q m F s Y W 5 j Z V N o Z W V 0 L 0 N o Y W 5 n Z W Q g V H l w Z S 5 7 V G 9 0 Y W x M a W F i a W x p d G l l c 0 5 l d E 1 p b m 9 y a X R 5 S W 5 0 Z X J l c 3 Q s N j Z 9 J n F 1 b 3 Q 7 L C Z x d W 9 0 O 1 N l Y 3 R p b 2 4 x L 0 J h b G F u Y 2 V T a G V l d C 9 D a G F u Z 2 V k I F R 5 c G U u e 1 R v d G F s T m 9 u Q 3 V y c m V u d E F z c 2 V 0 c y w 2 N 3 0 m c X V v d D s s J n F 1 b 3 Q 7 U 2 V j d G l v b j E v Q m F s Y W 5 j Z V N o Z W V 0 L 0 N o Y W 5 n Z W Q g V H l w Z S 5 7 V G 9 0 Y W x O b 2 5 D d X J y Z W 5 0 T G l h Y m l s a X R p Z X N O Z X R N a W 5 v c m l 0 e U l u d G V y Z X N 0 L D Y 4 f S Z x d W 9 0 O y w m c X V v d D t T Z W N 0 a W 9 u M S 9 C Y W x h b m N l U 2 h l Z X Q v Q 2 h h b m d l Z C B U e X B l L n t U b 3 R h b F R h e F B h e W F i b G U s O D R 9 J n F 1 b 3 Q 7 L C Z x d W 9 0 O 1 N l Y 3 R p b 2 4 x L 0 J h b G F u Y 2 V T a G V l d C 9 D a G F u Z 2 V k I F R 5 c G U u e 1 R y Y W R l Y W 5 k T 3 R o Z X J Q Y X l h Y m x l c 0 5 v b k N 1 c n J l b n Q s M T E y f S Z x d W 9 0 O y w m c X V v d D t T Z W N 0 a W 9 u M S 9 C Y W x h b m N l U 2 h l Z X Q v Q 2 h h b m d l Z C B U e X B l L n t X b 3 J r a W 5 n Q 2 F w a X R h b C w 3 M X 0 m c X V v d D s s J n F 1 b 3 Q 7 U 2 V j d G l v b j E v Q m F s Y W 5 j Z V N o Z W V 0 L 0 N o Y W 5 n Z W Q g V H l w Z S 5 7 Q 3 V y c m V u d E R l Z m V y c m V k T G l h Y m l s a X R p Z X M s M j F 9 J n F 1 b 3 Q 7 L C Z x d W 9 0 O 1 N l Y 3 R p b 2 4 x L 0 J h b G F u Y 2 V T a G V l d C 9 D a G F u Z 2 V k I F R 5 c G U u e 0 N 1 c n J l b n R E Z W Z l c n J l Z F J l d m V u d W U s M j J 9 J n F 1 b 3 Q 7 L C Z x d W 9 0 O 1 N l Y 3 R p b 2 4 x L 0 J h b G F u Y 2 V T a G V l d C 9 D a G F u Z 2 V k I F R 5 c G U u e 0 V t c G x v e W V l Q m V u Z W Z p d H M s M T E z f S Z x d W 9 0 O y w m c X V v d D t T Z W N 0 a W 9 u M S 9 C Y W x h b m N l U 2 h l Z X Q v Q 2 h h b m d l Z C B U e X B l L n t G a W 5 p c 2 h l Z E d v b 2 R z L D I 1 f S Z x d W 9 0 O y w m c X V v d D t T Z W N 0 a W 9 u M S 9 C Y W x h b m N l U 2 h l Z X Q v Q 2 h h b m d l Z C B U e X B l L n t J b n Z l b n R v c n k s M z F 9 J n F 1 b 3 Q 7 L C Z x d W 9 0 O 1 N l Y 3 R p b 2 4 x L 0 J h b G F u Y 2 V T a G V l d C 9 Q c m 9 t b 3 R l Z C B I Z W F k Z X J z L n t J b n Z l c 3 R t Z W 5 0 U H J v c G V y d G l l c y w 5 M n 0 m c X V v d D s s J n F 1 b 3 Q 7 U 2 V j d G l v b j E v Q m F s Y W 5 j Z V N o Z W V 0 L 0 N o Y W 5 n Z W Q g V H l w Z S 5 7 T m 9 u Q 3 V y c m V u d E R l Z m V y c m V k Q X N z Z X R z L D Q x f S Z x d W 9 0 O y w m c X V v d D t T Z W N 0 a W 9 u M S 9 C Y W x h b m N l U 2 h l Z X Q v Q 2 h h b m d l Z C B U e X B l L n t O b 2 5 D d X J y Z W 5 0 R G V m Z X J y Z W R U Y X h l c 0 F z c 2 V 0 c y w 3 N 3 0 m c X V v d D s s J n F 1 b 3 Q 7 U 2 V j d G l v b j E v Q m F s Y W 5 j Z V N o Z W V 0 L 0 N o Y W 5 n Z W Q g V H l w Z S 5 7 T m 9 u Q 3 V y c m V u d F B l b n N p b 2 5 B b m R P d G h l c l B v c 3 R y Z X R p c m V t Z W 5 0 Q m V u Z W Z p d F B s Y W 5 z L D E x N H 0 m c X V v d D s s J n F 1 b 3 Q 7 U 2 V j d G l v b j E v Q m F s Y W 5 j Z V N o Z W V 0 L 0 N o Y W 5 n Z W Q g V H l w Z S 5 7 U m F 3 T W F 0 Z X J p Y W x z L D U 2 f S Z x d W 9 0 O y w m c X V v d D t T Z W N 0 a W 9 u M S 9 C Y W x h b m N l U 2 h l Z X Q v U H J v b W 9 0 Z W Q g S G V h Z G V y c y 5 7 U H J l Z m V y c m V k U 3 R v Y 2 t F c X V p d H k s O T d 9 J n F 1 b 3 Q 7 L C Z x d W 9 0 O 1 N l Y 3 R p b 2 4 x L 0 J h b G F u Y 2 V T a G V l d C 9 D a G F u Z 2 V k I F R 5 c G U u e 1 d v c m t J b l B y b 2 N l c 3 M s N z B 9 J n F 1 b 3 Q 7 L C Z x d W 9 0 O 1 N l Y 3 R p b 2 4 x L 0 J h b G F u Y 2 V T a G V l d C 9 D a G F u Z 2 V k I F R 5 c G U u e 0 N h c 2 h F c X V p d m F s Z W 5 0 c y w x M T V 9 J n F 1 b 3 Q 7 L C Z x d W 9 0 O 1 N l Y 3 R p b 2 4 x L 0 J h b G F u Y 2 V T a G V l d C 9 Q c m 9 t b 3 R l Z C B I Z W F k Z X J z L n t E d W V m c m 9 t U m V s Y X R l Z F B h c n R p Z X N D d X J y Z W 5 0 L D E w M H 0 m c X V v d D s s J n F 1 b 3 Q 7 U 2 V j d G l v b j E v Q m F s Y W 5 j Z V N o Z W V 0 L 0 N o Y W 5 n Z W Q g V H l w Z S 5 7 Q 2 F z a E Z p b m F u Y 2 l h b C w x M 3 0 m c X V v d D s s J n F 1 b 3 Q 7 U 2 V j d G l v b j E v Q m F s Y W 5 j Z V N o Z W V 0 L 1 B y b 2 1 v d G V k I E h l Y W R l c n M u e 0 R 1 Z W Z y b 2 1 S Z W x h d G V k U G F y d G l l c 0 5 v b k N 1 c n J l b n Q s M T A y f S Z x d W 9 0 O y w m c X V v d D t T Z W N 0 a W 9 u M S 9 C Y W x h b m N l U 2 h l Z X Q v Q 2 h h b m d l Z C B U e X B l L n t I Z W R n a W 5 n Q X N z Z X R z Q 3 V y c m V u d C w x M T Z 9 J n F 1 b 3 Q 7 L C Z x d W 9 0 O 1 N l Y 3 R p b 2 4 x L 0 J h b G F u Y 2 V T a G V l d C 9 D a G F u Z 2 V k I F R 5 c G U u e 0 5 v b k N 1 c n J l b n R E Z W Z l c n J l Z F J l d m V u d W U s N z Z 9 J n F 1 b 3 Q 7 L C Z x d W 9 0 O 1 N l Y 3 R p b 2 4 x L 0 J h b G F u Y 2 V T a G V l d C 9 D a G F u Z 2 V k I F R 5 c G U u e 0 N v b W 1 l c m N p Y W x Q Y X B l c i w x M T d 9 J n F 1 b 3 Q 7 L C Z x d W 9 0 O 1 N l Y 3 R p b 2 4 x L 0 J h b G F u Y 2 V T a G V l d C 9 D a G F u Z 2 V k I F R 5 c G U u e 0 N 1 c n J l b n R O b 3 R l c 1 B h e W F i b G U s M T E 4 f S Z x d W 9 0 O y w m c X V v d D t T Z W N 0 a W 9 u M S 9 C Y W x h b m N l U 2 h l Z X Q v U H J v b W 9 0 Z W Q g S G V h Z G V y c y 5 7 Y X N P Z l l l Y X I s M T A 3 f S Z x d W 9 0 O y w m c X V v d D t T Z W N 0 a W 9 u M S 9 C Y W x h b m N l U 2 h l Z X Q v Q 2 h h b m d l Z C B U e X B l L n t E a X Z p Z G V u Z H N Q Y X l h Y m x l L D k 5 f S Z x d W 9 0 O y w m c X V v d D t T Z W N 0 a W 9 u M S 9 C Y W x h b m N l U 2 h l Z X Q v Q 2 h h b m d l Z C B U e X B l L n t G b 3 J l a W d u Q 3 V y c m V u Y 3 l U c m F u c 2 x h d G l v b k F k a n V z d G 1 l b n R z L D E x O X 0 m c X V v d D s s J n F 1 b 3 Q 7 U 2 V j d G l v b j E v Q m F s Y W 5 j Z V N o Z W V 0 L 0 N o Y W 5 n Z W Q g V H l w Z S 5 7 S W 5 2 Z X N 0 b W V u d H N p b k F z c 2 9 j a W F 0 Z X N h d E N v c 3 Q s M T I w f S Z x d W 9 0 O y w m c X V v d D t T Z W N 0 a W 9 u M S 9 C Y W x h b m N l U 2 h l Z X Q v Q 2 h h b m d l Z C B U e X B l L n t M a W 5 l T 2 Z D c m V k a X Q s O D l 9 J n F 1 b 3 Q 7 L C Z x d W 9 0 O 1 N l Y 3 R p b 2 4 x L 0 J h b G F u Y 2 V T a G V l d C 9 D a G F u Z 2 V k I F R 5 c G U u e 0 1 p b m l t d W 1 Q Z W 5 z a W 9 u T G l h Y m l s a X R p Z X M s M T I x f S Z x d W 9 0 O y w m c X V v d D t T Z W N 0 a W 9 u M S 9 C Y W x h b m N l U 2 h l Z X Q v Q 2 h h b m d l Z C B U e X B l L n t Q c m V m Z X J y Z W R T a G F y Z X N O d W 1 i Z X I s M T I y f S Z x d W 9 0 O y w m c X V v d D t T Z W N 0 a W 9 u M S 9 C Y W x h b m N l U 2 h l Z X Q v Q 2 h h b m d l Z C B U e X B l L n t Q c m V m Z X J y Z W R T d G 9 j a y w 1 M 3 0 m c X V v d D s s J n F 1 b 3 Q 7 U 2 V j d G l v b j E v Q m F s Y W 5 j Z V N o Z W V 0 L 0 N o Y W 5 n Z W Q g V H l w Z S 5 7 V H J l Y X N 1 c n l T a G F y Z X N O d W 1 i Z X I s N j l 9 J n F 1 b 3 Q 7 L C Z x d W 9 0 O 1 N l Y 3 R p b 2 4 x L 0 J h b G F u Y 2 V T a G V l d C 9 D a G F u Z 2 V k I F R 5 c G U u e 1 R y Z W F z d X J 5 U 3 R v Y 2 s s O D h 9 J n F 1 b 3 Q 7 L C Z x d W 9 0 O 1 N l Y 3 R p b 2 4 x L 0 J h b G F u Y 2 V T a G V l d C 9 D a G F u Z 2 V k I F R 5 c G U u e 1 V u c m V h b G l 6 Z W R H Y W l u T G 9 z c y w x M j N 9 J n F 1 b 3 Q 7 L C Z x d W 9 0 O 1 N l Y 3 R p b 2 4 x L 0 J h b G F u Y 2 V T a G V l d C 9 D a G F u Z 2 V k I F R 5 c G U u e 0 R l Z m l u Z W R Q Z W 5 z a W 9 u Q m V u Z W Z p d C w x M j R 9 J n F 1 b 3 Q 7 L C Z x d W 9 0 O 1 N l Y 3 R p b 2 4 x L 0 J h b G F u Y 2 V T a G V l d C 9 D a G F u Z 2 V k I F R 5 c G U u e 0 5 v b k N 1 c n J l b n R B Y 2 N v d W 5 0 c 1 J l Y 2 V p d m F i b G U s M T A z f S Z x d W 9 0 O y w m c X V v d D t T Z W N 0 a W 9 u M S 9 C Y W x h b m N l U 2 h l Z X Q v Q 2 h h b m d l Z C B U e X B l L n t P d G h l c k l u d m V u d G 9 y a W V z L D E y N X 0 m c X V v d D s s J n F 1 b 3 Q 7 U 2 V j d G l v b j E v Q m F s Y W 5 j Z V N o Z W V 0 L 0 N o Y W 5 n Z W Q g V H l w Z S 5 7 T 3 R o Z X J J b n Z l c 3 R t Z W 5 0 c y w 4 N 3 0 m c X V v d D s s J n F 1 b 3 Q 7 U 2 V j d G l v b j E v Q m F s Y W 5 j Z V N o Z W V 0 L 0 N o Y W 5 n Z W Q g V H l w Z S 5 7 V G F 4 Z X N S Z W N l a X Z h Y m x l L D E w M X 0 m c X V v d D s s J n F 1 b 3 Q 7 U 2 V j d G l v b j E v Q m F s Y W 5 j Z V N o Z W V 0 L 0 N o Y W 5 n Z W Q g V H l w Z S 5 7 Q 3 V y c m V u d E R l Z m V y c m V k Q X N z Z X R z L D c 0 f S Z x d W 9 0 O y w m c X V v d D t T Z W N 0 a W 9 u M S 9 C Y W x h b m N l U 2 h l Z X Q v Q 2 h h b m d l Z C B U e X B l L n t E Z X J p d m F 0 a X Z l U H J v Z H V j d E x p Y W J p b G l 0 a W V z L D I 0 f S Z x d W 9 0 O y w m c X V v d D t T Z W N 0 a W 9 u M S 9 C Y W x h b m N l U 2 h l Z X Q v Q 2 h h b m d l Z C B U e X B l L n t G a W 5 h b m N p Y W x B c 3 N l d H M s M T I 2 f S Z x d W 9 0 O y w m c X V v d D t T Z W N 0 a W 9 u M S 9 C Y W x h b m N l U 2 h l Z X Q v Q 2 h h b m d l Z C B U e X B l L n t J b n Z l c 3 R t Z W 5 0 c 0 l u T 3 R o Z X J W Z W 5 0 d X J l c 1 V u Z G V y R X F 1 a X R 5 T W V 0 a G 9 k L D E y N 3 0 m c X V v d D s s J n F 1 b 3 Q 7 U 2 V j d G l v b j E v Q m F s Y W 5 j Z V N o Z W V 0 L 0 N o Y W 5 n Z W Q g V H l w Z S 5 7 T G l h Y m l s a X R p Z X N I Z W x k Z m 9 y U 2 F s Z U 5 v b k N 1 c n J l b n Q s M T I 4 f S Z x d W 9 0 O y w m c X V v d D t T Z W N 0 a W 9 u M S 9 C Y W x h b m N l U 2 h l Z X Q v Q 2 h h b m d l Z C B U e X B l L n t O b 2 5 D d X J y Z W 5 0 Q W N j c n V l Z E V 4 c G V u c 2 V z L D E y O X 0 m c X V v d D s s J n F 1 b 3 Q 7 U 2 V j d G l v b j E v Q m F s Y W 5 j Z V N o Z W V 0 L 0 N o Y W 5 n Z W Q g V H l w Z S 5 7 T m 9 u Q 3 V y c m V u d F B y Z X B h a W R B c 3 N l d H M s O D Z 9 J n F 1 b 3 Q 7 L C Z x d W 9 0 O 1 N l Y 3 R p b 2 4 x L 0 J h b G F u Y 2 V T a G V l d C 9 D a G F u Z 2 V k I F R 5 c G U u e 0 9 0 a G V y R X F 1 a X R 5 S W 5 0 Z X J l c 3 Q s M T M w f S Z x d W 9 0 O y w m c X V v d D t T Z W N 0 a W 9 u M S 9 C Y W x h b m N l U 2 h l Z X Q v Q 2 h h b m d l Z C B U e X B l L n t J b n Z l b n R v c m l l c 0 F k a n V z d G 1 l b n R z Q W x s b 3 d h b m N l c y w x M z F 9 J n F 1 b 3 Q 7 L C Z x d W 9 0 O 1 N l Y 3 R p b 2 4 x L 0 J h b G F u Y 2 V T a G V l d C 9 D a G F u Z 2 V k I F R 5 c G U u e 1 R p Y 2 t l c i w x M D Z 9 J n F 1 b 3 Q 7 X S w m c X V v d D t S Z W x h d G l v b n N o a X B J b m Z v J n F 1 b 3 Q 7 O l t d f S I g L z 4 8 L 1 N 0 Y W J s Z U V u d H J p Z X M + P C 9 J d G V t P j x J d G V t P j x J d G V t T G 9 j Y X R p b 2 4 + P E l 0 Z W 1 U e X B l P k Z v c m 1 1 b G E 8 L 0 l 0 Z W 1 U e X B l P j x J d G V t U G F 0 a D 5 T Z W N 0 a W 9 u M S 9 C Y W x h b m N l U 2 h l Z X Q v U 2 9 1 c m N l P C 9 J d G V t U G F 0 a D 4 8 L 0 l 0 Z W 1 M b 2 N h d G l v b j 4 8 U 3 R h Y m x l R W 5 0 c m l l c y A v P j w v S X R l b T 4 8 S X R l b T 4 8 S X R l b U x v Y 2 F 0 a W 9 u P j x J d G V t V H l w Z T 5 G b 3 J t d W x h P C 9 J d G V t V H l w Z T 4 8 S X R l b V B h d G g + U 2 V j d G l v b j E v Q m F s Y W 5 j Z V N o Z W V 0 L 0 J h b G F u Y 2 V T a G V l d F 9 T a G V l d D w v S X R l b V B h d G g + P C 9 J d G V t T G 9 j Y X R p b 2 4 + P F N 0 Y W J s Z U V u d H J p Z X M g L z 4 8 L 0 l 0 Z W 0 + P E l 0 Z W 0 + P E l 0 Z W 1 M b 2 N h d G l v b j 4 8 S X R l b V R 5 c G U + R m 9 y b X V s Y T w v S X R l b V R 5 c G U + P E l 0 Z W 1 Q Y X R o P l N l Y 3 R p b 2 4 x L 0 J h b G F u Y 2 V T a G V l d C 9 Q c m 9 t b 3 R l Z C U y M E h l Y W R l c n M 8 L 0 l 0 Z W 1 Q Y X R o P j w v S X R l b U x v Y 2 F 0 a W 9 u P j x T d G F i b G V F b n R y a W V z I C 8 + P C 9 J d G V t P j x J d G V t P j x J d G V t T G 9 j Y X R p b 2 4 + P E l 0 Z W 1 U e X B l P k Z v c m 1 1 b G E 8 L 0 l 0 Z W 1 U e X B l P j x J d G V t U G F 0 a D 5 T Z W N 0 a W 9 u M S 9 C Y W x h b m N l U 2 h l Z X Q v Q 2 h h b m d l Z C U y M F R 5 c G U 8 L 0 l 0 Z W 1 Q Y X R o P j w v S X R l b U x v Y 2 F 0 a W 9 u P j x T d G F i b G V F b n R y a W V z I C 8 + P C 9 J d G V t P j x J d G V t P j x J d G V t T G 9 j Y X R p b 2 4 + P E l 0 Z W 1 U e X B l P k Z v c m 1 1 b G E 8 L 0 l 0 Z W 1 U e X B l P j x J d G V t U G F 0 a D 5 T Z W N 0 a W 9 u M S 9 D Y X N o R m x v d z w v S X R l b V B h d G g + P C 9 J d G V t T G 9 j Y X R p b 2 4 + P F N 0 Y W J s Z U V u d H J p Z X M + P E V u d H J 5 I F R 5 c G U 9 I k l z U H J p d m F 0 Z S I g V m F s d W U 9 I m w w I i A v P j x F b n R y e S B U e X B l P S J R d W V y e U l E I i B W Y W x 1 Z T 0 i c z Y 3 Z j M 0 M G Z i L T B j M z Y t N D B i Y S 1 i M m F i L W Q 4 Y j Q 1 Z G F h Y m J l 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z a E Z s b 3 c i I C 8 + P E V u d H J 5 I F R 5 c G U 9 I k Z p b G x l Z E N v b X B s Z X R l U m V z d W x 0 V G 9 X b 3 J r c 2 h l Z X Q i I F Z h b H V l P S J s M S I g L z 4 8 R W 5 0 c n k g V H l w Z T 0 i R m l s b E V y c m 9 y Q 2 9 k Z S I g V m F s d W U 9 I n N V b m t u b 3 d u I i A v P j x F b n R y e S B U e X B l P S J G a W x s R X J y b 3 J D b 3 V u d C I g V m F s d W U 9 I m w w I i A v P j x F b n R y e S B U e X B l P S J G a W x s Q 2 9 1 b n Q i I F Z h b H V l P S J s N j M i I C 8 + P E V u d H J 5 I F R 5 c G U 9 I k F k Z G V k V G 9 E Y X R h T W 9 k Z W w i I F Z h b H V l P S J s M C I g L z 4 8 R W 5 0 c n k g V H l w Z T 0 i R m l s b E x h c 3 R V c G R h d G V k I i B W Y W x 1 Z T 0 i Z D I w M j Q t M D k t M D l U M j M 6 N T k 6 M D k u O D E 4 N D A 4 N 1 o i I C 8 + P E V u d H J 5 I F R 5 c G U 9 I k Z p b G x D b 2 x 1 b W 5 U e X B l c y I g V m F s d W U 9 I n N C Z 2 t E Q m d B R 0 F 3 T U R B d 0 1 E Q X d N R E F 3 T U R B d 0 1 E Q X d N R E F 3 T U R B d 0 1 E Q X d N R E F 3 T U R B d 0 1 E Q X d N R E F 3 T U R B d 0 1 E Q X d N R E F 3 T U R B d 0 1 E Q X d N R E F 3 T U R B d 0 1 E Q X d N R E F 3 T U F B d 0 1 B Q X d N R E F 3 T U R B d 0 1 E Q X d N R E F B Q U R B d 0 1 B Q X d N R E F 3 T U R B d 0 1 H I i A v P j x F b n R y e S B U e X B l P S J G a W x s Q 2 9 s d W 1 u T m F t Z X M i I F Z h b H V l P S J z W y Z x d W 9 0 O 2 l k J n F 1 b 3 Q 7 L C Z x d W 9 0 O 2 F z T 2 Z E Y X R l J n F 1 b 3 Q 7 L C Z x d W 9 0 O 1 l l Y X I m c X V v d D s s J n F 1 b 3 Q 7 c G V y a W 9 k V H l w Z S Z x d W 9 0 O y w m c X V v d D t B b W 9 y d G l 6 Y X R p b 2 5 P Z l N l Y 3 V y a X R p Z X M m c X V v d D s s J n F 1 b 3 Q 7 Y 3 V y c m V u Y 3 l D b 2 R l J n F 1 b 3 Q 7 L C Z x d W 9 0 O 0 F z c 2 V 0 S W 1 w Y W l y b W V u d E N o Y X J n Z S Z x d W 9 0 O y w m c X V v d D t C Z W d p b m 5 p b m d D Y X N o U G 9 z a X R p b 2 4 m c X V v d D s s J n F 1 b 3 Q 7 Q 2 F w a X R h b E V 4 c G V u Z G l 0 d X J l J n F 1 b 3 Q 7 L C Z x d W 9 0 O 0 N h c 2 h G b G 9 3 R n J v b U N v b n R p b n V p b m d G a W 5 h b m N p b m d B Y 3 R p d m l 0 a W V z J n F 1 b 3 Q 7 L C Z x d W 9 0 O 0 N h c 2 h G b G 9 3 R n J v b U N v b n R p b n V p b m d J b n Z l c 3 R p b m d B Y 3 R p d m l 0 a W V z J n F 1 b 3 Q 7 L C Z x d W 9 0 O 0 N h c 2 h G b G 9 3 R n J v b U N v b n R p b n V p b m d P c G V y Y X R p b m d B Y 3 R p d m l 0 a W V z J n F 1 b 3 Q 7 L C Z x d W 9 0 O 0 N o Y W 5 n Z U l u Q W N j b 3 V u d F B h e W F i b G U m c X V v d D s s J n F 1 b 3 Q 7 Q 2 h h b m d l S W 5 B Y 2 N y d W V k R X h w Z W 5 z Z S Z x d W 9 0 O y w m c X V v d D t D a G F u Z 2 V J b k N h c 2 h T d X B w b G V t Z W 5 0 Y W x B c 1 J l c G 9 y d G V k J n F 1 b 3 Q 7 L C Z x d W 9 0 O 0 N o Y W 5 n Z U l u T 3 R o Z X J D d X J y Z W 5 0 Q X N z Z X R z J n F 1 b 3 Q 7 L C Z x d W 9 0 O 0 N o Y W 5 n Z U l u T 3 R o Z X J D d X J y Z W 5 0 T G l h Y m l s a X R p Z X M m c X V v d D s s J n F 1 b 3 Q 7 Q 2 h h b m d l S W 5 P d G h l c l d v c m t p b m d D Y X B p d G F s J n F 1 b 3 Q 7 L C Z x d W 9 0 O 0 N o Y W 5 n Z U l u U G F 5 Y W J s Z S Z x d W 9 0 O y w m c X V v d D t D a G F u Z 2 V J b l B h e W F i b G V z Q W 5 k Q W N j c n V l Z E V 4 c G V u c 2 U m c X V v d D s s J n F 1 b 3 Q 7 Q 2 h h b m d l S W 5 Q c m V w Y W l k Q X N z Z X R z J n F 1 b 3 Q 7 L C Z x d W 9 0 O 0 N o Y W 5 n Z U l u U m V j Z W l 2 Y W J s Z X M m c X V v d D s s J n F 1 b 3 Q 7 Q 2 h h b m d l S W 5 X b 3 J r a W 5 n Q 2 F w a X R h b C Z x d W 9 0 O y w m c X V v d D t D a G F u Z 2 V z S W 5 B Y 2 N v d W 5 0 U m V j Z W l 2 Y W J s Z X M m c X V v d D s s J n F 1 b 3 Q 7 Q 2 h h b m d l c 0 l u Q 2 F z a C Z x d W 9 0 O y w m c X V v d D t D b 2 1 t b 2 5 T d G 9 j a 0 l z c 3 V h b m N l J n F 1 b 3 Q 7 L C Z x d W 9 0 O 0 N v b W 1 v b l N 0 b 2 N r U G F 5 b W V u d H M m c X V v d D s s J n F 1 b 3 Q 7 R G V m Z X J y Z W R J b m N v b W V U Y X g m c X V v d D s s J n F 1 b 3 Q 7 R G V m Z X J y Z W R U Y X g m c X V v d D s s J n F 1 b 3 Q 7 R G V w c m V j a W F 0 a W 9 u Q W 1 v c n R p e m F 0 a W 9 u R G V w b G V 0 a W 9 u J n F 1 b 3 Q 7 L C Z x d W 9 0 O 0 R l c H J l Y 2 l h d G l v b k F u Z E F t b 3 J 0 a X p h d G l v b i Z x d W 9 0 O y w m c X V v d D t F Y X J u a W 5 n c 0 x v c 3 N l c 0 Z y b 2 1 F c X V p d H l J b n Z l c 3 R t Z W 5 0 c y Z x d W 9 0 O y w m c X V v d D t F Z m Z l Y 3 R P Z k V 4 Y 2 h h b m d l U m F 0 Z U N o Y W 5 n Z X M m c X V v d D s s J n F 1 b 3 Q 7 R W 5 k Q 2 F z a F B v c 2 l 0 a W 9 u J n F 1 b 3 Q 7 L C Z x d W 9 0 O 0 Z p b m F u Y 2 l u Z 0 N h c 2 h G b G 9 3 J n F 1 b 3 Q 7 L C Z x d W 9 0 O 0 Z y Z W V D Y X N o R m x v d y Z x d W 9 0 O y w m c X V v d D t H Y W l u T G 9 z c 0 9 u S W 5 2 Z X N 0 b W V u d F N l Y 3 V y a X R p Z X M m c X V v d D s s J n F 1 b 3 Q 7 R 2 F p b k x v c 3 N P b l N h b G V P Z k J 1 c 2 l u Z X N z J n F 1 b 3 Q 7 L C Z x d W 9 0 O 0 l u Y 2 9 t Z V R h e F B h a W R T d X B w b G V t Z W 5 0 Y W x E Y X R h J n F 1 b 3 Q 7 L C Z x d W 9 0 O 0 l u d G V y Z X N 0 U G F p Z F N 1 c H B s Z W 1 l b n R h b E R h d G E m c X V v d D s s J n F 1 b 3 Q 7 S W 5 2 Z X N 0 a W 5 n Q 2 F z a E Z s b 3 c m c X V v d D s s J n F 1 b 3 Q 7 S X N z d W F u Y 2 V P Z k N h c G l 0 Y W x T d G 9 j a y Z x d W 9 0 O y w m c X V v d D t J c 3 N 1 Y W 5 j Z U 9 m R G V i d C Z x d W 9 0 O y w m c X V v d D t M b 2 5 n V G V y b U R l Y n R J c 3 N 1 Y W 5 j Z S Z x d W 9 0 O y w m c X V v d D t M b 2 5 n V G V y b U R l Y n R Q Y X l t Z W 5 0 c y Z x d W 9 0 O y w m c X V v d D t O Z X R C d X N p b m V z c 1 B 1 c m N o Y X N l Q W 5 k U 2 F s Z S Z x d W 9 0 O y w m c X V v d D t O Z X R D b 2 1 t b 2 5 T d G 9 j a 0 l z c 3 V h b m N l J n F 1 b 3 Q 7 L C Z x d W 9 0 O 0 5 l d E Z v c m V p Z 2 5 D d X J y Z W 5 j e U V 4 Y 2 h h b m d l R 2 F p b k x v c 3 M m c X V v d D s s J n F 1 b 3 Q 7 T m V 0 S W 5 j b 2 1 l J n F 1 b 3 Q 7 L C Z x d W 9 0 O 0 5 l d E l u Y 2 9 t Z U Z y b 2 1 D b 2 5 0 a W 5 1 a W 5 n T 3 B l c m F 0 a W 9 u c y Z x d W 9 0 O y w m c X V v d D t O Z X R J b n Z l c 3 R t Z W 5 0 U H V y Y 2 h h c 2 V B b m R T Y W x l J n F 1 b 3 Q 7 L C Z x d W 9 0 O 0 5 l d E l z c 3 V h b m N l U G F 5 b W V u d H N P Z k R l Y n Q m c X V v d D s s J n F 1 b 3 Q 7 T m V 0 T G 9 u Z 1 R l c m 1 E Z W J 0 S X N z d W F u Y 2 U m c X V v d D s s J n F 1 b 3 Q 7 T m V 0 T 3 R o Z X J G a W 5 h b m N p b m d D a G F y Z 2 V z J n F 1 b 3 Q 7 L C Z x d W 9 0 O 0 5 l d E 9 0 a G V y S W 5 2 Z X N 0 a W 5 n Q 2 h h b m d l c y Z x d W 9 0 O y w m c X V v d D t O Z X R Q U E V Q d X J j a G F z Z U F u Z F N h b G U m c X V v d D s s J n F 1 b 3 Q 7 T m V 0 U H J l Z m V y c m V k U 3 R v Y 2 t J c 3 N 1 Y W 5 j Z S Z x d W 9 0 O y w m c X V v d D t P c G V y Y X R p b m d D Y X N o R m x v d y Z x d W 9 0 O y w m c X V v d D t P c G V y Y X R p b m d H Y W l u c 0 x v c 3 N l c y Z x d W 9 0 O y w m c X V v d D t P d G h l c k N h c 2 h B Z G p 1 c 3 R t Z W 5 0 T 3 V 0 c 2 l k Z U N o Y W 5 n Z W l u Q 2 F z a C Z x d W 9 0 O y w m c X V v d D t P d G h l c k 5 v b k N h c 2 h J d G V t c y Z x d W 9 0 O y w m c X V v d D t Q c m V m Z X J y Z W R T d G 9 j a 0 l z c 3 V h b m N l J n F 1 b 3 Q 7 L C Z x d W 9 0 O 1 B y b 2 N l Z W R z R n J v b V N 0 b 2 N r T 3 B 0 a W 9 u R X h l c m N p c 2 V k J n F 1 b 3 Q 7 L C Z x d W 9 0 O 1 B 1 c m N o Y X N l T 2 Z C d X N p b m V z c y Z x d W 9 0 O y w m c X V v d D t Q d X J j a G F z Z U 9 m S W 5 2 Z X N 0 b W V u d C Z x d W 9 0 O y w m c X V v d D t Q d X J j a G F z Z U 9 m U F B F J n F 1 b 3 Q 7 L C Z x d W 9 0 O 1 J l c G F 5 b W V u d E 9 m R G V i d C Z x d W 9 0 O y w m c X V v d D t S Z X B 1 c m N o Y X N l T 2 Z D Y X B p d G F s U 3 R v Y 2 s m c X V v d D s s J n F 1 b 3 Q 7 U 2 F s Z U 9 m Q n V z a W 5 l c 3 M m c X V v d D s s J n F 1 b 3 Q 7 U 2 F s Z U 9 m S W 5 2 Z X N 0 b W V u d C Z x d W 9 0 O y w m c X V v d D t T Y W x l T 2 Z Q U E U m c X V v d D s s J n F 1 b 3 Q 7 Q 2 h h b m d l S W 5 J b n R l c m V z d F B h e W F i b G U m c X V v d D s s J n F 1 b 3 Q 7 U 3 R v Y 2 t C Y X N l Z E N v b X B l b n N h d G l v b i Z x d W 9 0 O y w m c X V v d D t V b n J l Y W x p e m V k R 2 F p b k x v c 3 N P b k l u d m V z d G 1 l b n R T Z W N 1 c m l 0 a W V z J n F 1 b 3 Q 7 L C Z x d W 9 0 O 1 N h b G V P Z k l u d G F u Z 2 l i b G V z J n F 1 b 3 Q 7 L C Z x d W 9 0 O 0 F t b 3 J 0 a X p h d G l v b k N h c 2 h G b G 9 3 J n F 1 b 3 Q 7 L C Z x d W 9 0 O 0 F t b 3 J 0 a X p h d G l v b k 9 m S W 5 0 Y W 5 n a W J s Z X M m c X V v d D s s J n F 1 b 3 Q 7 Q 2 F w a X R h b E V 4 c G V u Z G l 0 d X J l U m V w b 3 J 0 Z W Q m c X V v d D s s J n F 1 b 3 Q 7 Q 2 F z a E R p d m l k Z W 5 k c 1 B h a W Q m c X V v d D s s J n F 1 b 3 Q 7 Q 2 h h b m d l S W 5 J b m N v b W V U Y X h Q Y X l h Y m x l J n F 1 b 3 Q 7 L C Z x d W 9 0 O 0 N o Y W 5 n Z U l u S W 5 2 Z W 5 0 b 3 J 5 J n F 1 b 3 Q 7 L C Z x d W 9 0 O 0 N o Y W 5 n Z U l u V G F 4 U G F 5 Y W J s Z S Z x d W 9 0 O y w m c X V v d D t D b 2 1 t b 2 5 T d G 9 j a 0 R p d m l k Z W 5 k U G F p Z C Z x d W 9 0 O y w m c X V v d D t E Z X B y Z W N p Y X R p b 2 4 m c X V v d D s s J n F 1 b 3 Q 7 R 2 F p b k x v c 3 N P b l N h b G V P Z l B Q R S Z x d W 9 0 O y w m c X V v d D t O Z X R T a G 9 y d F R l c m 1 E Z W J 0 S X N z d W F u Y 2 U m c X V v d D s s J n F 1 b 3 Q 7 U G V u c 2 l v b k F u Z E V t c G x v e W V l Q m V u Z W Z p d E V 4 c G V u c 2 U m c X V v d D s s J n F 1 b 3 Q 7 T m V 0 S W 5 2 Z X N 0 b W V u d F B y b 3 B l c n R p Z X N Q d X J j a G F z Z U F u Z F N h b G U m c X V v d D s s J n F 1 b 3 Q 7 U 2 F s Z U 9 m S W 5 2 Z X N 0 b W V u d F B y b 3 B l c n R p Z X M m c X V v d D s s J n F 1 b 3 Q 7 U 2 h v c n R U Z X J t R G V i d E l z c 3 V h b m N l J n F 1 b 3 Q 7 L C Z x d W 9 0 O 1 N o b 3 J 0 V G V y b U R l Y n R Q Y X l t Z W 5 0 c y Z x d W 9 0 O y w m c X V v d D t D Y X N o R n J v b U R p c 2 N v b n R p b n V l Z E Z p b m F u Y 2 l u Z 0 F j d G l 2 a X R p Z X M m c X V v d D s s J n F 1 b 3 Q 7 Y X N P Z l l l Y X I m c X V v d D s s J n F 1 b 3 Q 7 Q 2 F z a E Z y b 2 1 E a X N j b 2 5 0 a W 5 1 Z W R J b n Z l c 3 R p b m d B Y 3 R p d m l 0 a W V z J n F 1 b 3 Q 7 L C Z x d W 9 0 O 0 N h c 2 h G c m 9 t R G l z Y 2 9 u d G l u d W V k T 3 B l c m F 0 a W 5 n Q W N 0 a X Z p d G l l c y Z x d W 9 0 O y w m c X V v d D t E a X Z p Z G V u Z H N S Z W N l a X Z l Z E N G S S Z x d W 9 0 O y w m c X V v d D t Q c m V m Z X J y Z W R T d G 9 j a 0 R p d m l k Z W 5 k U G F p Z C Z x d W 9 0 O y w m c X V v d D t Q c m V m Z X J y Z W R T d G 9 j a 1 B h e W 1 l b n R z J n F 1 b 3 Q 7 L C Z x d W 9 0 O 1 B y b 3 Z p c 2 l v b m F u Z F d y a X R l T 2 Z m b 2 Z B c 3 N l d H M m c X V v d D s s J n F 1 b 3 Q 7 T m V 0 S W 5 0 Y W 5 n a W J s Z X N Q d X J j a G F z Z U F u Z F N h b G U m c X V v d D s s J n F 1 b 3 Q 7 U H V y Y 2 h h c 2 V P Z k l u d G F u Z 2 l i b G V z J n F 1 b 3 Q 7 L C Z x d W 9 0 O 1 R p Y 2 t l c i Z x d W 9 0 O 1 0 i I C 8 + P E V u d H J 5 I F R 5 c G U 9 I k Z p b G x T d G F 0 d X M i I F Z h b H V l P S J z Q 2 9 t c G x l d G U i I C 8 + P E V u d H J 5 I F R 5 c G U 9 I l J l b G F 0 a W 9 u c 2 h p c E l u Z m 9 D b 2 5 0 Y W l u Z X I i I F Z h b H V l P S J z e y Z x d W 9 0 O 2 N v b H V t b k N v d W 5 0 J n F 1 b 3 Q 7 O j E w M i w m c X V v d D t r Z X l D b 2 x 1 b W 5 O Y W 1 l c y Z x d W 9 0 O z p b X S w m c X V v d D t x d W V y e V J l b G F 0 a W 9 u c 2 h p c H M m c X V v d D s 6 W 1 0 s J n F 1 b 3 Q 7 Y 2 9 s d W 1 u S W R l b n R p d G l l c y Z x d W 9 0 O z p b J n F 1 b 3 Q 7 U 2 V j d G l v b j E v Q 2 F z a E Z s b 3 c v Q 2 h h b m d l Z C B U e X B l L n t p Z C w w f S Z x d W 9 0 O y w m c X V v d D t T Z W N 0 a W 9 u M S 9 D Y X N o R m x v d y 9 D a G F u Z 2 V k I F R 5 c G U u e 2 F z T 2 Z E Y X R l L D F 9 J n F 1 b 3 Q 7 L C Z x d W 9 0 O 1 N l Y 3 R p b 2 4 x L 0 N h c 2 h G b G 9 3 L 0 l u c 2 V y d G V k I F l l Y X I u e 1 l l Y X I s M T A x f S Z x d W 9 0 O y w m c X V v d D t T Z W N 0 a W 9 u M S 9 D Y X N o R m x v d y 9 D a G F u Z 2 V k I F R 5 c G U u e 3 B l c m l v Z F R 5 c G U s M n 0 m c X V v d D s s J n F 1 b 3 Q 7 U 2 V j d G l v b j E v Q 2 F z a E Z s b 3 c v U H J v b W 9 0 Z W Q g S G V h Z G V y c y 5 7 Q W 1 v c n R p e m F 0 a W 9 u T 2 Z T Z W N 1 c m l 0 a W V z L D R 9 J n F 1 b 3 Q 7 L C Z x d W 9 0 O 1 N l Y 3 R p b 2 4 x L 0 N h c 2 h G b G 9 3 L 0 N o Y W 5 n Z W Q g V H l w Z S 5 7 Y 3 V y c m V u Y 3 l D b 2 R l L D N 9 J n F 1 b 3 Q 7 L C Z x d W 9 0 O 1 N l Y 3 R p b 2 4 x L 0 N h c 2 h G b G 9 3 L 0 N o Y W 5 n Z W Q g V H l w Z S 5 7 Q X N z Z X R J b X B h a X J t Z W 5 0 Q 2 h h c m d l L D Y y f S Z x d W 9 0 O y w m c X V v d D t T Z W N 0 a W 9 u M S 9 D Y X N o R m x v d y 9 D a G F u Z 2 V k I F R 5 c G U u e 0 J l Z 2 l u b m l u Z 0 N h c 2 h Q b 3 N p d G l v b i w 1 f S Z x d W 9 0 O y w m c X V v d D t T Z W N 0 a W 9 u M S 9 D Y X N o R m x v d y 9 D a G F u Z 2 V k I F R 5 c G U u e 0 N h c G l 0 Y W x F e H B l b m R p d H V y Z S w 2 f S Z x d W 9 0 O y w m c X V v d D t T Z W N 0 a W 9 u M S 9 D Y X N o R m x v d y 9 D a G F u Z 2 V k I F R 5 c G U u e 0 N h c 2 h G b G 9 3 R n J v b U N v b n R p b n V p b m d G a W 5 h b m N p b m d B Y 3 R p d m l 0 a W V z L D d 9 J n F 1 b 3 Q 7 L C Z x d W 9 0 O 1 N l Y 3 R p b 2 4 x L 0 N h c 2 h G b G 9 3 L 0 N o Y W 5 n Z W Q g V H l w Z S 5 7 Q 2 F z a E Z s b 3 d G c m 9 t Q 2 9 u d G l u d W l u Z 0 l u d m V z d G l u Z 0 F j d G l 2 a X R p Z X M s O H 0 m c X V v d D s s J n F 1 b 3 Q 7 U 2 V j d G l v b j E v Q 2 F z a E Z s b 3 c v Q 2 h h b m d l Z C B U e X B l L n t D Y X N o R m x v d 0 Z y b 2 1 D b 2 5 0 a W 5 1 a W 5 n T 3 B l c m F 0 a W 5 n Q W N 0 a X Z p d G l l c y w 5 f S Z x d W 9 0 O y w m c X V v d D t T Z W N 0 a W 9 u M S 9 D Y X N o R m x v d y 9 D a G F u Z 2 V k I F R 5 c G U u e 0 N o Y W 5 n Z U l u Q W N j b 3 V u d F B h e W F i b G U s M T B 9 J n F 1 b 3 Q 7 L C Z x d W 9 0 O 1 N l Y 3 R p b 2 4 x L 0 N h c 2 h G b G 9 3 L 0 N o Y W 5 n Z W Q g V H l w Z S 5 7 Q 2 h h b m d l S W 5 B Y 2 N y d W V k R X h w Z W 5 z Z S w x M X 0 m c X V v d D s s J n F 1 b 3 Q 7 U 2 V j d G l v b j E v Q 2 F z a E Z s b 3 c v Q 2 h h b m d l Z C B U e X B l L n t D a G F u Z 2 V J b k N h c 2 h T d X B w b G V t Z W 5 0 Y W x B c 1 J l c G 9 y d G V k L D E y f S Z x d W 9 0 O y w m c X V v d D t T Z W N 0 a W 9 u M S 9 D Y X N o R m x v d y 9 D a G F u Z 2 V k I F R 5 c G U u e 0 N o Y W 5 n Z U l u T 3 R o Z X J D d X J y Z W 5 0 Q X N z Z X R z L D E 0 f S Z x d W 9 0 O y w m c X V v d D t T Z W N 0 a W 9 u M S 9 D Y X N o R m x v d y 9 D a G F u Z 2 V k I F R 5 c G U u e 0 N o Y W 5 n Z U l u T 3 R o Z X J D d X J y Z W 5 0 T G l h Y m l s a X R p Z X M s M T V 9 J n F 1 b 3 Q 7 L C Z x d W 9 0 O 1 N l Y 3 R p b 2 4 x L 0 N h c 2 h G b G 9 3 L 0 N o Y W 5 n Z W Q g V H l w Z S 5 7 Q 2 h h b m d l S W 5 P d G h l c l d v c m t p b m d D Y X B p d G F s L D E 2 f S Z x d W 9 0 O y w m c X V v d D t T Z W N 0 a W 9 u M S 9 D Y X N o R m x v d y 9 D a G F u Z 2 V k I F R 5 c G U u e 0 N o Y W 5 n Z U l u U G F 5 Y W J s Z S w x N 3 0 m c X V v d D s s J n F 1 b 3 Q 7 U 2 V j d G l v b j E v Q 2 F z a E Z s b 3 c v Q 2 h h b m d l Z C B U e X B l L n t D a G F u Z 2 V J b l B h e W F i b G V z Q W 5 k Q W N j c n V l Z E V 4 c G V u c 2 U s M T h 9 J n F 1 b 3 Q 7 L C Z x d W 9 0 O 1 N l Y 3 R p b 2 4 x L 0 N h c 2 h G b G 9 3 L 0 N o Y W 5 n Z W Q g V H l w Z S 5 7 Q 2 h h b m d l S W 5 Q c m V w Y W l k Q X N z Z X R z L D E 5 f S Z x d W 9 0 O y w m c X V v d D t T Z W N 0 a W 9 u M S 9 D Y X N o R m x v d y 9 D a G F u Z 2 V k I F R 5 c G U u e 0 N o Y W 5 n Z U l u U m V j Z W l 2 Y W J s Z X M s M j B 9 J n F 1 b 3 Q 7 L C Z x d W 9 0 O 1 N l Y 3 R p b 2 4 x L 0 N h c 2 h G b G 9 3 L 0 N o Y W 5 n Z W Q g V H l w Z S 5 7 Q 2 h h b m d l S W 5 X b 3 J r a W 5 n Q 2 F w a X R h b C w y M X 0 m c X V v d D s s J n F 1 b 3 Q 7 U 2 V j d G l v b j E v Q 2 F z a E Z s b 3 c v Q 2 h h b m d l Z C B U e X B l L n t D a G F u Z 2 V z S W 5 B Y 2 N v d W 5 0 U m V j Z W l 2 Y W J s Z X M s M j J 9 J n F 1 b 3 Q 7 L C Z x d W 9 0 O 1 N l Y 3 R p b 2 4 x L 0 N h c 2 h G b G 9 3 L 0 N o Y W 5 n Z W Q g V H l w Z S 5 7 Q 2 h h b m d l c 0 l u Q 2 F z a C w y M 3 0 m c X V v d D s s J n F 1 b 3 Q 7 U 2 V j d G l v b j E v Q 2 F z a E Z s b 3 c v Q 2 h h b m d l Z C B U e X B l L n t D b 2 1 t b 2 5 T d G 9 j a 0 l z c 3 V h b m N l L D I 0 f S Z x d W 9 0 O y w m c X V v d D t T Z W N 0 a W 9 u M S 9 D Y X N o R m x v d y 9 D a G F u Z 2 V k I F R 5 c G U u e 0 N v b W 1 v b l N 0 b 2 N r U G F 5 b W V u d H M s N j R 9 J n F 1 b 3 Q 7 L C Z x d W 9 0 O 1 N l Y 3 R p b 2 4 x L 0 N h c 2 h G b G 9 3 L 0 N o Y W 5 n Z W Q g V H l w Z S 5 7 R G V m Z X J y Z W R J b m N v b W V U Y X g s M j V 9 J n F 1 b 3 Q 7 L C Z x d W 9 0 O 1 N l Y 3 R p b 2 4 x L 0 N h c 2 h G b G 9 3 L 0 N o Y W 5 n Z W Q g V H l w Z S 5 7 R G V m Z X J y Z W R U Y X g s M j Z 9 J n F 1 b 3 Q 7 L C Z x d W 9 0 O 1 N l Y 3 R p b 2 4 x L 0 N h c 2 h G b G 9 3 L 0 N o Y W 5 n Z W Q g V H l w Z S 5 7 R G V w c m V j a W F 0 a W 9 u Q W 1 v c n R p e m F 0 a W 9 u R G V w b G V 0 a W 9 u L D I 3 f S Z x d W 9 0 O y w m c X V v d D t T Z W N 0 a W 9 u M S 9 D Y X N o R m x v d y 9 D a G F u Z 2 V k I F R 5 c G U u e 0 R l c H J l Y 2 l h d G l v b k F u Z E F t b 3 J 0 a X p h d G l v b i w y O H 0 m c X V v d D s s J n F 1 b 3 Q 7 U 2 V j d G l v b j E v Q 2 F z a E Z s b 3 c v Q 2 h h b m d l Z C B U e X B l L n t F Y X J u a W 5 n c 0 x v c 3 N l c 0 Z y b 2 1 F c X V p d H l J b n Z l c 3 R t Z W 5 0 c y w 4 N n 0 m c X V v d D s s J n F 1 b 3 Q 7 U 2 V j d G l v b j E v Q 2 F z a E Z s b 3 c v Q 2 h h b m d l Z C B U e X B l L n t F Z m Z l Y 3 R P Z k V 4 Y 2 h h b m d l U m F 0 Z U N o Y W 5 n Z X M s M j l 9 J n F 1 b 3 Q 7 L C Z x d W 9 0 O 1 N l Y 3 R p b 2 4 x L 0 N h c 2 h G b G 9 3 L 0 N o Y W 5 n Z W Q g V H l w Z S 5 7 R W 5 k Q 2 F z a F B v c 2 l 0 a W 9 u L D M w f S Z x d W 9 0 O y w m c X V v d D t T Z W N 0 a W 9 u M S 9 D Y X N o R m x v d y 9 D a G F u Z 2 V k I F R 5 c G U u e 0 Z p b m F u Y 2 l u Z 0 N h c 2 h G b G 9 3 L D M x f S Z x d W 9 0 O y w m c X V v d D t T Z W N 0 a W 9 u M S 9 D Y X N o R m x v d y 9 D a G F u Z 2 V k I F R 5 c G U u e 0 Z y Z W V D Y X N o R m x v d y w z M n 0 m c X V v d D s s J n F 1 b 3 Q 7 U 2 V j d G l v b j E v Q 2 F z a E Z s b 3 c v Q 2 h h b m d l Z C B U e X B l L n t H Y W l u T G 9 z c 0 9 u S W 5 2 Z X N 0 b W V u d F N l Y 3 V y a X R p Z X M s M z N 9 J n F 1 b 3 Q 7 L C Z x d W 9 0 O 1 N l Y 3 R p b 2 4 x L 0 N h c 2 h G b G 9 3 L 0 N o Y W 5 n Z W Q g V H l w Z S 5 7 R 2 F p b k x v c 3 N P b l N h b G V P Z k J 1 c 2 l u Z X N z L D c 5 f S Z x d W 9 0 O y w m c X V v d D t T Z W N 0 a W 9 u M S 9 D Y X N o R m x v d y 9 D a G F u Z 2 V k I F R 5 c G U u e 0 l u Y 2 9 t Z V R h e F B h a W R T d X B w b G V t Z W 5 0 Y W x E Y X R h L D Y 2 f S Z x d W 9 0 O y w m c X V v d D t T Z W N 0 a W 9 u M S 9 D Y X N o R m x v d y 9 D a G F u Z 2 V k I F R 5 c G U u e 0 l u d G V y Z X N 0 U G F p Z F N 1 c H B s Z W 1 l b n R h b E R h d G E s M z R 9 J n F 1 b 3 Q 7 L C Z x d W 9 0 O 1 N l Y 3 R p b 2 4 x L 0 N h c 2 h G b G 9 3 L 0 N o Y W 5 n Z W Q g V H l w Z S 5 7 S W 5 2 Z X N 0 a W 5 n Q 2 F z a E Z s b 3 c s M z V 9 J n F 1 b 3 Q 7 L C Z x d W 9 0 O 1 N l Y 3 R p b 2 4 x L 0 N h c 2 h G b G 9 3 L 0 N o Y W 5 n Z W Q g V H l w Z S 5 7 S X N z d W F u Y 2 V P Z k N h c G l 0 Y W x T d G 9 j a y w z N n 0 m c X V v d D s s J n F 1 b 3 Q 7 U 2 V j d G l v b j E v Q 2 F z a E Z s b 3 c v Q 2 h h b m d l Z C B U e X B l L n t J c 3 N 1 Y W 5 j Z U 9 m R G V i d C w z N 3 0 m c X V v d D s s J n F 1 b 3 Q 7 U 2 V j d G l v b j E v Q 2 F z a E Z s b 3 c v Q 2 h h b m d l Z C B U e X B l L n t M b 2 5 n V G V y b U R l Y n R J c 3 N 1 Y W 5 j Z S w z O H 0 m c X V v d D s s J n F 1 b 3 Q 7 U 2 V j d G l v b j E v Q 2 F z a E Z s b 3 c v Q 2 h h b m d l Z C B U e X B l L n t M b 2 5 n V G V y b U R l Y n R Q Y X l t Z W 5 0 c y w z O X 0 m c X V v d D s s J n F 1 b 3 Q 7 U 2 V j d G l v b j E v Q 2 F z a E Z s b 3 c v Q 2 h h b m d l Z C B U e X B l L n t O Z X R C d X N p b m V z c 1 B 1 c m N o Y X N l Q W 5 k U 2 F s Z S w 0 M H 0 m c X V v d D s s J n F 1 b 3 Q 7 U 2 V j d G l v b j E v Q 2 F z a E Z s b 3 c v Q 2 h h b m d l Z C B U e X B l L n t O Z X R D b 2 1 t b 2 5 T d G 9 j a 0 l z c 3 V h b m N l L D Q x f S Z x d W 9 0 O y w m c X V v d D t T Z W N 0 a W 9 u M S 9 D Y X N o R m x v d y 9 D a G F u Z 2 V k I F R 5 c G U u e 0 5 l d E Z v c m V p Z 2 5 D d X J y Z W 5 j e U V 4 Y 2 h h b m d l R 2 F p b k x v c 3 M s N D J 9 J n F 1 b 3 Q 7 L C Z x d W 9 0 O 1 N l Y 3 R p b 2 4 x L 0 N h c 2 h G b G 9 3 L 0 N o Y W 5 n Z W Q g V H l w Z S 5 7 T m V 0 S W 5 j b 2 1 l L D Q z f S Z x d W 9 0 O y w m c X V v d D t T Z W N 0 a W 9 u M S 9 D Y X N o R m x v d y 9 D a G F u Z 2 V k I F R 5 c G U u e 0 5 l d E l u Y 2 9 t Z U Z y b 2 1 D b 2 5 0 a W 5 1 a W 5 n T 3 B l c m F 0 a W 9 u c y w 0 N H 0 m c X V v d D s s J n F 1 b 3 Q 7 U 2 V j d G l v b j E v Q 2 F z a E Z s b 3 c v Q 2 h h b m d l Z C B U e X B l L n t O Z X R J b n Z l c 3 R t Z W 5 0 U H V y Y 2 h h c 2 V B b m R T Y W x l L D Q 2 f S Z x d W 9 0 O y w m c X V v d D t T Z W N 0 a W 9 u M S 9 D Y X N o R m x v d y 9 D a G F u Z 2 V k I F R 5 c G U u e 0 5 l d E l z c 3 V h b m N l U G F 5 b W V u d H N P Z k R l Y n Q s N D d 9 J n F 1 b 3 Q 7 L C Z x d W 9 0 O 1 N l Y 3 R p b 2 4 x L 0 N h c 2 h G b G 9 3 L 0 N o Y W 5 n Z W Q g V H l w Z S 5 7 T m V 0 T G 9 u Z 1 R l c m 1 E Z W J 0 S X N z d W F u Y 2 U s N D h 9 J n F 1 b 3 Q 7 L C Z x d W 9 0 O 1 N l Y 3 R p b 2 4 x L 0 N h c 2 h G b G 9 3 L 0 N o Y W 5 n Z W Q g V H l w Z S 5 7 T m V 0 T 3 R o Z X J G a W 5 h b m N p b m d D a G F y Z 2 V z L D Q 5 f S Z x d W 9 0 O y w m c X V v d D t T Z W N 0 a W 9 u M S 9 D Y X N o R m x v d y 9 D a G F u Z 2 V k I F R 5 c G U u e 0 5 l d E 9 0 a G V y S W 5 2 Z X N 0 a W 5 n Q 2 h h b m d l c y w 4 M H 0 m c X V v d D s s J n F 1 b 3 Q 7 U 2 V j d G l v b j E v Q 2 F z a E Z s b 3 c v Q 2 h h b m d l Z C B U e X B l L n t O Z X R Q U E V Q d X J j a G F z Z U F u Z F N h b G U s N T B 9 J n F 1 b 3 Q 7 L C Z x d W 9 0 O 1 N l Y 3 R p b 2 4 x L 0 N h c 2 h G b G 9 3 L 0 N o Y W 5 n Z W Q g V H l w Z S 5 7 T m V 0 U H J l Z m V y c m V k U 3 R v Y 2 t J c 3 N 1 Y W 5 j Z S w 5 M 3 0 m c X V v d D s s J n F 1 b 3 Q 7 U 2 V j d G l v b j E v Q 2 F z a E Z s b 3 c v Q 2 h h b m d l Z C B U e X B l L n t P c G V y Y X R p b m d D Y X N o R m x v d y w 1 M X 0 m c X V v d D s s J n F 1 b 3 Q 7 U 2 V j d G l v b j E v Q 2 F z a E Z s b 3 c v Q 2 h h b m d l Z C B U e X B l L n t P c G V y Y X R p b m d H Y W l u c 0 x v c 3 N l c y w 1 M n 0 m c X V v d D s s J n F 1 b 3 Q 7 U 2 V j d G l v b j E v Q 2 F z a E Z s b 3 c v Q 2 h h b m d l Z C B U e X B l L n t P d G h l c k N h c 2 h B Z G p 1 c 3 R t Z W 5 0 T 3 V 0 c 2 l k Z U N o Y W 5 n Z W l u Q 2 F z a C w 5 N H 0 m c X V v d D s s J n F 1 b 3 Q 7 U 2 V j d G l v b j E v Q 2 F z a E Z s b 3 c v Q 2 h h b m d l Z C B U e X B l L n t P d G h l c k 5 v b k N h c 2 h J d G V t c y w 1 M 3 0 m c X V v d D s s J n F 1 b 3 Q 7 U 2 V j d G l v b j E v Q 2 F z a E Z s b 3 c v Q 2 h h b m d l Z C B U e X B l L n t Q c m V m Z X J y Z W R T d G 9 j a 0 l z c 3 V h b m N l L D k 1 f S Z x d W 9 0 O y w m c X V v d D t T Z W N 0 a W 9 u M S 9 D Y X N o R m x v d y 9 D a G F u Z 2 V k I F R 5 c G U u e 1 B y b 2 N l Z W R z R n J v b V N 0 b 2 N r T 3 B 0 a W 9 u R X h l c m N p c 2 V k L D U 0 f S Z x d W 9 0 O y w m c X V v d D t T Z W N 0 a W 9 u M S 9 D Y X N o R m x v d y 9 D a G F u Z 2 V k I F R 5 c G U u e 1 B 1 c m N o Y X N l T 2 Z C d X N p b m V z c y w 1 N X 0 m c X V v d D s s J n F 1 b 3 Q 7 U 2 V j d G l v b j E v Q 2 F z a E Z s b 3 c v Q 2 h h b m d l Z C B U e X B l L n t Q d X J j a G F z Z U 9 m S W 5 2 Z X N 0 b W V u d C w 1 N 3 0 m c X V v d D s s J n F 1 b 3 Q 7 U 2 V j d G l v b j E v Q 2 F z a E Z s b 3 c v Q 2 h h b m d l Z C B U e X B l L n t Q d X J j a G F z Z U 9 m U F B F L D U 4 f S Z x d W 9 0 O y w m c X V v d D t T Z W N 0 a W 9 u M S 9 D Y X N o R m x v d y 9 D a G F u Z 2 V k I F R 5 c G U u e 1 J l c G F 5 b W V u d E 9 m R G V i d C w 1 O X 0 m c X V v d D s s J n F 1 b 3 Q 7 U 2 V j d G l v b j E v Q 2 F z a E Z s b 3 c v Q 2 h h b m d l Z C B U e X B l L n t S Z X B 1 c m N o Y X N l T 2 Z D Y X B p d G F s U 3 R v Y 2 s s N j h 9 J n F 1 b 3 Q 7 L C Z x d W 9 0 O 1 N l Y 3 R p b 2 4 x L 0 N h c 2 h G b G 9 3 L 0 N o Y W 5 n Z W Q g V H l w Z S 5 7 U 2 F s Z U 9 m Q n V z a W 5 l c 3 M s O D J 9 J n F 1 b 3 Q 7 L C Z x d W 9 0 O 1 N l Y 3 R p b 2 4 x L 0 N h c 2 h G b G 9 3 L 0 N o Y W 5 n Z W Q g V H l w Z S 5 7 U 2 F s Z U 9 m S W 5 2 Z X N 0 b W V u d C w 2 M H 0 m c X V v d D s s J n F 1 b 3 Q 7 U 2 V j d G l v b j E v Q 2 F z a E Z s b 3 c v Q 2 h h b m d l Z C B U e X B l L n t T Y W x l T 2 Z Q U E U s N j l 9 J n F 1 b 3 Q 7 L C Z x d W 9 0 O 1 N l Y 3 R p b 2 4 x L 0 N h c 2 h G b G 9 3 L 1 B y b 2 1 v d G V k I E h l Y W R l c n M u e 0 N o Y W 5 n Z U l u S W 5 0 Z X J l c 3 R Q Y X l h Y m x l L D c x f S Z x d W 9 0 O y w m c X V v d D t T Z W N 0 a W 9 u M S 9 D Y X N o R m x v d y 9 D a G F u Z 2 V k I F R 5 c G U u e 1 N 0 b 2 N r Q m F z Z W R D b 2 1 w Z W 5 z Y X R p b 2 4 s N j F 9 J n F 1 b 3 Q 7 L C Z x d W 9 0 O 1 N l Y 3 R p b 2 4 x L 0 N h c 2 h G b G 9 3 L 0 N o Y W 5 n Z W Q g V H l w Z S 5 7 V W 5 y Z W F s a X p l Z E d h a W 5 M b 3 N z T 2 5 J b n Z l c 3 R t Z W 5 0 U 2 V j d X J p d G l l c y w 3 M H 0 m c X V v d D s s J n F 1 b 3 Q 7 U 2 V j d G l v b j E v Q 2 F z a E Z s b 3 c v U H J v b W 9 0 Z W Q g S G V h Z G V y c y 5 7 U 2 F s Z U 9 m S W 5 0 Y W 5 n a W J s Z X M s N z R 9 J n F 1 b 3 Q 7 L C Z x d W 9 0 O 1 N l Y 3 R p b 2 4 x L 0 N h c 2 h G b G 9 3 L 0 N o Y W 5 n Z W Q g V H l w Z S 5 7 Q W 1 v c n R p e m F 0 a W 9 u Q 2 F z a E Z s b 3 c s N z V 9 J n F 1 b 3 Q 7 L C Z x d W 9 0 O 1 N l Y 3 R p b 2 4 x L 0 N h c 2 h G b G 9 3 L 0 N o Y W 5 n Z W Q g V H l w Z S 5 7 Q W 1 v c n R p e m F 0 a W 9 u T 2 Z J b n R h b m d p Y m x l c y w 3 N n 0 m c X V v d D s s J n F 1 b 3 Q 7 U 2 V j d G l v b j E v Q 2 F z a E Z s b 3 c v Q 2 h h b m d l Z C B U e X B l L n t D Y X B p d G F s R X h w Z W 5 k a X R 1 c m V S Z X B v c n R l Z C w 3 N 3 0 m c X V v d D s s J n F 1 b 3 Q 7 U 2 V j d G l v b j E v Q 2 F z a E Z s b 3 c v Q 2 h h b m d l Z C B U e X B l L n t D Y X N o R G l 2 a W R l b m R z U G F p Z C w 2 M 3 0 m c X V v d D s s J n F 1 b 3 Q 7 U 2 V j d G l v b j E v Q 2 F z a E Z s b 3 c v Q 2 h h b m d l Z C B U e X B l L n t D a G F u Z 2 V J b k l u Y 2 9 t Z V R h e F B h e W F i b G U s O D l 9 J n F 1 b 3 Q 7 L C Z x d W 9 0 O 1 N l Y 3 R p b 2 4 x L 0 N h c 2 h G b G 9 3 L 0 N o Y W 5 n Z W Q g V H l w Z S 5 7 Q 2 h h b m d l S W 5 J b n Z l b n R v c n k s M T N 9 J n F 1 b 3 Q 7 L C Z x d W 9 0 O 1 N l Y 3 R p b 2 4 x L 0 N h c 2 h G b G 9 3 L 0 N o Y W 5 n Z W Q g V H l w Z S 5 7 Q 2 h h b m d l S W 5 U Y X h Q Y X l h Y m x l L D k w f S Z x d W 9 0 O y w m c X V v d D t T Z W N 0 a W 9 u M S 9 D Y X N o R m x v d y 9 D a G F u Z 2 V k I F R 5 c G U u e 0 N v b W 1 v b l N 0 b 2 N r R G l 2 a W R l b m R Q Y W l k L D c 4 f S Z x d W 9 0 O y w m c X V v d D t T Z W N 0 a W 9 u M S 9 D Y X N o R m x v d y 9 D a G F u Z 2 V k I F R 5 c G U u e 0 R l c H J l Y 2 l h d G l v b i w 3 M n 0 m c X V v d D s s J n F 1 b 3 Q 7 U 2 V j d G l v b j E v Q 2 F z a E Z s b 3 c v Q 2 h h b m d l Z C B U e X B l L n t H Y W l u T G 9 z c 0 9 u U 2 F s Z U 9 m U F B F L D Y 1 f S Z x d W 9 0 O y w m c X V v d D t T Z W N 0 a W 9 u M S 9 D Y X N o R m x v d y 9 D a G F u Z 2 V k I F R 5 c G U u e 0 5 l d F N o b 3 J 0 V G V y b U R l Y n R J c 3 N 1 Y W 5 j Z S w 4 M X 0 m c X V v d D s s J n F 1 b 3 Q 7 U 2 V j d G l v b j E v Q 2 F z a E Z s b 3 c v Q 2 h h b m d l Z C B U e X B l L n t Q Z W 5 z a W 9 u Q W 5 k R W 1 w b G 9 5 Z W V C Z W 5 l Z m l 0 R X h w Z W 5 z Z S w 5 N n 0 m c X V v d D s s J n F 1 b 3 Q 7 U 2 V j d G l v b j E v Q 2 F z a E Z s b 3 c v U H J v b W 9 0 Z W Q g S G V h Z G V y c y 5 7 T m V 0 S W 5 2 Z X N 0 b W V u d F B y b 3 B l c n R p Z X N Q d X J j a G F z Z U F u Z F N h b G U s O D d 9 J n F 1 b 3 Q 7 L C Z x d W 9 0 O 1 N l Y 3 R p b 2 4 x L 0 N h c 2 h G b G 9 3 L 1 B y b 2 1 v d G V k I E h l Y W R l c n M u e 1 N h b G V P Z k l u d m V z d G 1 l b n R Q c m 9 w Z X J 0 a W V z L D g 4 f S Z x d W 9 0 O y w m c X V v d D t T Z W N 0 a W 9 u M S 9 D Y X N o R m x v d y 9 D a G F u Z 2 V k I F R 5 c G U u e 1 N o b 3 J 0 V G V y b U R l Y n R J c 3 N 1 Y W 5 j Z S w 4 M 3 0 m c X V v d D s s J n F 1 b 3 Q 7 U 2 V j d G l v b j E v Q 2 F z a E Z s b 3 c v Q 2 h h b m d l Z C B U e X B l L n t T a G 9 y d F R l c m 1 E Z W J 0 U G F 5 b W V u d H M s O D R 9 J n F 1 b 3 Q 7 L C Z x d W 9 0 O 1 N l Y 3 R p b 2 4 x L 0 N h c 2 h G b G 9 3 L 0 N o Y W 5 n Z W Q g V H l w Z S 5 7 Q 2 F z a E Z y b 2 1 E a X N j b 2 5 0 a W 5 1 Z W R G a W 5 h b m N p b m d B Y 3 R p d m l 0 a W V z L D k 3 f S Z x d W 9 0 O y w m c X V v d D t T Z W N 0 a W 9 u M S 9 D Y X N o R m x v d y 9 Q c m 9 t b 3 R l Z C B I Z W F k Z X J z L n t h c 0 9 m W W V h c i w 5 M n 0 m c X V v d D s s J n F 1 b 3 Q 7 U 2 V j d G l v b j E v Q 2 F z a E Z s b 3 c v Q 2 h h b m d l Z C B U e X B l L n t D Y X N o R n J v b U R p c 2 N v b n R p b n V l Z E l u d m V z d G l u Z 0 F j d G l 2 a X R p Z X M s O T h 9 J n F 1 b 3 Q 7 L C Z x d W 9 0 O 1 N l Y 3 R p b 2 4 x L 0 N h c 2 h G b G 9 3 L 0 N o Y W 5 n Z W Q g V H l w Z S 5 7 Q 2 F z a E Z y b 2 1 E a X N j b 2 5 0 a W 5 1 Z W R P c G V y Y X R p b m d B Y 3 R p d m l 0 a W V z L D k 5 f S Z x d W 9 0 O y w m c X V v d D t T Z W N 0 a W 9 u M S 9 D Y X N o R m x v d y 9 D a G F u Z 2 V k I F R 5 c G U u e 0 R p d m l k Z W 5 k c 1 J l Y 2 V p d m V k Q 0 Z J L D g 1 f S Z x d W 9 0 O y w m c X V v d D t T Z W N 0 a W 9 u M S 9 D Y X N o R m x v d y 9 D a G F u Z 2 V k I F R 5 c G U u e 1 B y Z W Z l c n J l Z F N 0 b 2 N r R G l 2 a W R l b m R Q Y W l k L D Y 3 f S Z x d W 9 0 O y w m c X V v d D t T Z W N 0 a W 9 u M S 9 D Y X N o R m x v d y 9 D a G F u Z 2 V k I F R 5 c G U u e 1 B y Z W Z l c n J l Z F N 0 b 2 N r U G F 5 b W V u d H M s M T A w f S Z x d W 9 0 O y w m c X V v d D t T Z W N 0 a W 9 u M S 9 D Y X N o R m x v d y 9 D a G F u Z 2 V k I F R 5 c G U u e 1 B y b 3 Z p c 2 l v b m F u Z F d y a X R l T 2 Z m b 2 Z B c 3 N l d H M s N z N 9 J n F 1 b 3 Q 7 L C Z x d W 9 0 O 1 N l Y 3 R p b 2 4 x L 0 N h c 2 h G b G 9 3 L 0 N o Y W 5 n Z W Q g V H l w Z S 5 7 T m V 0 S W 5 0 Y W 5 n a W J s Z X N Q d X J j a G F z Z U F u Z F N h b G U s N D V 9 J n F 1 b 3 Q 7 L C Z x d W 9 0 O 1 N l Y 3 R p b 2 4 x L 0 N h c 2 h G b G 9 3 L 0 N o Y W 5 n Z W Q g V H l w Z S 5 7 U H V y Y 2 h h c 2 V P Z k l u d G F u Z 2 l i b G V z L D U 2 f S Z x d W 9 0 O y w m c X V v d D t T Z W N 0 a W 9 u M S 9 D Y X N o R m x v d y 9 D a G F u Z 2 V k I F R 5 c G U u e 1 R p Y 2 t l c i w 5 M X 0 m c X V v d D t d L C Z x d W 9 0 O 0 N v b H V t b k N v d W 5 0 J n F 1 b 3 Q 7 O j E w M i w m c X V v d D t L Z X l D b 2 x 1 b W 5 O Y W 1 l c y Z x d W 9 0 O z p b X S w m c X V v d D t D b 2 x 1 b W 5 J Z G V u d G l 0 a W V z J n F 1 b 3 Q 7 O l s m c X V v d D t T Z W N 0 a W 9 u M S 9 D Y X N o R m x v d y 9 D a G F u Z 2 V k I F R 5 c G U u e 2 l k L D B 9 J n F 1 b 3 Q 7 L C Z x d W 9 0 O 1 N l Y 3 R p b 2 4 x L 0 N h c 2 h G b G 9 3 L 0 N o Y W 5 n Z W Q g V H l w Z S 5 7 Y X N P Z k R h d G U s M X 0 m c X V v d D s s J n F 1 b 3 Q 7 U 2 V j d G l v b j E v Q 2 F z a E Z s b 3 c v S W 5 z Z X J 0 Z W Q g W W V h c i 5 7 W W V h c i w x M D F 9 J n F 1 b 3 Q 7 L C Z x d W 9 0 O 1 N l Y 3 R p b 2 4 x L 0 N h c 2 h G b G 9 3 L 0 N o Y W 5 n Z W Q g V H l w Z S 5 7 c G V y a W 9 k V H l w Z S w y f S Z x d W 9 0 O y w m c X V v d D t T Z W N 0 a W 9 u M S 9 D Y X N o R m x v d y 9 Q c m 9 t b 3 R l Z C B I Z W F k Z X J z L n t B b W 9 y d G l 6 Y X R p b 2 5 P Z l N l Y 3 V y a X R p Z X M s N H 0 m c X V v d D s s J n F 1 b 3 Q 7 U 2 V j d G l v b j E v Q 2 F z a E Z s b 3 c v Q 2 h h b m d l Z C B U e X B l L n t j d X J y Z W 5 j e U N v Z G U s M 3 0 m c X V v d D s s J n F 1 b 3 Q 7 U 2 V j d G l v b j E v Q 2 F z a E Z s b 3 c v Q 2 h h b m d l Z C B U e X B l L n t B c 3 N l d E l t c G F p c m 1 l b n R D a G F y Z 2 U s N j J 9 J n F 1 b 3 Q 7 L C Z x d W 9 0 O 1 N l Y 3 R p b 2 4 x L 0 N h c 2 h G b G 9 3 L 0 N o Y W 5 n Z W Q g V H l w Z S 5 7 Q m V n a W 5 u a W 5 n Q 2 F z a F B v c 2 l 0 a W 9 u L D V 9 J n F 1 b 3 Q 7 L C Z x d W 9 0 O 1 N l Y 3 R p b 2 4 x L 0 N h c 2 h G b G 9 3 L 0 N o Y W 5 n Z W Q g V H l w Z S 5 7 Q 2 F w a X R h b E V 4 c G V u Z G l 0 d X J l L D Z 9 J n F 1 b 3 Q 7 L C Z x d W 9 0 O 1 N l Y 3 R p b 2 4 x L 0 N h c 2 h G b G 9 3 L 0 N o Y W 5 n Z W Q g V H l w Z S 5 7 Q 2 F z a E Z s b 3 d G c m 9 t Q 2 9 u d G l u d W l u Z 0 Z p b m F u Y 2 l u Z 0 F j d G l 2 a X R p Z X M s N 3 0 m c X V v d D s s J n F 1 b 3 Q 7 U 2 V j d G l v b j E v Q 2 F z a E Z s b 3 c v Q 2 h h b m d l Z C B U e X B l L n t D Y X N o R m x v d 0 Z y b 2 1 D b 2 5 0 a W 5 1 a W 5 n S W 5 2 Z X N 0 a W 5 n Q W N 0 a X Z p d G l l c y w 4 f S Z x d W 9 0 O y w m c X V v d D t T Z W N 0 a W 9 u M S 9 D Y X N o R m x v d y 9 D a G F u Z 2 V k I F R 5 c G U u e 0 N h c 2 h G b G 9 3 R n J v b U N v b n R p b n V p b m d P c G V y Y X R p b m d B Y 3 R p d m l 0 a W V z L D l 9 J n F 1 b 3 Q 7 L C Z x d W 9 0 O 1 N l Y 3 R p b 2 4 x L 0 N h c 2 h G b G 9 3 L 0 N o Y W 5 n Z W Q g V H l w Z S 5 7 Q 2 h h b m d l S W 5 B Y 2 N v d W 5 0 U G F 5 Y W J s Z S w x M H 0 m c X V v d D s s J n F 1 b 3 Q 7 U 2 V j d G l v b j E v Q 2 F z a E Z s b 3 c v Q 2 h h b m d l Z C B U e X B l L n t D a G F u Z 2 V J b k F j Y 3 J 1 Z W R F e H B l b n N l L D E x f S Z x d W 9 0 O y w m c X V v d D t T Z W N 0 a W 9 u M S 9 D Y X N o R m x v d y 9 D a G F u Z 2 V k I F R 5 c G U u e 0 N o Y W 5 n Z U l u Q 2 F z a F N 1 c H B s Z W 1 l b n R h b E F z U m V w b 3 J 0 Z W Q s M T J 9 J n F 1 b 3 Q 7 L C Z x d W 9 0 O 1 N l Y 3 R p b 2 4 x L 0 N h c 2 h G b G 9 3 L 0 N o Y W 5 n Z W Q g V H l w Z S 5 7 Q 2 h h b m d l S W 5 P d G h l c k N 1 c n J l b n R B c 3 N l d H M s M T R 9 J n F 1 b 3 Q 7 L C Z x d W 9 0 O 1 N l Y 3 R p b 2 4 x L 0 N h c 2 h G b G 9 3 L 0 N o Y W 5 n Z W Q g V H l w Z S 5 7 Q 2 h h b m d l S W 5 P d G h l c k N 1 c n J l b n R M a W F i a W x p d G l l c y w x N X 0 m c X V v d D s s J n F 1 b 3 Q 7 U 2 V j d G l v b j E v Q 2 F z a E Z s b 3 c v Q 2 h h b m d l Z C B U e X B l L n t D a G F u Z 2 V J b k 9 0 a G V y V 2 9 y a 2 l u Z 0 N h c G l 0 Y W w s M T Z 9 J n F 1 b 3 Q 7 L C Z x d W 9 0 O 1 N l Y 3 R p b 2 4 x L 0 N h c 2 h G b G 9 3 L 0 N o Y W 5 n Z W Q g V H l w Z S 5 7 Q 2 h h b m d l S W 5 Q Y X l h Y m x l L D E 3 f S Z x d W 9 0 O y w m c X V v d D t T Z W N 0 a W 9 u M S 9 D Y X N o R m x v d y 9 D a G F u Z 2 V k I F R 5 c G U u e 0 N o Y W 5 n Z U l u U G F 5 Y W J s Z X N B b m R B Y 2 N y d W V k R X h w Z W 5 z Z S w x O H 0 m c X V v d D s s J n F 1 b 3 Q 7 U 2 V j d G l v b j E v Q 2 F z a E Z s b 3 c v Q 2 h h b m d l Z C B U e X B l L n t D a G F u Z 2 V J b l B y Z X B h a W R B c 3 N l d H M s M T l 9 J n F 1 b 3 Q 7 L C Z x d W 9 0 O 1 N l Y 3 R p b 2 4 x L 0 N h c 2 h G b G 9 3 L 0 N o Y W 5 n Z W Q g V H l w Z S 5 7 Q 2 h h b m d l S W 5 S Z W N l a X Z h Y m x l c y w y M H 0 m c X V v d D s s J n F 1 b 3 Q 7 U 2 V j d G l v b j E v Q 2 F z a E Z s b 3 c v Q 2 h h b m d l Z C B U e X B l L n t D a G F u Z 2 V J b l d v c m t p b m d D Y X B p d G F s L D I x f S Z x d W 9 0 O y w m c X V v d D t T Z W N 0 a W 9 u M S 9 D Y X N o R m x v d y 9 D a G F u Z 2 V k I F R 5 c G U u e 0 N o Y W 5 n Z X N J b k F j Y 2 9 1 b n R S Z W N l a X Z h Y m x l c y w y M n 0 m c X V v d D s s J n F 1 b 3 Q 7 U 2 V j d G l v b j E v Q 2 F z a E Z s b 3 c v Q 2 h h b m d l Z C B U e X B l L n t D a G F u Z 2 V z S W 5 D Y X N o L D I z f S Z x d W 9 0 O y w m c X V v d D t T Z W N 0 a W 9 u M S 9 D Y X N o R m x v d y 9 D a G F u Z 2 V k I F R 5 c G U u e 0 N v b W 1 v b l N 0 b 2 N r S X N z d W F u Y 2 U s M j R 9 J n F 1 b 3 Q 7 L C Z x d W 9 0 O 1 N l Y 3 R p b 2 4 x L 0 N h c 2 h G b G 9 3 L 0 N o Y W 5 n Z W Q g V H l w Z S 5 7 Q 2 9 t b W 9 u U 3 R v Y 2 t Q Y X l t Z W 5 0 c y w 2 N H 0 m c X V v d D s s J n F 1 b 3 Q 7 U 2 V j d G l v b j E v Q 2 F z a E Z s b 3 c v Q 2 h h b m d l Z C B U e X B l L n t E Z W Z l c n J l Z E l u Y 2 9 t Z V R h e C w y N X 0 m c X V v d D s s J n F 1 b 3 Q 7 U 2 V j d G l v b j E v Q 2 F z a E Z s b 3 c v Q 2 h h b m d l Z C B U e X B l L n t E Z W Z l c n J l Z F R h e C w y N n 0 m c X V v d D s s J n F 1 b 3 Q 7 U 2 V j d G l v b j E v Q 2 F z a E Z s b 3 c v Q 2 h h b m d l Z C B U e X B l L n t E Z X B y Z W N p Y X R p b 2 5 B b W 9 y d G l 6 Y X R p b 2 5 E Z X B s Z X R p b 2 4 s M j d 9 J n F 1 b 3 Q 7 L C Z x d W 9 0 O 1 N l Y 3 R p b 2 4 x L 0 N h c 2 h G b G 9 3 L 0 N o Y W 5 n Z W Q g V H l w Z S 5 7 R G V w c m V j a W F 0 a W 9 u Q W 5 k Q W 1 v c n R p e m F 0 a W 9 u L D I 4 f S Z x d W 9 0 O y w m c X V v d D t T Z W N 0 a W 9 u M S 9 D Y X N o R m x v d y 9 D a G F u Z 2 V k I F R 5 c G U u e 0 V h c m 5 p b m d z T G 9 z c 2 V z R n J v b U V x d W l 0 e U l u d m V z d G 1 l b n R z L D g 2 f S Z x d W 9 0 O y w m c X V v d D t T Z W N 0 a W 9 u M S 9 D Y X N o R m x v d y 9 D a G F u Z 2 V k I F R 5 c G U u e 0 V m Z m V j d E 9 m R X h j a G F u Z 2 V S Y X R l Q 2 h h b m d l c y w y O X 0 m c X V v d D s s J n F 1 b 3 Q 7 U 2 V j d G l v b j E v Q 2 F z a E Z s b 3 c v Q 2 h h b m d l Z C B U e X B l L n t F b m R D Y X N o U G 9 z a X R p b 2 4 s M z B 9 J n F 1 b 3 Q 7 L C Z x d W 9 0 O 1 N l Y 3 R p b 2 4 x L 0 N h c 2 h G b G 9 3 L 0 N o Y W 5 n Z W Q g V H l w Z S 5 7 R m l u Y W 5 j a W 5 n Q 2 F z a E Z s b 3 c s M z F 9 J n F 1 b 3 Q 7 L C Z x d W 9 0 O 1 N l Y 3 R p b 2 4 x L 0 N h c 2 h G b G 9 3 L 0 N o Y W 5 n Z W Q g V H l w Z S 5 7 R n J l Z U N h c 2 h G b G 9 3 L D M y f S Z x d W 9 0 O y w m c X V v d D t T Z W N 0 a W 9 u M S 9 D Y X N o R m x v d y 9 D a G F u Z 2 V k I F R 5 c G U u e 0 d h a W 5 M b 3 N z T 2 5 J b n Z l c 3 R t Z W 5 0 U 2 V j d X J p d G l l c y w z M 3 0 m c X V v d D s s J n F 1 b 3 Q 7 U 2 V j d G l v b j E v Q 2 F z a E Z s b 3 c v Q 2 h h b m d l Z C B U e X B l L n t H Y W l u T G 9 z c 0 9 u U 2 F s Z U 9 m Q n V z a W 5 l c 3 M s N z l 9 J n F 1 b 3 Q 7 L C Z x d W 9 0 O 1 N l Y 3 R p b 2 4 x L 0 N h c 2 h G b G 9 3 L 0 N o Y W 5 n Z W Q g V H l w Z S 5 7 S W 5 j b 2 1 l V G F 4 U G F p Z F N 1 c H B s Z W 1 l b n R h b E R h d G E s N j Z 9 J n F 1 b 3 Q 7 L C Z x d W 9 0 O 1 N l Y 3 R p b 2 4 x L 0 N h c 2 h G b G 9 3 L 0 N o Y W 5 n Z W Q g V H l w Z S 5 7 S W 5 0 Z X J l c 3 R Q Y W l k U 3 V w c G x l b W V u d G F s R G F 0 Y S w z N H 0 m c X V v d D s s J n F 1 b 3 Q 7 U 2 V j d G l v b j E v Q 2 F z a E Z s b 3 c v Q 2 h h b m d l Z C B U e X B l L n t J b n Z l c 3 R p b m d D Y X N o R m x v d y w z N X 0 m c X V v d D s s J n F 1 b 3 Q 7 U 2 V j d G l v b j E v Q 2 F z a E Z s b 3 c v Q 2 h h b m d l Z C B U e X B l L n t J c 3 N 1 Y W 5 j Z U 9 m Q 2 F w a X R h b F N 0 b 2 N r L D M 2 f S Z x d W 9 0 O y w m c X V v d D t T Z W N 0 a W 9 u M S 9 D Y X N o R m x v d y 9 D a G F u Z 2 V k I F R 5 c G U u e 0 l z c 3 V h b m N l T 2 Z E Z W J 0 L D M 3 f S Z x d W 9 0 O y w m c X V v d D t T Z W N 0 a W 9 u M S 9 D Y X N o R m x v d y 9 D a G F u Z 2 V k I F R 5 c G U u e 0 x v b m d U Z X J t R G V i d E l z c 3 V h b m N l L D M 4 f S Z x d W 9 0 O y w m c X V v d D t T Z W N 0 a W 9 u M S 9 D Y X N o R m x v d y 9 D a G F u Z 2 V k I F R 5 c G U u e 0 x v b m d U Z X J t R G V i d F B h e W 1 l b n R z L D M 5 f S Z x d W 9 0 O y w m c X V v d D t T Z W N 0 a W 9 u M S 9 D Y X N o R m x v d y 9 D a G F u Z 2 V k I F R 5 c G U u e 0 5 l d E J 1 c 2 l u Z X N z U H V y Y 2 h h c 2 V B b m R T Y W x l L D Q w f S Z x d W 9 0 O y w m c X V v d D t T Z W N 0 a W 9 u M S 9 D Y X N o R m x v d y 9 D a G F u Z 2 V k I F R 5 c G U u e 0 5 l d E N v b W 1 v b l N 0 b 2 N r S X N z d W F u Y 2 U s N D F 9 J n F 1 b 3 Q 7 L C Z x d W 9 0 O 1 N l Y 3 R p b 2 4 x L 0 N h c 2 h G b G 9 3 L 0 N o Y W 5 n Z W Q g V H l w Z S 5 7 T m V 0 R m 9 y Z W l n b k N 1 c n J l b m N 5 R X h j a G F u Z 2 V H Y W l u T G 9 z c y w 0 M n 0 m c X V v d D s s J n F 1 b 3 Q 7 U 2 V j d G l v b j E v Q 2 F z a E Z s b 3 c v Q 2 h h b m d l Z C B U e X B l L n t O Z X R J b m N v b W U s N D N 9 J n F 1 b 3 Q 7 L C Z x d W 9 0 O 1 N l Y 3 R p b 2 4 x L 0 N h c 2 h G b G 9 3 L 0 N o Y W 5 n Z W Q g V H l w Z S 5 7 T m V 0 S W 5 j b 2 1 l R n J v b U N v b n R p b n V p b m d P c G V y Y X R p b 2 5 z L D Q 0 f S Z x d W 9 0 O y w m c X V v d D t T Z W N 0 a W 9 u M S 9 D Y X N o R m x v d y 9 D a G F u Z 2 V k I F R 5 c G U u e 0 5 l d E l u d m V z d G 1 l b n R Q d X J j a G F z Z U F u Z F N h b G U s N D Z 9 J n F 1 b 3 Q 7 L C Z x d W 9 0 O 1 N l Y 3 R p b 2 4 x L 0 N h c 2 h G b G 9 3 L 0 N o Y W 5 n Z W Q g V H l w Z S 5 7 T m V 0 S X N z d W F u Y 2 V Q Y X l t Z W 5 0 c 0 9 m R G V i d C w 0 N 3 0 m c X V v d D s s J n F 1 b 3 Q 7 U 2 V j d G l v b j E v Q 2 F z a E Z s b 3 c v Q 2 h h b m d l Z C B U e X B l L n t O Z X R M b 2 5 n V G V y b U R l Y n R J c 3 N 1 Y W 5 j Z S w 0 O H 0 m c X V v d D s s J n F 1 b 3 Q 7 U 2 V j d G l v b j E v Q 2 F z a E Z s b 3 c v Q 2 h h b m d l Z C B U e X B l L n t O Z X R P d G h l c k Z p b m F u Y 2 l u Z 0 N o Y X J n Z X M s N D l 9 J n F 1 b 3 Q 7 L C Z x d W 9 0 O 1 N l Y 3 R p b 2 4 x L 0 N h c 2 h G b G 9 3 L 0 N o Y W 5 n Z W Q g V H l w Z S 5 7 T m V 0 T 3 R o Z X J J b n Z l c 3 R p b m d D a G F u Z 2 V z L D g w f S Z x d W 9 0 O y w m c X V v d D t T Z W N 0 a W 9 u M S 9 D Y X N o R m x v d y 9 D a G F u Z 2 V k I F R 5 c G U u e 0 5 l d F B Q R V B 1 c m N o Y X N l Q W 5 k U 2 F s Z S w 1 M H 0 m c X V v d D s s J n F 1 b 3 Q 7 U 2 V j d G l v b j E v Q 2 F z a E Z s b 3 c v Q 2 h h b m d l Z C B U e X B l L n t O Z X R Q c m V m Z X J y Z W R T d G 9 j a 0 l z c 3 V h b m N l L D k z f S Z x d W 9 0 O y w m c X V v d D t T Z W N 0 a W 9 u M S 9 D Y X N o R m x v d y 9 D a G F u Z 2 V k I F R 5 c G U u e 0 9 w Z X J h d G l u Z 0 N h c 2 h G b G 9 3 L D U x f S Z x d W 9 0 O y w m c X V v d D t T Z W N 0 a W 9 u M S 9 D Y X N o R m x v d y 9 D a G F u Z 2 V k I F R 5 c G U u e 0 9 w Z X J h d G l u Z 0 d h a W 5 z T G 9 z c 2 V z L D U y f S Z x d W 9 0 O y w m c X V v d D t T Z W N 0 a W 9 u M S 9 D Y X N o R m x v d y 9 D a G F u Z 2 V k I F R 5 c G U u e 0 9 0 a G V y Q 2 F z a E F k a n V z d G 1 l b n R P d X R z a W R l Q 2 h h b m d l a W 5 D Y X N o L D k 0 f S Z x d W 9 0 O y w m c X V v d D t T Z W N 0 a W 9 u M S 9 D Y X N o R m x v d y 9 D a G F u Z 2 V k I F R 5 c G U u e 0 9 0 a G V y T m 9 u Q 2 F z a E l 0 Z W 1 z L D U z f S Z x d W 9 0 O y w m c X V v d D t T Z W N 0 a W 9 u M S 9 D Y X N o R m x v d y 9 D a G F u Z 2 V k I F R 5 c G U u e 1 B y Z W Z l c n J l Z F N 0 b 2 N r S X N z d W F u Y 2 U s O T V 9 J n F 1 b 3 Q 7 L C Z x d W 9 0 O 1 N l Y 3 R p b 2 4 x L 0 N h c 2 h G b G 9 3 L 0 N o Y W 5 n Z W Q g V H l w Z S 5 7 U H J v Y 2 V l Z H N G c m 9 t U 3 R v Y 2 t P c H R p b 2 5 F e G V y Y 2 l z Z W Q s N T R 9 J n F 1 b 3 Q 7 L C Z x d W 9 0 O 1 N l Y 3 R p b 2 4 x L 0 N h c 2 h G b G 9 3 L 0 N o Y W 5 n Z W Q g V H l w Z S 5 7 U H V y Y 2 h h c 2 V P Z k J 1 c 2 l u Z X N z L D U 1 f S Z x d W 9 0 O y w m c X V v d D t T Z W N 0 a W 9 u M S 9 D Y X N o R m x v d y 9 D a G F u Z 2 V k I F R 5 c G U u e 1 B 1 c m N o Y X N l T 2 Z J b n Z l c 3 R t Z W 5 0 L D U 3 f S Z x d W 9 0 O y w m c X V v d D t T Z W N 0 a W 9 u M S 9 D Y X N o R m x v d y 9 D a G F u Z 2 V k I F R 5 c G U u e 1 B 1 c m N o Y X N l T 2 Z Q U E U s N T h 9 J n F 1 b 3 Q 7 L C Z x d W 9 0 O 1 N l Y 3 R p b 2 4 x L 0 N h c 2 h G b G 9 3 L 0 N o Y W 5 n Z W Q g V H l w Z S 5 7 U m V w Y X l t Z W 5 0 T 2 Z E Z W J 0 L D U 5 f S Z x d W 9 0 O y w m c X V v d D t T Z W N 0 a W 9 u M S 9 D Y X N o R m x v d y 9 D a G F u Z 2 V k I F R 5 c G U u e 1 J l c H V y Y 2 h h c 2 V P Z k N h c G l 0 Y W x T d G 9 j a y w 2 O H 0 m c X V v d D s s J n F 1 b 3 Q 7 U 2 V j d G l v b j E v Q 2 F z a E Z s b 3 c v Q 2 h h b m d l Z C B U e X B l L n t T Y W x l T 2 Z C d X N p b m V z c y w 4 M n 0 m c X V v d D s s J n F 1 b 3 Q 7 U 2 V j d G l v b j E v Q 2 F z a E Z s b 3 c v Q 2 h h b m d l Z C B U e X B l L n t T Y W x l T 2 Z J b n Z l c 3 R t Z W 5 0 L D Y w f S Z x d W 9 0 O y w m c X V v d D t T Z W N 0 a W 9 u M S 9 D Y X N o R m x v d y 9 D a G F u Z 2 V k I F R 5 c G U u e 1 N h b G V P Z l B Q R S w 2 O X 0 m c X V v d D s s J n F 1 b 3 Q 7 U 2 V j d G l v b j E v Q 2 F z a E Z s b 3 c v U H J v b W 9 0 Z W Q g S G V h Z G V y c y 5 7 Q 2 h h b m d l S W 5 J b n R l c m V z d F B h e W F i b G U s N z F 9 J n F 1 b 3 Q 7 L C Z x d W 9 0 O 1 N l Y 3 R p b 2 4 x L 0 N h c 2 h G b G 9 3 L 0 N o Y W 5 n Z W Q g V H l w Z S 5 7 U 3 R v Y 2 t C Y X N l Z E N v b X B l b n N h d G l v b i w 2 M X 0 m c X V v d D s s J n F 1 b 3 Q 7 U 2 V j d G l v b j E v Q 2 F z a E Z s b 3 c v Q 2 h h b m d l Z C B U e X B l L n t V b n J l Y W x p e m V k R 2 F p b k x v c 3 N P b k l u d m V z d G 1 l b n R T Z W N 1 c m l 0 a W V z L D c w f S Z x d W 9 0 O y w m c X V v d D t T Z W N 0 a W 9 u M S 9 D Y X N o R m x v d y 9 Q c m 9 t b 3 R l Z C B I Z W F k Z X J z L n t T Y W x l T 2 Z J b n R h b m d p Y m x l c y w 3 N H 0 m c X V v d D s s J n F 1 b 3 Q 7 U 2 V j d G l v b j E v Q 2 F z a E Z s b 3 c v Q 2 h h b m d l Z C B U e X B l L n t B b W 9 y d G l 6 Y X R p b 2 5 D Y X N o R m x v d y w 3 N X 0 m c X V v d D s s J n F 1 b 3 Q 7 U 2 V j d G l v b j E v Q 2 F z a E Z s b 3 c v Q 2 h h b m d l Z C B U e X B l L n t B b W 9 y d G l 6 Y X R p b 2 5 P Z k l u d G F u Z 2 l i b G V z L D c 2 f S Z x d W 9 0 O y w m c X V v d D t T Z W N 0 a W 9 u M S 9 D Y X N o R m x v d y 9 D a G F u Z 2 V k I F R 5 c G U u e 0 N h c G l 0 Y W x F e H B l b m R p d H V y Z V J l c G 9 y d G V k L D c 3 f S Z x d W 9 0 O y w m c X V v d D t T Z W N 0 a W 9 u M S 9 D Y X N o R m x v d y 9 D a G F u Z 2 V k I F R 5 c G U u e 0 N h c 2 h E a X Z p Z G V u Z H N Q Y W l k L D Y z f S Z x d W 9 0 O y w m c X V v d D t T Z W N 0 a W 9 u M S 9 D Y X N o R m x v d y 9 D a G F u Z 2 V k I F R 5 c G U u e 0 N o Y W 5 n Z U l u S W 5 j b 2 1 l V G F 4 U G F 5 Y W J s Z S w 4 O X 0 m c X V v d D s s J n F 1 b 3 Q 7 U 2 V j d G l v b j E v Q 2 F z a E Z s b 3 c v Q 2 h h b m d l Z C B U e X B l L n t D a G F u Z 2 V J b k l u d m V u d G 9 y e S w x M 3 0 m c X V v d D s s J n F 1 b 3 Q 7 U 2 V j d G l v b j E v Q 2 F z a E Z s b 3 c v Q 2 h h b m d l Z C B U e X B l L n t D a G F u Z 2 V J b l R h e F B h e W F i b G U s O T B 9 J n F 1 b 3 Q 7 L C Z x d W 9 0 O 1 N l Y 3 R p b 2 4 x L 0 N h c 2 h G b G 9 3 L 0 N o Y W 5 n Z W Q g V H l w Z S 5 7 Q 2 9 t b W 9 u U 3 R v Y 2 t E a X Z p Z G V u Z F B h a W Q s N z h 9 J n F 1 b 3 Q 7 L C Z x d W 9 0 O 1 N l Y 3 R p b 2 4 x L 0 N h c 2 h G b G 9 3 L 0 N o Y W 5 n Z W Q g V H l w Z S 5 7 R G V w c m V j a W F 0 a W 9 u L D c y f S Z x d W 9 0 O y w m c X V v d D t T Z W N 0 a W 9 u M S 9 D Y X N o R m x v d y 9 D a G F u Z 2 V k I F R 5 c G U u e 0 d h a W 5 M b 3 N z T 2 5 T Y W x l T 2 Z Q U E U s N j V 9 J n F 1 b 3 Q 7 L C Z x d W 9 0 O 1 N l Y 3 R p b 2 4 x L 0 N h c 2 h G b G 9 3 L 0 N o Y W 5 n Z W Q g V H l w Z S 5 7 T m V 0 U 2 h v c n R U Z X J t R G V i d E l z c 3 V h b m N l L D g x f S Z x d W 9 0 O y w m c X V v d D t T Z W N 0 a W 9 u M S 9 D Y X N o R m x v d y 9 D a G F u Z 2 V k I F R 5 c G U u e 1 B l b n N p b 2 5 B b m R F b X B s b 3 l l Z U J l b m V m a X R F e H B l b n N l L D k 2 f S Z x d W 9 0 O y w m c X V v d D t T Z W N 0 a W 9 u M S 9 D Y X N o R m x v d y 9 Q c m 9 t b 3 R l Z C B I Z W F k Z X J z L n t O Z X R J b n Z l c 3 R t Z W 5 0 U H J v c G V y d G l l c 1 B 1 c m N o Y X N l Q W 5 k U 2 F s Z S w 4 N 3 0 m c X V v d D s s J n F 1 b 3 Q 7 U 2 V j d G l v b j E v Q 2 F z a E Z s b 3 c v U H J v b W 9 0 Z W Q g S G V h Z G V y c y 5 7 U 2 F s Z U 9 m S W 5 2 Z X N 0 b W V u d F B y b 3 B l c n R p Z X M s O D h 9 J n F 1 b 3 Q 7 L C Z x d W 9 0 O 1 N l Y 3 R p b 2 4 x L 0 N h c 2 h G b G 9 3 L 0 N o Y W 5 n Z W Q g V H l w Z S 5 7 U 2 h v c n R U Z X J t R G V i d E l z c 3 V h b m N l L D g z f S Z x d W 9 0 O y w m c X V v d D t T Z W N 0 a W 9 u M S 9 D Y X N o R m x v d y 9 D a G F u Z 2 V k I F R 5 c G U u e 1 N o b 3 J 0 V G V y b U R l Y n R Q Y X l t Z W 5 0 c y w 4 N H 0 m c X V v d D s s J n F 1 b 3 Q 7 U 2 V j d G l v b j E v Q 2 F z a E Z s b 3 c v Q 2 h h b m d l Z C B U e X B l L n t D Y X N o R n J v b U R p c 2 N v b n R p b n V l Z E Z p b m F u Y 2 l u Z 0 F j d G l 2 a X R p Z X M s O T d 9 J n F 1 b 3 Q 7 L C Z x d W 9 0 O 1 N l Y 3 R p b 2 4 x L 0 N h c 2 h G b G 9 3 L 1 B y b 2 1 v d G V k I E h l Y W R l c n M u e 2 F z T 2 Z Z Z W F y L D k y f S Z x d W 9 0 O y w m c X V v d D t T Z W N 0 a W 9 u M S 9 D Y X N o R m x v d y 9 D a G F u Z 2 V k I F R 5 c G U u e 0 N h c 2 h G c m 9 t R G l z Y 2 9 u d G l u d W V k S W 5 2 Z X N 0 a W 5 n Q W N 0 a X Z p d G l l c y w 5 O H 0 m c X V v d D s s J n F 1 b 3 Q 7 U 2 V j d G l v b j E v Q 2 F z a E Z s b 3 c v Q 2 h h b m d l Z C B U e X B l L n t D Y X N o R n J v b U R p c 2 N v b n R p b n V l Z E 9 w Z X J h d G l u Z 0 F j d G l 2 a X R p Z X M s O T l 9 J n F 1 b 3 Q 7 L C Z x d W 9 0 O 1 N l Y 3 R p b 2 4 x L 0 N h c 2 h G b G 9 3 L 0 N o Y W 5 n Z W Q g V H l w Z S 5 7 R G l 2 a W R l b m R z U m V j Z W l 2 Z W R D R k k s O D V 9 J n F 1 b 3 Q 7 L C Z x d W 9 0 O 1 N l Y 3 R p b 2 4 x L 0 N h c 2 h G b G 9 3 L 0 N o Y W 5 n Z W Q g V H l w Z S 5 7 U H J l Z m V y c m V k U 3 R v Y 2 t E a X Z p Z G V u Z F B h a W Q s N j d 9 J n F 1 b 3 Q 7 L C Z x d W 9 0 O 1 N l Y 3 R p b 2 4 x L 0 N h c 2 h G b G 9 3 L 0 N o Y W 5 n Z W Q g V H l w Z S 5 7 U H J l Z m V y c m V k U 3 R v Y 2 t Q Y X l t Z W 5 0 c y w x M D B 9 J n F 1 b 3 Q 7 L C Z x d W 9 0 O 1 N l Y 3 R p b 2 4 x L 0 N h c 2 h G b G 9 3 L 0 N o Y W 5 n Z W Q g V H l w Z S 5 7 U H J v d m l z a W 9 u Y W 5 k V 3 J p d G V P Z m Z v Z k F z c 2 V 0 c y w 3 M 3 0 m c X V v d D s s J n F 1 b 3 Q 7 U 2 V j d G l v b j E v Q 2 F z a E Z s b 3 c v Q 2 h h b m d l Z C B U e X B l L n t O Z X R J b n R h b m d p Y m x l c 1 B 1 c m N o Y X N l Q W 5 k U 2 F s Z S w 0 N X 0 m c X V v d D s s J n F 1 b 3 Q 7 U 2 V j d G l v b j E v Q 2 F z a E Z s b 3 c v Q 2 h h b m d l Z C B U e X B l L n t Q d X J j a G F z Z U 9 m S W 5 0 Y W 5 n a W J s Z X M s N T Z 9 J n F 1 b 3 Q 7 L C Z x d W 9 0 O 1 N l Y 3 R p b 2 4 x L 0 N h c 2 h G b G 9 3 L 0 N o Y W 5 n Z W Q g V H l w Z S 5 7 V G l j a 2 V y L D k x f S Z x d W 9 0 O 1 0 s J n F 1 b 3 Q 7 U m V s Y X R p b 2 5 z a G l w S W 5 m b y Z x d W 9 0 O z p b X X 0 i I C 8 + P C 9 T d G F i b G V F b n R y a W V z P j w v S X R l b T 4 8 S X R l b T 4 8 S X R l b U x v Y 2 F 0 a W 9 u P j x J d G V t V H l w Z T 5 G b 3 J t d W x h P C 9 J d G V t V H l w Z T 4 8 S X R l b V B h d G g + U 2 V j d G l v b j E v Q 2 F z a E Z s b 3 c v U 2 9 1 c m N l P C 9 J d G V t U G F 0 a D 4 8 L 0 l 0 Z W 1 M b 2 N h d G l v b j 4 8 U 3 R h Y m x l R W 5 0 c m l l c y A v P j w v S X R l b T 4 8 S X R l b T 4 8 S X R l b U x v Y 2 F 0 a W 9 u P j x J d G V t V H l w Z T 5 G b 3 J t d W x h P C 9 J d G V t V H l w Z T 4 8 S X R l b V B h d G g + U 2 V j d G l v b j E v Q 2 F z a E Z s b 3 c v Q 2 F z a E Z s b 3 d f U 2 h l Z X Q 8 L 0 l 0 Z W 1 Q Y X R o P j w v S X R l b U x v Y 2 F 0 a W 9 u P j x T d G F i b G V F b n R y a W V z I C 8 + P C 9 J d G V t P j x J d G V t P j x J d G V t T G 9 j Y X R p b 2 4 + P E l 0 Z W 1 U e X B l P k Z v c m 1 1 b G E 8 L 0 l 0 Z W 1 U e X B l P j x J d G V t U G F 0 a D 5 T Z W N 0 a W 9 u M S 9 D Y X N o R m x v d y 9 Q c m 9 t b 3 R l Z C U y M E h l Y W R l c n M 8 L 0 l 0 Z W 1 Q Y X R o P j w v S X R l b U x v Y 2 F 0 a W 9 u P j x T d G F i b G V F b n R y a W V z I C 8 + P C 9 J d G V t P j x J d G V t P j x J d G V t T G 9 j Y X R p b 2 4 + P E l 0 Z W 1 U e X B l P k Z v c m 1 1 b G E 8 L 0 l 0 Z W 1 U e X B l P j x J d G V t U G F 0 a D 5 T Z W N 0 a W 9 u M S 9 D Y X N o R m x v d y 9 D a G F u Z 2 V k J T I w V H l w Z T w v S X R l b V B h d G g + P C 9 J d G V t T G 9 j Y X R p b 2 4 + P F N 0 Y W J s Z U V u d H J p Z X M g L z 4 8 L 0 l 0 Z W 0 + P E l 0 Z W 0 + P E l 0 Z W 1 M b 2 N h d G l v b j 4 8 S X R l b V R 5 c G U + R m 9 y b X V s Y T w v S X R l b V R 5 c G U + P E l 0 Z W 1 Q Y X R o P l N l Y 3 R p b 2 4 x L 0 1 l d G F E Y X R h P C 9 J d G V t U G F 0 a D 4 8 L 0 l 0 Z W 1 M b 2 N h d G l v b j 4 8 U 3 R h Y m x l R W 5 0 c m l l c z 4 8 R W 5 0 c n k g V H l w Z T 0 i S X N Q c m l 2 Y X R l I i B W Y W x 1 Z T 0 i b D A i I C 8 + P E V u d H J 5 I F R 5 c G U 9 I l F 1 Z X J 5 S U Q i I F Z h b H V l P S J z Z j Q x Y W E y N D A t O D M 2 M i 0 0 O D U x L T k 0 Y T Y t M D d j M D N m Z D F j N T c 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R h R G F 0 Y S I g L z 4 8 R W 5 0 c n k g V H l w Z T 0 i R m l s b G V k Q 2 9 t c G x l d G V S Z X N 1 b H R U b 1 d v c m t z a G V l d C I g V m F s d W U 9 I m w x I i A v P j x F b n R y e S B U e X B l P S J G a W x s R X J y b 3 J D b 3 V u d C I g V m F s d W U 9 I m w w I i A v P j x F b n R y e S B U e X B l P S J G a W x s R X J y b 3 J D b 2 R l I i B W Y W x 1 Z T 0 i c 1 V u a 2 5 v d 2 4 i I C 8 + P E V u d H J 5 I F R 5 c G U 9 I k Z p b G x D b 3 V u d C I g V m F s d W U 9 I m w x M C I g L z 4 8 R W 5 0 c n k g V H l w Z T 0 i Q W R k Z W R U b 0 R h d G F N b 2 R l b C I g V m F s d W U 9 I m w w I i A v P j x F b n R y e S B U e X B l P S J G a W x s T G F z d F V w Z G F 0 Z W Q i I F Z h b H V l P S J k M j A y N C 0 w O S 0 w O V Q y M z o 1 O T o x M S 4 x M D g w M D A 0 W i I g L z 4 8 R W 5 0 c n k g V H l w Z T 0 i R m l s b E N v b H V t b l R 5 c G V z I i B W Y W x 1 Z T 0 i c 0 J n T U d C Z 1 l H Q 1 F V R E F 3 V U Z C U V V E Q l F V Q U J R T U Z C U V V E Q U F V R k J R Y 0 Z C U V V G Q X d V R k J R V U Z B d 0 1 G Q l F j S E J 3 V U c i I C 8 + P E V u d H J 5 I F R 5 c G U 9 I k Z p b G x D b 2 x 1 b W 5 O Y W 1 l c y I g V m F s d W U 9 I n N b J n F 1 b 3 Q 7 a W Q m c X V v d D s s J n F 1 b 3 Q 7 Z n V s b F R p b W V F b X B s b 3 l l Z X M m c X V v d D s s J n F 1 b 3 Q 7 d 2 V i c 2 l 0 Z S Z x d W 9 0 O y w m c X V v d D t p b m R 1 c 3 R y e S Z x d W 9 0 O y w m c X V v d D t z Z W N 0 b 3 I m c X V v d D s s J n F 1 b 3 Q 7 b G 9 u Z 0 J 1 c 2 l u Z X N z U 3 V t b W F y e S Z x d W 9 0 O y w m c X V v d D t E Y X R l J n F 1 b 3 Q 7 L C Z x d W 9 0 O 2 R l Y n R U b 0 V x d W l 0 e S Z x d W 9 0 O y w m c X V v d D t 0 b 3 R h b E R l Y n Q m c X V v d D s s J n F 1 b 3 Q 7 Z W J p d G R h J n F 1 b 3 Q 7 L C Z x d W 9 0 O 2 9 w Z X J h d G l u Z 0 1 h c m d p b n M m c X V v d D s s J n F 1 b 3 Q 7 c m V 2 Z W 5 1 Z U d y b 3 d 0 a C Z x d W 9 0 O y w m c X V v d D t 0 b 3 R h b E N h c 2 h Q Z X J T a G F y Z S Z x d W 9 0 O y w m c X V v d D t y Z X Z l b n V l U G V y U 2 h h c m U m c X V v d D s s J n F 1 b 3 Q 7 d G 9 0 Y W x D Y X N o J n F 1 b 3 Q 7 L C Z x d W 9 0 O 3 J l d H V y b k 9 u Q X N z Z X R z J n F 1 b 3 Q 7 L C Z x d W 9 0 O 3 B y b 2 Z p d E 1 h c m d p b n M m c X V v d D s s J n F 1 b 3 Q 7 Z 3 J v c 3 N Q c m 9 m a X R z J n F 1 b 3 Q 7 L C Z x d W 9 0 O 2 V h c m 5 p b m d z R 3 J v d 3 R o J n F 1 b 3 Q 7 L C Z x d W 9 0 O 2 Z y Z W V D Y X N o Z m x v d y Z x d W 9 0 O y w m c X V v d D t y Z X R 1 c m 5 P b k V x d W l 0 e S Z x d W 9 0 O y w m c X V v d D t x d W l j a 1 J h d G l v J n F 1 b 3 Q 7 L C Z x d W 9 0 O 2 N 1 c n J l b n R S Y X R p b y Z x d W 9 0 O y w m c X V v d D t v c G V y Y X R p b m d D Y X N o Z m x v d y Z x d W 9 0 O y w m c X V v d D t 0 Y X J n Z X R N Z W F u U H J p Y 2 U m c X V v d D s s J n F 1 b 3 Q 7 c H J l d m l v d X N D b G 9 z Z S Z x d W 9 0 O y w m c X V v d D t k a X Z p Z G V u Z F J h d G U m c X V v d D s s J n F 1 b 3 Q 7 Z G l 2 a W R l b m R Z a W V s Z C Z x d W 9 0 O y w m c X V v d D t l e E R p d m l k Z W 5 k R G F 0 Z S Z x d W 9 0 O y w m c X V v d D t m a X Z l W W V h c k F 2 Z 0 R p d m l k Z W 5 k W W l l b G Q m c X V v d D s s J n F 1 b 3 Q 7 Y m V 0 Y S Z x d W 9 0 O y w m c X V v d D t 0 c m F p b G l u Z 1 B F J n F 1 b 3 Q 7 L C Z x d W 9 0 O 2 Z v c n d h c m R Q R S Z x d W 9 0 O y w m c X V v d D t h d m V y Y W d l V m 9 s d W 1 l M T B k Y X l z J n F 1 b 3 Q 7 L C Z x d W 9 0 O 2 Z p Z n R 5 V H d v V 2 V l a 0 x v d y Z x d W 9 0 O y w m c X V v d D t m a W Z 0 e V R 3 b 1 d l Z W t I a W d o J n F 1 b 3 Q 7 L C Z x d W 9 0 O 3 B y a W N l V G 9 T Y W x l c 1 R y Y W l s a W 5 n M T J N b 2 5 0 a H M m c X V v d D s s J n F 1 b 3 Q 7 d H J h a W x p b m d B b m 5 1 Y W x E a X Z p Z G V u Z F J h d G U m c X V v d D s s J n F 1 b 3 Q 7 d H J h a W x p b m d B b m 5 1 Y W x E a X Z p Z G V u Z F l p Z W x k J n F 1 b 3 Q 7 L C Z x d W 9 0 O 2 1 h c m t l d E N h c C Z x d W 9 0 O y w m c X V v d D t z a G F y Z X N P d X R z d G F u Z G l u Z y Z x d W 9 0 O y w m c X V v d D t i b 2 9 r V m F s d W U m c X V v d D s s J n F 1 b 3 Q 7 c H J p Y 2 V U b 0 J v b 2 s m c X V v d D s s J n F 1 b 3 Q 7 b G F z d E Z p c 2 N h b F l l Y X J F b m Q m c X V v d D s s J n F 1 b 3 Q 7 b m V 4 d E Z p c 2 N h b F l l Y X J F b m Q m c X V v d D s s J n F 1 b 3 Q 7 b W 9 z d F J l Y 2 V u d F F 1 Y X J 0 Z X I m c X V v d D s s J n F 1 b 3 Q 7 c G V n U m F 0 a W 8 m c X V v d D s s J n F 1 b 3 Q 7 V G l j a 2 V y J n F 1 b 3 Q 7 X S I g L z 4 8 R W 5 0 c n k g V H l w Z T 0 i R m l s b F N 0 Y X R 1 c y I g V m F s d W U 9 I n N D b 2 1 w b G V 0 Z S I g L z 4 8 R W 5 0 c n k g V H l w Z T 0 i U m V s Y X R p b 2 5 z a G l w S W 5 m b 0 N v b n R h a W 5 l c i I g V m F s d W U 9 I n N 7 J n F 1 b 3 Q 7 Y 2 9 s d W 1 u Q 2 9 1 b n Q m c X V v d D s 6 N D g s J n F 1 b 3 Q 7 a 2 V 5 Q 2 9 s d W 1 u T m F t Z X M m c X V v d D s 6 W 1 0 s J n F 1 b 3 Q 7 c X V l c n l S Z W x h d G l v b n N o a X B z J n F 1 b 3 Q 7 O l t d L C Z x d W 9 0 O 2 N v b H V t b k l k Z W 5 0 a X R p Z X M m c X V v d D s 6 W y Z x d W 9 0 O 1 N l Y 3 R p b 2 4 x L 0 1 l d G F E Y X R h L 0 N o Y W 5 n Z W Q g V H l w Z S 5 7 a W Q s M H 0 m c X V v d D s s J n F 1 b 3 Q 7 U 2 V j d G l v b j E v T W V 0 Y U R h d G E v Q 2 h h b m d l Z C B U e X B l L n t m d W x s V G l t Z U V t c G x v e W V l c y w x f S Z x d W 9 0 O y w m c X V v d D t T Z W N 0 a W 9 u M S 9 N Z X R h R G F 0 Y S 9 D a G F u Z 2 V k I F R 5 c G U u e 3 d l Y n N p d G U s M n 0 m c X V v d D s s J n F 1 b 3 Q 7 U 2 V j d G l v b j E v T W V 0 Y U R h d G E v Q 2 h h b m d l Z C B U e X B l L n t p b m R 1 c 3 R y e S w z f S Z x d W 9 0 O y w m c X V v d D t T Z W N 0 a W 9 u M S 9 N Z X R h R G F 0 Y S 9 D a G F u Z 2 V k I F R 5 c G U u e 3 N l Y 3 R v c i w 0 f S Z x d W 9 0 O y w m c X V v d D t T Z W N 0 a W 9 u M S 9 N Z X R h R G F 0 Y S 9 D a G F u Z 2 V k I F R 5 c G U u e 2 x v b m d C d X N p b m V z c 1 N 1 b W 1 h c n k s N X 0 m c X V v d D s s J n F 1 b 3 Q 7 U 2 V j d G l v b j E v T W V 0 Y U R h d G E v Q 2 h h b m d l Z C B U e X B l L n t E Y X R l L D Z 9 J n F 1 b 3 Q 7 L C Z x d W 9 0 O 1 N l Y 3 R p b 2 4 x L 0 1 l d G F E Y X R h L 0 N o Y W 5 n Z W Q g V H l w Z S 5 7 Z G V i d F R v R X F 1 a X R 5 L D d 9 J n F 1 b 3 Q 7 L C Z x d W 9 0 O 1 N l Y 3 R p b 2 4 x L 0 1 l d G F E Y X R h L 0 N o Y W 5 n Z W Q g V H l w Z S 5 7 d G 9 0 Y W x E Z W J 0 L D h 9 J n F 1 b 3 Q 7 L C Z x d W 9 0 O 1 N l Y 3 R p b 2 4 x L 0 1 l d G F E Y X R h L 0 N o Y W 5 n Z W Q g V H l w Z S 5 7 Z W J p d G R h L D l 9 J n F 1 b 3 Q 7 L C Z x d W 9 0 O 1 N l Y 3 R p b 2 4 x L 0 1 l d G F E Y X R h L 0 N o Y W 5 n Z W Q g V H l w Z S 5 7 b 3 B l c m F 0 a W 5 n T W F y Z 2 l u c y w x M H 0 m c X V v d D s s J n F 1 b 3 Q 7 U 2 V j d G l v b j E v T W V 0 Y U R h d G E v Q 2 h h b m d l Z C B U e X B l L n t y Z X Z l b n V l R 3 J v d 3 R o L D E x f S Z x d W 9 0 O y w m c X V v d D t T Z W N 0 a W 9 u M S 9 N Z X R h R G F 0 Y S 9 D a G F u Z 2 V k I F R 5 c G U u e 3 R v d G F s Q 2 F z a F B l c l N o Y X J l L D E y f S Z x d W 9 0 O y w m c X V v d D t T Z W N 0 a W 9 u M S 9 N Z X R h R G F 0 Y S 9 D a G F u Z 2 V k I F R 5 c G U u e 3 J l d m V u d W V Q Z X J T a G F y Z S w x M 3 0 m c X V v d D s s J n F 1 b 3 Q 7 U 2 V j d G l v b j E v T W V 0 Y U R h d G E v Q 2 h h b m d l Z C B U e X B l L n t 0 b 3 R h b E N h c 2 g s M T R 9 J n F 1 b 3 Q 7 L C Z x d W 9 0 O 1 N l Y 3 R p b 2 4 x L 0 1 l d G F E Y X R h L 0 N o Y W 5 n Z W Q g V H l w Z S 5 7 c m V 0 d X J u T 2 5 B c 3 N l d H M s M T V 9 J n F 1 b 3 Q 7 L C Z x d W 9 0 O 1 N l Y 3 R p b 2 4 x L 0 1 l d G F E Y X R h L 0 N o Y W 5 n Z W Q g V H l w Z S 5 7 c H J v Z m l 0 T W F y Z 2 l u c y w x N n 0 m c X V v d D s s J n F 1 b 3 Q 7 U 2 V j d G l v b j E v T W V 0 Y U R h d G E v Q 2 h h b m d l Z C B U e X B l L n t n c m 9 z c 1 B y b 2 Z p d H M s M T d 9 J n F 1 b 3 Q 7 L C Z x d W 9 0 O 1 N l Y 3 R p b 2 4 x L 0 1 l d G F E Y X R h L 0 N o Y W 5 n Z W Q g V H l w Z S 5 7 Z W F y b m l u Z 3 N H c m 9 3 d G g s M T h 9 J n F 1 b 3 Q 7 L C Z x d W 9 0 O 1 N l Y 3 R p b 2 4 x L 0 1 l d G F E Y X R h L 0 N o Y W 5 n Z W Q g V H l w Z S 5 7 Z n J l Z U N h c 2 h m b G 9 3 L D E 5 f S Z x d W 9 0 O y w m c X V v d D t T Z W N 0 a W 9 u M S 9 N Z X R h R G F 0 Y S 9 D a G F u Z 2 V k I F R 5 c G U u e 3 J l d H V y b k 9 u R X F 1 a X R 5 L D I w f S Z x d W 9 0 O y w m c X V v d D t T Z W N 0 a W 9 u M S 9 N Z X R h R G F 0 Y S 9 D a G F u Z 2 V k I F R 5 c G U u e 3 F 1 a W N r U m F 0 a W 8 s M j F 9 J n F 1 b 3 Q 7 L C Z x d W 9 0 O 1 N l Y 3 R p b 2 4 x L 0 1 l d G F E Y X R h L 0 N o Y W 5 n Z W Q g V H l w Z S 5 7 Y 3 V y c m V u d F J h d G l v L D I y f S Z x d W 9 0 O y w m c X V v d D t T Z W N 0 a W 9 u M S 9 N Z X R h R G F 0 Y S 9 D a G F u Z 2 V k I F R 5 c G U u e 2 9 w Z X J h d G l u Z 0 N h c 2 h m b G 9 3 L D I z f S Z x d W 9 0 O y w m c X V v d D t T Z W N 0 a W 9 u M S 9 N Z X R h R G F 0 Y S 9 Q c m 9 t b 3 R l Z C B I Z W F k Z X J z L n t 0 Y X J n Z X R N Z W F u U H J p Y 2 U s M j R 9 J n F 1 b 3 Q 7 L C Z x d W 9 0 O 1 N l Y 3 R p b 2 4 x L 0 1 l d G F E Y X R h L 0 N o Y W 5 n Z W Q g V H l w Z S 5 7 c H J l d m l v d X N D b G 9 z Z S w y N X 0 m c X V v d D s s J n F 1 b 3 Q 7 U 2 V j d G l v b j E v T W V 0 Y U R h d G E v Q 2 h h b m d l Z C B U e X B l L n t k a X Z p Z G V u Z F J h d G U s M j Z 9 J n F 1 b 3 Q 7 L C Z x d W 9 0 O 1 N l Y 3 R p b 2 4 x L 0 1 l d G F E Y X R h L 0 N o Y W 5 n Z W Q g V H l w Z S 5 7 Z G l 2 a W R l b m R Z a W V s Z C w y N 3 0 m c X V v d D s s J n F 1 b 3 Q 7 U 2 V j d G l v b j E v T W V 0 Y U R h d G E v Q 2 h h b m d l Z C B U e X B l L n t l e E R p d m l k Z W 5 k R G F 0 Z S w y O H 0 m c X V v d D s s J n F 1 b 3 Q 7 U 2 V j d G l v b j E v T W V 0 Y U R h d G E v Q 2 h h b m d l Z C B U e X B l L n t m a X Z l W W V h c k F 2 Z 0 R p d m l k Z W 5 k W W l l b G Q s M j l 9 J n F 1 b 3 Q 7 L C Z x d W 9 0 O 1 N l Y 3 R p b 2 4 x L 0 1 l d G F E Y X R h L 0 N o Y W 5 n Z W Q g V H l w Z S 5 7 Y m V 0 Y S w z M H 0 m c X V v d D s s J n F 1 b 3 Q 7 U 2 V j d G l v b j E v T W V 0 Y U R h d G E v Q 2 h h b m d l Z C B U e X B l L n t 0 c m F p b G l u Z 1 B F L D M x f S Z x d W 9 0 O y w m c X V v d D t T Z W N 0 a W 9 u M S 9 N Z X R h R G F 0 Y S 9 D a G F u Z 2 V k I F R 5 c G U u e 2 Z v c n d h c m R Q R S w z M n 0 m c X V v d D s s J n F 1 b 3 Q 7 U 2 V j d G l v b j E v T W V 0 Y U R h d G E v Q 2 h h b m d l Z C B U e X B l L n t h d m V y Y W d l V m 9 s d W 1 l M T B k Y X l z L D M z f S Z x d W 9 0 O y w m c X V v d D t T Z W N 0 a W 9 u M S 9 N Z X R h R G F 0 Y S 9 D a G F u Z 2 V k I F R 5 c G U u e 2 Z p Z n R 5 V H d v V 2 V l a 0 x v d y w z N H 0 m c X V v d D s s J n F 1 b 3 Q 7 U 2 V j d G l v b j E v T W V 0 Y U R h d G E v Q 2 h h b m d l Z C B U e X B l L n t m a W Z 0 e V R 3 b 1 d l Z W t I a W d o L D M 1 f S Z x d W 9 0 O y w m c X V v d D t T Z W N 0 a W 9 u M S 9 N Z X R h R G F 0 Y S 9 D a G F u Z 2 V k I F R 5 c G U u e 3 B y a W N l V G 9 T Y W x l c 1 R y Y W l s a W 5 n M T J N b 2 5 0 a H M s M z Z 9 J n F 1 b 3 Q 7 L C Z x d W 9 0 O 1 N l Y 3 R p b 2 4 x L 0 1 l d G F E Y X R h L 0 N o Y W 5 n Z W Q g V H l w Z S 5 7 d H J h a W x p b m d B b m 5 1 Y W x E a X Z p Z G V u Z F J h d G U s M z d 9 J n F 1 b 3 Q 7 L C Z x d W 9 0 O 1 N l Y 3 R p b 2 4 x L 0 1 l d G F E Y X R h L 0 N o Y W 5 n Z W Q g V H l w Z S 5 7 d H J h a W x p b m d B b m 5 1 Y W x E a X Z p Z G V u Z F l p Z W x k L D M 4 f S Z x d W 9 0 O y w m c X V v d D t T Z W N 0 a W 9 u M S 9 N Z X R h R G F 0 Y S 9 D a G F u Z 2 V k I F R 5 c G U u e 2 1 h c m t l d E N h c C w z O X 0 m c X V v d D s s J n F 1 b 3 Q 7 U 2 V j d G l v b j E v T W V 0 Y U R h d G E v Q 2 h h b m d l Z C B U e X B l L n t z a G F y Z X N P d X R z d G F u Z G l u Z y w 0 M H 0 m c X V v d D s s J n F 1 b 3 Q 7 U 2 V j d G l v b j E v T W V 0 Y U R h d G E v Q 2 h h b m d l Z C B U e X B l L n t i b 2 9 r V m F s d W U s N D F 9 J n F 1 b 3 Q 7 L C Z x d W 9 0 O 1 N l Y 3 R p b 2 4 x L 0 1 l d G F E Y X R h L 0 N o Y W 5 n Z W Q g V H l w Z S 5 7 c H J p Y 2 V U b 0 J v b 2 s s N D J 9 J n F 1 b 3 Q 7 L C Z x d W 9 0 O 1 N l Y 3 R p b 2 4 x L 0 1 l d G F E Y X R h L 0 N o Y W 5 n Z W Q g V H l w Z S 5 7 b G F z d E Z p c 2 N h b F l l Y X J F b m Q s N D N 9 J n F 1 b 3 Q 7 L C Z x d W 9 0 O 1 N l Y 3 R p b 2 4 x L 0 1 l d G F E Y X R h L 0 N o Y W 5 n Z W Q g V H l w Z S 5 7 b m V 4 d E Z p c 2 N h b F l l Y X J F b m Q s N D R 9 J n F 1 b 3 Q 7 L C Z x d W 9 0 O 1 N l Y 3 R p b 2 4 x L 0 1 l d G F E Y X R h L 0 N o Y W 5 n Z W Q g V H l w Z S 5 7 b W 9 z d F J l Y 2 V u d F F 1 Y X J 0 Z X I s N D V 9 J n F 1 b 3 Q 7 L C Z x d W 9 0 O 1 N l Y 3 R p b 2 4 x L 0 1 l d G F E Y X R h L 0 N o Y W 5 n Z W Q g V H l w Z S 5 7 c G V n U m F 0 a W 8 s N D Z 9 J n F 1 b 3 Q 7 L C Z x d W 9 0 O 1 N l Y 3 R p b 2 4 x L 0 1 l d G F E Y X R h L 0 N o Y W 5 n Z W Q g V H l w Z S 5 7 V G l j a 2 V y L D Q 3 f S Z x d W 9 0 O 1 0 s J n F 1 b 3 Q 7 Q 2 9 s d W 1 u Q 2 9 1 b n Q m c X V v d D s 6 N D g s J n F 1 b 3 Q 7 S 2 V 5 Q 2 9 s d W 1 u T m F t Z X M m c X V v d D s 6 W 1 0 s J n F 1 b 3 Q 7 Q 2 9 s d W 1 u S W R l b n R p d G l l c y Z x d W 9 0 O z p b J n F 1 b 3 Q 7 U 2 V j d G l v b j E v T W V 0 Y U R h d G E v Q 2 h h b m d l Z C B U e X B l L n t p Z C w w f S Z x d W 9 0 O y w m c X V v d D t T Z W N 0 a W 9 u M S 9 N Z X R h R G F 0 Y S 9 D a G F u Z 2 V k I F R 5 c G U u e 2 Z 1 b G x U a W 1 l R W 1 w b G 9 5 Z W V z L D F 9 J n F 1 b 3 Q 7 L C Z x d W 9 0 O 1 N l Y 3 R p b 2 4 x L 0 1 l d G F E Y X R h L 0 N o Y W 5 n Z W Q g V H l w Z S 5 7 d 2 V i c 2 l 0 Z S w y f S Z x d W 9 0 O y w m c X V v d D t T Z W N 0 a W 9 u M S 9 N Z X R h R G F 0 Y S 9 D a G F u Z 2 V k I F R 5 c G U u e 2 l u Z H V z d H J 5 L D N 9 J n F 1 b 3 Q 7 L C Z x d W 9 0 O 1 N l Y 3 R p b 2 4 x L 0 1 l d G F E Y X R h L 0 N o Y W 5 n Z W Q g V H l w Z S 5 7 c 2 V j d G 9 y L D R 9 J n F 1 b 3 Q 7 L C Z x d W 9 0 O 1 N l Y 3 R p b 2 4 x L 0 1 l d G F E Y X R h L 0 N o Y W 5 n Z W Q g V H l w Z S 5 7 b G 9 u Z 0 J 1 c 2 l u Z X N z U 3 V t b W F y e S w 1 f S Z x d W 9 0 O y w m c X V v d D t T Z W N 0 a W 9 u M S 9 N Z X R h R G F 0 Y S 9 D a G F u Z 2 V k I F R 5 c G U u e 0 R h d G U s N n 0 m c X V v d D s s J n F 1 b 3 Q 7 U 2 V j d G l v b j E v T W V 0 Y U R h d G E v Q 2 h h b m d l Z C B U e X B l L n t k Z W J 0 V G 9 F c X V p d H k s N 3 0 m c X V v d D s s J n F 1 b 3 Q 7 U 2 V j d G l v b j E v T W V 0 Y U R h d G E v Q 2 h h b m d l Z C B U e X B l L n t 0 b 3 R h b E R l Y n Q s O H 0 m c X V v d D s s J n F 1 b 3 Q 7 U 2 V j d G l v b j E v T W V 0 Y U R h d G E v Q 2 h h b m d l Z C B U e X B l L n t l Y m l 0 Z G E s O X 0 m c X V v d D s s J n F 1 b 3 Q 7 U 2 V j d G l v b j E v T W V 0 Y U R h d G E v Q 2 h h b m d l Z C B U e X B l L n t v c G V y Y X R p b m d N Y X J n a W 5 z L D E w f S Z x d W 9 0 O y w m c X V v d D t T Z W N 0 a W 9 u M S 9 N Z X R h R G F 0 Y S 9 D a G F u Z 2 V k I F R 5 c G U u e 3 J l d m V u d W V H c m 9 3 d G g s M T F 9 J n F 1 b 3 Q 7 L C Z x d W 9 0 O 1 N l Y 3 R p b 2 4 x L 0 1 l d G F E Y X R h L 0 N o Y W 5 n Z W Q g V H l w Z S 5 7 d G 9 0 Y W x D Y X N o U G V y U 2 h h c m U s M T J 9 J n F 1 b 3 Q 7 L C Z x d W 9 0 O 1 N l Y 3 R p b 2 4 x L 0 1 l d G F E Y X R h L 0 N o Y W 5 n Z W Q g V H l w Z S 5 7 c m V 2 Z W 5 1 Z V B l c l N o Y X J l L D E z f S Z x d W 9 0 O y w m c X V v d D t T Z W N 0 a W 9 u M S 9 N Z X R h R G F 0 Y S 9 D a G F u Z 2 V k I F R 5 c G U u e 3 R v d G F s Q 2 F z a C w x N H 0 m c X V v d D s s J n F 1 b 3 Q 7 U 2 V j d G l v b j E v T W V 0 Y U R h d G E v Q 2 h h b m d l Z C B U e X B l L n t y Z X R 1 c m 5 P b k F z c 2 V 0 c y w x N X 0 m c X V v d D s s J n F 1 b 3 Q 7 U 2 V j d G l v b j E v T W V 0 Y U R h d G E v Q 2 h h b m d l Z C B U e X B l L n t w c m 9 m a X R N Y X J n a W 5 z L D E 2 f S Z x d W 9 0 O y w m c X V v d D t T Z W N 0 a W 9 u M S 9 N Z X R h R G F 0 Y S 9 D a G F u Z 2 V k I F R 5 c G U u e 2 d y b 3 N z U H J v Z m l 0 c y w x N 3 0 m c X V v d D s s J n F 1 b 3 Q 7 U 2 V j d G l v b j E v T W V 0 Y U R h d G E v Q 2 h h b m d l Z C B U e X B l L n t l Y X J u a W 5 n c 0 d y b 3 d 0 a C w x O H 0 m c X V v d D s s J n F 1 b 3 Q 7 U 2 V j d G l v b j E v T W V 0 Y U R h d G E v Q 2 h h b m d l Z C B U e X B l L n t m c m V l Q 2 F z a G Z s b 3 c s M T l 9 J n F 1 b 3 Q 7 L C Z x d W 9 0 O 1 N l Y 3 R p b 2 4 x L 0 1 l d G F E Y X R h L 0 N o Y W 5 n Z W Q g V H l w Z S 5 7 c m V 0 d X J u T 2 5 F c X V p d H k s M j B 9 J n F 1 b 3 Q 7 L C Z x d W 9 0 O 1 N l Y 3 R p b 2 4 x L 0 1 l d G F E Y X R h L 0 N o Y W 5 n Z W Q g V H l w Z S 5 7 c X V p Y 2 t S Y X R p b y w y M X 0 m c X V v d D s s J n F 1 b 3 Q 7 U 2 V j d G l v b j E v T W V 0 Y U R h d G E v Q 2 h h b m d l Z C B U e X B l L n t j d X J y Z W 5 0 U m F 0 a W 8 s M j J 9 J n F 1 b 3 Q 7 L C Z x d W 9 0 O 1 N l Y 3 R p b 2 4 x L 0 1 l d G F E Y X R h L 0 N o Y W 5 n Z W Q g V H l w Z S 5 7 b 3 B l c m F 0 a W 5 n Q 2 F z a G Z s b 3 c s M j N 9 J n F 1 b 3 Q 7 L C Z x d W 9 0 O 1 N l Y 3 R p b 2 4 x L 0 1 l d G F E Y X R h L 1 B y b 2 1 v d G V k I E h l Y W R l c n M u e 3 R h c m d l d E 1 l Y W 5 Q c m l j Z S w y N H 0 m c X V v d D s s J n F 1 b 3 Q 7 U 2 V j d G l v b j E v T W V 0 Y U R h d G E v Q 2 h h b m d l Z C B U e X B l L n t w c m V 2 a W 9 1 c 0 N s b 3 N l L D I 1 f S Z x d W 9 0 O y w m c X V v d D t T Z W N 0 a W 9 u M S 9 N Z X R h R G F 0 Y S 9 D a G F u Z 2 V k I F R 5 c G U u e 2 R p d m l k Z W 5 k U m F 0 Z S w y N n 0 m c X V v d D s s J n F 1 b 3 Q 7 U 2 V j d G l v b j E v T W V 0 Y U R h d G E v Q 2 h h b m d l Z C B U e X B l L n t k a X Z p Z G V u Z F l p Z W x k L D I 3 f S Z x d W 9 0 O y w m c X V v d D t T Z W N 0 a W 9 u M S 9 N Z X R h R G F 0 Y S 9 D a G F u Z 2 V k I F R 5 c G U u e 2 V 4 R G l 2 a W R l b m R E Y X R l L D I 4 f S Z x d W 9 0 O y w m c X V v d D t T Z W N 0 a W 9 u M S 9 N Z X R h R G F 0 Y S 9 D a G F u Z 2 V k I F R 5 c G U u e 2 Z p d m V Z Z W F y Q X Z n R G l 2 a W R l b m R Z a W V s Z C w y O X 0 m c X V v d D s s J n F 1 b 3 Q 7 U 2 V j d G l v b j E v T W V 0 Y U R h d G E v Q 2 h h b m d l Z C B U e X B l L n t i Z X R h L D M w f S Z x d W 9 0 O y w m c X V v d D t T Z W N 0 a W 9 u M S 9 N Z X R h R G F 0 Y S 9 D a G F u Z 2 V k I F R 5 c G U u e 3 R y Y W l s a W 5 n U E U s M z F 9 J n F 1 b 3 Q 7 L C Z x d W 9 0 O 1 N l Y 3 R p b 2 4 x L 0 1 l d G F E Y X R h L 0 N o Y W 5 n Z W Q g V H l w Z S 5 7 Z m 9 y d 2 F y Z F B F L D M y f S Z x d W 9 0 O y w m c X V v d D t T Z W N 0 a W 9 u M S 9 N Z X R h R G F 0 Y S 9 D a G F u Z 2 V k I F R 5 c G U u e 2 F 2 Z X J h Z 2 V W b 2 x 1 b W U x M G R h e X M s M z N 9 J n F 1 b 3 Q 7 L C Z x d W 9 0 O 1 N l Y 3 R p b 2 4 x L 0 1 l d G F E Y X R h L 0 N o Y W 5 n Z W Q g V H l w Z S 5 7 Z m l m d H l U d 2 9 X Z W V r T G 9 3 L D M 0 f S Z x d W 9 0 O y w m c X V v d D t T Z W N 0 a W 9 u M S 9 N Z X R h R G F 0 Y S 9 D a G F u Z 2 V k I F R 5 c G U u e 2 Z p Z n R 5 V H d v V 2 V l a 0 h p Z 2 g s M z V 9 J n F 1 b 3 Q 7 L C Z x d W 9 0 O 1 N l Y 3 R p b 2 4 x L 0 1 l d G F E Y X R h L 0 N o Y W 5 n Z W Q g V H l w Z S 5 7 c H J p Y 2 V U b 1 N h b G V z V H J h a W x p b m c x M k 1 v b n R o c y w z N n 0 m c X V v d D s s J n F 1 b 3 Q 7 U 2 V j d G l v b j E v T W V 0 Y U R h d G E v Q 2 h h b m d l Z C B U e X B l L n t 0 c m F p b G l u Z 0 F u b n V h b E R p d m l k Z W 5 k U m F 0 Z S w z N 3 0 m c X V v d D s s J n F 1 b 3 Q 7 U 2 V j d G l v b j E v T W V 0 Y U R h d G E v Q 2 h h b m d l Z C B U e X B l L n t 0 c m F p b G l u Z 0 F u b n V h b E R p d m l k Z W 5 k W W l l b G Q s M z h 9 J n F 1 b 3 Q 7 L C Z x d W 9 0 O 1 N l Y 3 R p b 2 4 x L 0 1 l d G F E Y X R h L 0 N o Y W 5 n Z W Q g V H l w Z S 5 7 b W F y a 2 V 0 Q 2 F w L D M 5 f S Z x d W 9 0 O y w m c X V v d D t T Z W N 0 a W 9 u M S 9 N Z X R h R G F 0 Y S 9 D a G F u Z 2 V k I F R 5 c G U u e 3 N o Y X J l c 0 9 1 d H N 0 Y W 5 k a W 5 n L D Q w f S Z x d W 9 0 O y w m c X V v d D t T Z W N 0 a W 9 u M S 9 N Z X R h R G F 0 Y S 9 D a G F u Z 2 V k I F R 5 c G U u e 2 J v b 2 t W Y W x 1 Z S w 0 M X 0 m c X V v d D s s J n F 1 b 3 Q 7 U 2 V j d G l v b j E v T W V 0 Y U R h d G E v Q 2 h h b m d l Z C B U e X B l L n t w c m l j Z V R v Q m 9 v a y w 0 M n 0 m c X V v d D s s J n F 1 b 3 Q 7 U 2 V j d G l v b j E v T W V 0 Y U R h d G E v Q 2 h h b m d l Z C B U e X B l L n t s Y X N 0 R m l z Y 2 F s W W V h c k V u Z C w 0 M 3 0 m c X V v d D s s J n F 1 b 3 Q 7 U 2 V j d G l v b j E v T W V 0 Y U R h d G E v Q 2 h h b m d l Z C B U e X B l L n t u Z X h 0 R m l z Y 2 F s W W V h c k V u Z C w 0 N H 0 m c X V v d D s s J n F 1 b 3 Q 7 U 2 V j d G l v b j E v T W V 0 Y U R h d G E v Q 2 h h b m d l Z C B U e X B l L n t t b 3 N 0 U m V j Z W 5 0 U X V h c n R l c i w 0 N X 0 m c X V v d D s s J n F 1 b 3 Q 7 U 2 V j d G l v b j E v T W V 0 Y U R h d G E v Q 2 h h b m d l Z C B U e X B l L n t w Z W d S Y X R p b y w 0 N n 0 m c X V v d D s s J n F 1 b 3 Q 7 U 2 V j d G l v b j E v T W V 0 Y U R h d G E v Q 2 h h b m d l Z C B U e X B l L n t U a W N r Z X I s N D d 9 J n F 1 b 3 Q 7 X S w m c X V v d D t S Z W x h d G l v b n N o a X B J b m Z v J n F 1 b 3 Q 7 O l t d f S I g L z 4 8 L 1 N 0 Y W J s Z U V u d H J p Z X M + P C 9 J d G V t P j x J d G V t P j x J d G V t T G 9 j Y X R p b 2 4 + P E l 0 Z W 1 U e X B l P k Z v c m 1 1 b G E 8 L 0 l 0 Z W 1 U e X B l P j x J d G V t U G F 0 a D 5 T Z W N 0 a W 9 u M S 9 N Z X R h R G F 0 Y S 9 T b 3 V y Y 2 U 8 L 0 l 0 Z W 1 Q Y X R o P j w v S X R l b U x v Y 2 F 0 a W 9 u P j x T d G F i b G V F b n R y a W V z I C 8 + P C 9 J d G V t P j x J d G V t P j x J d G V t T G 9 j Y X R p b 2 4 + P E l 0 Z W 1 U e X B l P k Z v c m 1 1 b G E 8 L 0 l 0 Z W 1 U e X B l P j x J d G V t U G F 0 a D 5 T Z W N 0 a W 9 u M S 9 N Z X R h R G F 0 Y S 9 N Z X R h R G F 0 Y V 9 T a G V l d D w v S X R l b V B h d G g + P C 9 J d G V t T G 9 j Y X R p b 2 4 + P F N 0 Y W J s Z U V u d H J p Z X M g L z 4 8 L 0 l 0 Z W 0 + P E l 0 Z W 0 + P E l 0 Z W 1 M b 2 N h d G l v b j 4 8 S X R l b V R 5 c G U + R m 9 y b X V s Y T w v S X R l b V R 5 c G U + P E l 0 Z W 1 Q Y X R o P l N l Y 3 R p b 2 4 x L 0 1 l d G F E Y X R h L 1 B y b 2 1 v d G V k J T I w S G V h Z G V y c z w v S X R l b V B h d G g + P C 9 J d G V t T G 9 j Y X R p b 2 4 + P F N 0 Y W J s Z U V u d H J p Z X M g L z 4 8 L 0 l 0 Z W 0 + P E l 0 Z W 0 + P E l 0 Z W 1 M b 2 N h d G l v b j 4 8 S X R l b V R 5 c G U + R m 9 y b X V s Y T w v S X R l b V R 5 c G U + P E l 0 Z W 1 Q Y X R o P l N l Y 3 R p b 2 4 x L 0 1 l d G F E Y X R h L 0 N o Y W 5 n Z W Q l M j B U e X B l P C 9 J d G V t U G F 0 a D 4 8 L 0 l 0 Z W 1 M b 2 N h d G l v b j 4 8 U 3 R h Y m x l R W 5 0 c m l l c y A v P j w v S X R l b T 4 8 S X R l b T 4 8 S X R l b U x v Y 2 F 0 a W 9 u P j x J d G V t V H l w Z T 5 G b 3 J t d W x h P C 9 J d G V t V H l w Z T 4 8 S X R l b V B h d G g + U 2 V j d G l v b j E v V G l j a 2 V y W W V h c n M 8 L 0 l 0 Z W 1 Q Y X R o P j w v S X R l b U x v Y 2 F 0 a W 9 u P j x T d G F i b G V F b n R y a W V z P j x F b n R y e S B U e X B l P S J R d W V y e U l E I i B W Y W x 1 Z T 0 i c z A w N T V j Y T Y w L W E 5 O G Q t N D Q 0 M y 0 4 Z j Q w L T Y x Z D F h Y T R l Z D A w N i 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p Y 2 t l c l l l Y X J z I i A v P j x F b n R y e S B U e X B l P S J G a W x s Z W R D b 2 1 w b G V 0 Z V J l c 3 V s d F R v V 2 9 y a 3 N o Z W V 0 I i B W Y W x 1 Z T 0 i b D E i I C 8 + P E V u d H J 5 I F R 5 c G U 9 I k Z p b G x F c n J v c k N v Z G U i I F Z h b H V l P S J z V W 5 r b m 9 3 b i I g L z 4 8 R W 5 0 c n k g V H l w Z T 0 i R m l s b E V y c m 9 y Q 2 9 1 b n Q i I F Z h b H V l P S J s M C I g L z 4 8 R W 5 0 c n k g V H l w Z T 0 i R m l s b E N v d W 5 0 I i B W Y W x 1 Z T 0 i b D Q w I i A v P j x F b n R y e S B U e X B l P S J B Z G R l Z F R v R G F 0 Y U 1 v Z G V s I i B W Y W x 1 Z T 0 i b D A i I C 8 + P E V u d H J 5 I F R 5 c G U 9 I k Z p b G x M Y X N 0 V X B k Y X R l Z C I g V m F s d W U 9 I m Q y M D I 0 L T A 5 L T A 5 V D I z O j U 5 O j E x L j E 3 N j g w O D h a I i A v P j x F b n R y e S B U e X B l P S J G a W x s Q 2 9 s d W 1 u V H l w Z X M i I F Z h b H V l P S J z Q m d r S k N R T T 0 i I C 8 + P E V u d H J 5 I F R 5 c G U 9 I k Z p b G x D b 2 x 1 b W 5 O Y W 1 l c y I g V m F s d W U 9 I n N b J n F 1 b 3 Q 7 V G l j a 2 V y J n F 1 b 3 Q 7 L C Z x d W 9 0 O 2 F z T 2 Z E Y X R l J n F 1 b 3 Q 7 L C Z x d W 9 0 O 2 F z T 2 Z E Y X R l X 0 1 p b i Z x d W 9 0 O y w m c X V v d D t h c 0 9 m R G F 0 Z V 9 N Y X g m c X V v d D s s J n F 1 b 3 Q 7 W W V h c i Z x d W 9 0 O 1 0 i I C 8 + P E V u d H J 5 I F R 5 c G U 9 I k Z p b G x T d G F 0 d X M i I F Z h b H V l P S J z Q 2 9 t c G x l d G U i I C 8 + P E V u d H J 5 I F R 5 c G U 9 I l J l b G F 0 a W 9 u c 2 h p c E l u Z m 9 D b 2 5 0 Y W l u Z X I i I F Z h b H V l P S J z e y Z x d W 9 0 O 2 N v b H V t b k N v d W 5 0 J n F 1 b 3 Q 7 O j U s J n F 1 b 3 Q 7 a 2 V 5 Q 2 9 s d W 1 u T m F t Z X M m c X V v d D s 6 W y Z x d W 9 0 O 1 R p Y 2 t l c i Z x d W 9 0 O y w m c X V v d D t h c 0 9 m R G F 0 Z S Z x d W 9 0 O 1 0 s J n F 1 b 3 Q 7 c X V l c n l S Z W x h d G l v b n N o a X B z J n F 1 b 3 Q 7 O l t d L C Z x d W 9 0 O 2 N v b H V t b k l k Z W 5 0 a X R p Z X M m c X V v d D s 6 W y Z x d W 9 0 O 1 N l Y 3 R p b 2 4 x L 1 R p Y 2 t l c l l l Y X J z L 0 d y b 3 V w Z W Q g U m 9 3 c y 5 7 V G l j a 2 V y L D B 9 J n F 1 b 3 Q 7 L C Z x d W 9 0 O 1 N l Y 3 R p b 2 4 x L 1 R p Y 2 t l c l l l Y X J z L 0 d y b 3 V w Z W Q g U m 9 3 c y 5 7 Y X N P Z k R h d G U s M X 0 m c X V v d D s s J n F 1 b 3 Q 7 U 2 V j d G l v b j E v V G l j a 2 V y W W V h c n M v R 3 J v d X B l Z C B S b 3 d z L n t h c 0 9 m R G F 0 Z V 9 N a W 4 s M n 0 m c X V v d D s s J n F 1 b 3 Q 7 U 2 V j d G l v b j E v V G l j a 2 V y W W V h c n M v R 3 J v d X B l Z C B S b 3 d z L n t h c 0 9 m R G F 0 Z V 9 N Y X g s M 3 0 m c X V v d D s s J n F 1 b 3 Q 7 U 2 V j d G l v b j E v V G l j a 2 V y W W V h c n M v S W 5 z Z X J 0 Z W Q g W W V h c i 5 7 W W V h c i w 0 f S Z x d W 9 0 O 1 0 s J n F 1 b 3 Q 7 Q 2 9 s d W 1 u Q 2 9 1 b n Q m c X V v d D s 6 N S w m c X V v d D t L Z X l D b 2 x 1 b W 5 O Y W 1 l c y Z x d W 9 0 O z p b J n F 1 b 3 Q 7 V G l j a 2 V y J n F 1 b 3 Q 7 L C Z x d W 9 0 O 2 F z T 2 Z E Y X R l J n F 1 b 3 Q 7 X S w m c X V v d D t D b 2 x 1 b W 5 J Z G V u d G l 0 a W V z J n F 1 b 3 Q 7 O l s m c X V v d D t T Z W N 0 a W 9 u M S 9 U a W N r Z X J Z Z W F y c y 9 H c m 9 1 c G V k I F J v d 3 M u e 1 R p Y 2 t l c i w w f S Z x d W 9 0 O y w m c X V v d D t T Z W N 0 a W 9 u M S 9 U a W N r Z X J Z Z W F y c y 9 H c m 9 1 c G V k I F J v d 3 M u e 2 F z T 2 Z E Y X R l L D F 9 J n F 1 b 3 Q 7 L C Z x d W 9 0 O 1 N l Y 3 R p b 2 4 x L 1 R p Y 2 t l c l l l Y X J z L 0 d y b 3 V w Z W Q g U m 9 3 c y 5 7 Y X N P Z k R h d G V f T W l u L D J 9 J n F 1 b 3 Q 7 L C Z x d W 9 0 O 1 N l Y 3 R p b 2 4 x L 1 R p Y 2 t l c l l l Y X J z L 0 d y b 3 V w Z W Q g U m 9 3 c y 5 7 Y X N P Z k R h d G V f T W F 4 L D N 9 J n F 1 b 3 Q 7 L C Z x d W 9 0 O 1 N l Y 3 R p b 2 4 x L 1 R p Y 2 t l c l l l Y X J z L 0 l u c 2 V y d G V k I F l l Y X I u e 1 l l Y X I s N H 0 m c X V v d D t d L C Z x d W 9 0 O 1 J l b G F 0 a W 9 u c 2 h p c E l u Z m 8 m c X V v d D s 6 W 1 1 9 I i A v P j w v U 3 R h Y m x l R W 5 0 c m l l c z 4 8 L 0 l 0 Z W 0 + P E l 0 Z W 0 + P E l 0 Z W 1 M b 2 N h d G l v b j 4 8 S X R l b V R 5 c G U + R m 9 y b X V s Y T w v S X R l b V R 5 c G U + P E l 0 Z W 1 Q Y X R o P l N l Y 3 R p b 2 4 x L 1 R p Y 2 t l c l l l Y X J z L 1 N v d X J j Z T w v S X R l b V B h d G g + P C 9 J d G V t T G 9 j Y X R p b 2 4 + P F N 0 Y W J s Z U V u d H J p Z X M g L z 4 8 L 0 l 0 Z W 0 + P E l 0 Z W 0 + P E l 0 Z W 1 M b 2 N h d G l v b j 4 8 S X R l b V R 5 c G U + R m 9 y b X V s Y T w v S X R l b V R 5 c G U + P E l 0 Z W 1 Q Y X R o P l N l Y 3 R p b 2 4 x L 1 R p Y 2 t l c l l l Y X J z L 0 Z p b H R l c m V k J T I w U m 9 3 c z w v S X R l b V B h d G g + P C 9 J d G V t T G 9 j Y X R p b 2 4 + P F N 0 Y W J s Z U V u d H J p Z X M g L z 4 8 L 0 l 0 Z W 0 + P E l 0 Z W 0 + P E l 0 Z W 1 M b 2 N h d G l v b j 4 8 S X R l b V R 5 c G U + R m 9 y b X V s Y T w v S X R l b V R 5 c G U + P E l 0 Z W 1 Q Y X R o P l N l Y 3 R p b 2 4 x L 1 R p Y 2 t l c l l l Y X J z L 0 d y b 3 V w Z W Q l M j B S b 3 d z P C 9 J d G V t U G F 0 a D 4 8 L 0 l 0 Z W 1 M b 2 N h d G l v b j 4 8 U 3 R h Y m x l R W 5 0 c m l l c y A v P j w v S X R l b T 4 8 S X R l b T 4 8 S X R l b U x v Y 2 F 0 a W 9 u P j x J d G V t V H l w Z T 5 G b 3 J t d W x h P C 9 J d G V t V H l w Z T 4 8 S X R l b V B h d G g + U 2 V j d G l v b j E v V G l j a 2 V y W W V h c n M v S W 5 z Z X J 0 Z W Q l M j B Z Z W F y P C 9 J d G V t U G F 0 a D 4 8 L 0 l 0 Z W 1 M b 2 N h d G l v b j 4 8 U 3 R h Y m x l R W 5 0 c m l l c y A v P j w v S X R l b T 4 8 S X R l b T 4 8 S X R l b U x v Y 2 F 0 a W 9 u P j x J d G V t V H l w Z T 5 G b 3 J t d W x h P C 9 J d G V t V H l w Z T 4 8 S X R l b V B h d G g + U 2 V j d G l v b j E v V G l j a 2 V y W W V h c n M v U 2 9 y d G V k J T I w U m 9 3 c z w v S X R l b V B h d G g + P C 9 J d G V t T G 9 j Y X R p b 2 4 + P F N 0 Y W J s Z U V u d H J p Z X M g L z 4 8 L 0 l 0 Z W 0 + P E l 0 Z W 0 + P E l 0 Z W 1 M b 2 N h d G l v b j 4 8 S X R l b V R 5 c G U + R m 9 y b X V s Y T w v S X R l b V R 5 c G U + P E l 0 Z W 1 Q Y X R o P l N l Y 3 R p b 2 4 x L 1 R p Y 2 t l c n M 8 L 0 l 0 Z W 1 Q Y X R o P j w v S X R l b U x v Y 2 F 0 a W 9 u P j x T d G F i b G V F b n R y a W V z P j x F b n R y e S B U e X B l P S J R d W V y e U l E I i B W Y W x 1 Z T 0 i c z J h Z j c z Z j N i L T c 4 N m Q t N D V l Z S 1 i Z G I w L W M 3 Z m E 2 O T J m Y T c 0 Y i 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p Y 2 t l c n M i I C 8 + P E V u d H J 5 I F R 5 c G U 9 I k Z p b G x l Z E N v b X B s Z X R l U m V z d W x 0 V G 9 X b 3 J r c 2 h l Z X Q i I F Z h b H V l P S J s M S I g L z 4 8 R W 5 0 c n k g V H l w Z T 0 i R m l s b E V y c m 9 y Q 2 9 1 b n Q i I F Z h b H V l P S J s M C I g L z 4 8 R W 5 0 c n k g V H l w Z T 0 i R m l s b E V y c m 9 y Q 2 9 k Z S I g V m F s d W U 9 I n N V b m t u b 3 d u I i A v P j x F b n R y e S B U e X B l P S J G a W x s Q 2 9 1 b n Q i I F Z h b H V l P S J s M T A i I C 8 + P E V u d H J 5 I F R 5 c G U 9 I k F k Z G V k V G 9 E Y X R h T W 9 k Z W w i I F Z h b H V l P S J s M C I g L z 4 8 R W 5 0 c n k g V H l w Z T 0 i R m l s b E x h c 3 R V c G R h d G V k I i B W Y W x 1 Z T 0 i Z D I w M j Q t M D k t M D l U M j M 6 N T k 6 M T E u M T M 4 O D g y M F o i I C 8 + P E V u d H J 5 I F R 5 c G U 9 I k Z p b G x D b 2 x 1 b W 5 U e X B l c y I g V m F s d W U 9 I n N C Z z 0 9 I i A v P j x F b n R y e S B U e X B l P S J G a W x s Q 2 9 s d W 1 u T m F t Z X M i I F Z h b H V l P S J z W y Z x d W 9 0 O 1 R p Y 2 t l c i Z x d W 9 0 O 1 0 i I C 8 + P E V u d H J 5 I F R 5 c G U 9 I k Z p b G x T d G F 0 d X M i I F Z h b H V l P S J z Q 2 9 t c G x l d G U i I C 8 + P E V u d H J 5 I F R 5 c G U 9 I l J l b G F 0 a W 9 u c 2 h p c E l u Z m 9 D b 2 5 0 Y W l u Z X I i I F Z h b H V l P S J z e y Z x d W 9 0 O 2 N v b H V t b k N v d W 5 0 J n F 1 b 3 Q 7 O j E s J n F 1 b 3 Q 7 a 2 V 5 Q 2 9 s d W 1 u T m F t Z X M m c X V v d D s 6 W y Z x d W 9 0 O 1 R p Y 2 t l c i Z x d W 9 0 O 1 0 s J n F 1 b 3 Q 7 c X V l c n l S Z W x h d G l v b n N o a X B z J n F 1 b 3 Q 7 O l t d L C Z x d W 9 0 O 2 N v b H V t b k l k Z W 5 0 a X R p Z X M m c X V v d D s 6 W y Z x d W 9 0 O 1 N l Y 3 R p b 2 4 x L 0 l u Y 2 9 t Z V N 0 Y X R l b W V u d C 9 D a G F u Z 2 V k I F R 5 c G U u e 1 R p Y 2 t l c i w 2 N n 0 m c X V v d D t d L C Z x d W 9 0 O 0 N v b H V t b k N v d W 5 0 J n F 1 b 3 Q 7 O j E s J n F 1 b 3 Q 7 S 2 V 5 Q 2 9 s d W 1 u T m F t Z X M m c X V v d D s 6 W y Z x d W 9 0 O 1 R p Y 2 t l c i Z x d W 9 0 O 1 0 s J n F 1 b 3 Q 7 Q 2 9 s d W 1 u S W R l b n R p d G l l c y Z x d W 9 0 O z p b J n F 1 b 3 Q 7 U 2 V j d G l v b j E v S W 5 j b 2 1 l U 3 R h d G V t Z W 5 0 L 0 N o Y W 5 n Z W Q g V H l w Z S 5 7 V G l j a 2 V y L D Y 2 f S Z x d W 9 0 O 1 0 s J n F 1 b 3 Q 7 U m V s Y X R p b 2 5 z a G l w S W 5 m b y Z x d W 9 0 O z p b X X 0 i I C 8 + P C 9 T d G F i b G V F b n R y a W V z P j w v S X R l b T 4 8 S X R l b T 4 8 S X R l b U x v Y 2 F 0 a W 9 u P j x J d G V t V H l w Z T 5 G b 3 J t d W x h P C 9 J d G V t V H l w Z T 4 8 S X R l b V B h d G g + U 2 V j d G l v b j E v V G l j a 2 V y c y 9 T b 3 V y Y 2 U 8 L 0 l 0 Z W 1 Q Y X R o P j w v S X R l b U x v Y 2 F 0 a W 9 u P j x T d G F i b G V F b n R y a W V z I C 8 + P C 9 J d G V t P j x J d G V t P j x J d G V t T G 9 j Y X R p b 2 4 + P E l 0 Z W 1 U e X B l P k Z v c m 1 1 b G E 8 L 0 l 0 Z W 1 U e X B l P j x J d G V t U G F 0 a D 5 T Z W N 0 a W 9 u M S 9 U a W N r Z X J z L 1 J l b W 9 2 Z W Q l M j B P d G h l c i U y M E N v b H V t b n M 8 L 0 l 0 Z W 1 Q Y X R o P j w v S X R l b U x v Y 2 F 0 a W 9 u P j x T d G F i b G V F b n R y a W V z I C 8 + P C 9 J d G V t P j x J d G V t P j x J d G V t T G 9 j Y X R p b 2 4 + P E l 0 Z W 1 U e X B l P k Z v c m 1 1 b G E 8 L 0 l 0 Z W 1 U e X B l P j x J d G V t U G F 0 a D 5 T Z W N 0 a W 9 u M S 9 U a W N r Z X J z L 1 J l b W 9 2 Z W Q l M j B E d X B s a W N h d G V z P C 9 J d G V t U G F 0 a D 4 8 L 0 l 0 Z W 1 M b 2 N h d G l v b j 4 8 U 3 R h Y m x l R W 5 0 c m l l c y A v P j w v S X R l b T 4 8 S X R l b T 4 8 S X R l b U x v Y 2 F 0 a W 9 u P j x J d G V t V H l w Z T 5 G b 3 J t d W x h P C 9 J d G V t V H l w Z T 4 8 S X R l b V B h d G g + U 2 V j d G l v b j E v V G l j a 2 V y c y 9 T b 3 J 0 Z W Q l M j B S b 3 d z P C 9 J d G V t U G F 0 a D 4 8 L 0 l 0 Z W 1 M b 2 N h d G l v b j 4 8 U 3 R h Y m x l R W 5 0 c m l l c y A v P j w v S X R l b T 4 8 S X R l b T 4 8 S X R l b U x v Y 2 F 0 a W 9 u P j x J d G V t V H l w Z T 5 G b 3 J t d W x h P C 9 J d G V t V H l w Z T 4 8 S X R l b V B h d G g + U 2 V j d G l v b j E v S W 5 j b 2 1 l U 3 R h d G V t Z W 5 0 L 0 l u c 2 V y d G V k J T I w W W V h c j w v S X R l b V B h d G g + P C 9 J d G V t T G 9 j Y X R p b 2 4 + P F N 0 Y W J s Z U V u d H J p Z X M g L z 4 8 L 0 l 0 Z W 0 + P E l 0 Z W 0 + P E l 0 Z W 1 M b 2 N h d G l v b j 4 8 S X R l b V R 5 c G U + R m 9 y b X V s Y T w v S X R l b V R 5 c G U + P E l 0 Z W 1 Q Y X R o P l N l Y 3 R p b 2 4 x L 0 l u Y 2 9 t Z V N 0 Y X R l b W V u d C 9 S Z W 9 y Z G V y Z W Q l M j B D b 2 x 1 b W 5 z P C 9 J d G V t U G F 0 a D 4 8 L 0 l 0 Z W 1 M b 2 N h d G l v b j 4 8 U 3 R h Y m x l R W 5 0 c m l l c y A v P j w v S X R l b T 4 8 S X R l b T 4 8 S X R l b U x v Y 2 F 0 a W 9 u P j x J d G V t V H l w Z T 5 G b 3 J t d W x h P C 9 J d G V t V H l w Z T 4 8 S X R l b V B h d G g + U 2 V j d G l v b j E v Q m F s Y W 5 j Z V N o Z W V 0 L 0 l u c 2 V y d G V k J T I w W W V h c j w v S X R l b V B h d G g + P C 9 J d G V t T G 9 j Y X R p b 2 4 + P F N 0 Y W J s Z U V u d H J p Z X M g L z 4 8 L 0 l 0 Z W 0 + P E l 0 Z W 0 + P E l 0 Z W 1 M b 2 N h d G l v b j 4 8 S X R l b V R 5 c G U + R m 9 y b X V s Y T w v S X R l b V R 5 c G U + P E l 0 Z W 1 Q Y X R o P l N l Y 3 R p b 2 4 x L 0 J h b G F u Y 2 V T a G V l d C 9 S Z W 9 y Z G V y Z W Q l M j B D b 2 x 1 b W 5 z P C 9 J d G V t U G F 0 a D 4 8 L 0 l 0 Z W 1 M b 2 N h d G l v b j 4 8 U 3 R h Y m x l R W 5 0 c m l l c y A v P j w v S X R l b T 4 8 S X R l b T 4 8 S X R l b U x v Y 2 F 0 a W 9 u P j x J d G V t V H l w Z T 5 G b 3 J t d W x h P C 9 J d G V t V H l w Z T 4 8 S X R l b V B h d G g + U 2 V j d G l v b j E v Q 2 F z a E Z s b 3 c v S W 5 z Z X J 0 Z W Q l M j B Z Z W F y P C 9 J d G V t U G F 0 a D 4 8 L 0 l 0 Z W 1 M b 2 N h d G l v b j 4 8 U 3 R h Y m x l R W 5 0 c m l l c y A v P j w v S X R l b T 4 8 S X R l b T 4 8 S X R l b U x v Y 2 F 0 a W 9 u P j x J d G V t V H l w Z T 5 G b 3 J t d W x h P C 9 J d G V t V H l w Z T 4 8 S X R l b V B h d G g + U 2 V j d G l v b j E v Q 2 F z a E Z s b 3 c v U m V v c m R l c m V k J T I w Q 2 9 s d W 1 u c z w v S X R l b V B h d G g + P C 9 J d G V t T G 9 j Y X R p b 2 4 + P F N 0 Y W J s Z U V u d H J p Z X M g L z 4 8 L 0 l 0 Z W 0 + P E l 0 Z W 0 + P E l 0 Z W 1 M b 2 N h d G l v b j 4 8 S X R l b V R 5 c G U + R m 9 y b X V s Y T w v S X R l b V R 5 c G U + P E l 0 Z W 1 Q Y X R o P l N l Y 3 R p b 2 4 x L 1 B y a W N l R G F 0 Y V 9 H U 1 B D P C 9 J d G V t U G F 0 a D 4 8 L 0 l 0 Z W 1 M b 2 N h d G l v b j 4 8 U 3 R h Y m x l R W 5 0 c m l l c z 4 8 R W 5 0 c n k g V H l w Z T 0 i S X N Q c m l 2 Y X R l I i B W Y W x 1 Z T 0 i b D A i I C 8 + P E V u d H J 5 I F R 5 c G U 9 I l F 1 Z X J 5 S U Q i I F Z h b H V l P S J z M j N i N z E z N D c t Y W Q 4 Y S 0 0 M T E x L W I 4 Y m E t Y j Q 4 N z l k Z D I z M j F 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U R h d G F f R 1 N Q Q y I g L z 4 8 R W 5 0 c n k g V H l w Z T 0 i R m l s b G V k Q 2 9 t c G x l d G V S Z X N 1 b H R U b 1 d v c m t z a G V l d C I g V m F s d W U 9 I m w x I i A v P j x F b n R y e S B U e X B l P S J G a W x s R X J y b 3 J D b 3 V u d C I g V m F s d W U 9 I m w w I i A v P j x F b n R y e S B U e X B l P S J G a W x s R X J y b 3 J D b 2 R l I i B W Y W x 1 Z T 0 i c 1 V u a 2 5 v d 2 4 i I C 8 + P E V u d H J 5 I F R 5 c G U 9 I k Z p b G x D b 3 V u d C I g V m F s d W U 9 I m w 0 O C I g L z 4 8 R W 5 0 c n k g V H l w Z T 0 i Q W R k Z W R U b 0 R h d G F N b 2 R l b C I g V m F s d W U 9 I m w w I i A v P j x F b n R y e S B U e X B l P S J G a W x s T G F z d F V w Z G F 0 Z W Q i I F Z h b H V l P S J k M j A y N C 0 w O S 0 w O V Q y M z o 1 O T o x M y 4 3 O T Q x M z A w W i I g L z 4 8 R W 5 0 c n k g V H l w Z T 0 i R m l s b E N v b H V t b l R 5 c G V z I i B W Y W x 1 Z T 0 i c 0 J n a 0 Z C U V V G Q X d V R 0 N R V U Z C U V l E I i A v P j x F b n R y e S B U e X B l P S J G a W x s Q 2 9 s d W 1 u T m F t Z X M i I F Z h b H V l P S J z W y Z x d W 9 0 O 1 R p Y 2 t l c i Z x d W 9 0 O y w m c X V v d D t w c m l j Z V 9 k Y X R l J n F 1 b 3 Q 7 L C Z x d W 9 0 O 2 9 w Z W 4 m c X V v d D s s J n F 1 b 3 Q 7 a G l n a C Z x d W 9 0 O y w m c X V v d D t s b 3 c m c X V v d D s s J n F 1 b 3 Q 7 Y 2 x v c 2 U m c X V v d D s s J n F 1 b 3 Q 7 d m 9 s d W 1 l J n F 1 b 3 Q 7 L C Z x d W 9 0 O 2 F k a m N s b 3 N l J n F 1 b 3 Q 7 L C Z x d W 9 0 O 2 l k J n F 1 b 3 Q 7 L C Z x d W 9 0 O 1 B 1 b G x f R G F 0 Z S Z x d W 9 0 O y w m c X V v d D t w Z X J j Z W 5 0 X 3 J l d H V y b i Z x d W 9 0 O y w m c X V v d D t v c G V u X 2 N s b 3 N l X 2 R p Z m Y m c X V v d D s s J n F 1 b 3 Q 7 b 3 B l b l 9 o a W d o X 2 R p Z m Y m c X V v d D s s J n F 1 b 3 Q 7 Z G F 5 X 2 9 m X 3 d l Z W s m c X V v d D s s J n F 1 b 3 Q 7 c H J p Y 2 V f Z G F 0 Z V 9 5 Z W F y 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B y a W N l R G F 0 Y V 9 H U 1 B D L 0 N o Y W 5 n Z W Q g V H l w Z S 5 7 V G l j a 2 V y L D B 9 J n F 1 b 3 Q 7 L C Z x d W 9 0 O 1 N l Y 3 R p b 2 4 x L 1 B y a W N l R G F 0 Y V 9 H U 1 B D L 0 N o Y W 5 n Z W Q g V H l w Z S 5 7 c H J p Y 2 V f Z G F 0 Z S w x f S Z x d W 9 0 O y w m c X V v d D t T Z W N 0 a W 9 u M S 9 Q c m l j Z U R h d G F f R 1 N Q Q y 9 D a G F u Z 2 V k I F R 5 c G U u e 2 9 w Z W 4 s M n 0 m c X V v d D s s J n F 1 b 3 Q 7 U 2 V j d G l v b j E v U H J p Y 2 V E Y X R h X 0 d T U E M v Q 2 h h b m d l Z C B U e X B l L n t o a W d o L D N 9 J n F 1 b 3 Q 7 L C Z x d W 9 0 O 1 N l Y 3 R p b 2 4 x L 1 B y a W N l R G F 0 Y V 9 H U 1 B D L 0 N o Y W 5 n Z W Q g V H l w Z S 5 7 b G 9 3 L D R 9 J n F 1 b 3 Q 7 L C Z x d W 9 0 O 1 N l Y 3 R p b 2 4 x L 1 B y a W N l R G F 0 Y V 9 H U 1 B D L 0 N o Y W 5 n Z W Q g V H l w Z S 5 7 Y 2 x v c 2 U s N X 0 m c X V v d D s s J n F 1 b 3 Q 7 U 2 V j d G l v b j E v U H J p Y 2 V E Y X R h X 0 d T U E M v Q 2 h h b m d l Z C B U e X B l L n t 2 b 2 x 1 b W U s N n 0 m c X V v d D s s J n F 1 b 3 Q 7 U 2 V j d G l v b j E v U H J p Y 2 V E Y X R h X 0 d T U E M v Q 2 h h b m d l Z C B U e X B l L n t h Z G p j b G 9 z Z S w 3 f S Z x d W 9 0 O y w m c X V v d D t T Z W N 0 a W 9 u M S 9 Q c m l j Z U R h d G F f R 1 N Q Q y 9 D a G F u Z 2 V k I F R 5 c G U u e 2 l k L D h 9 J n F 1 b 3 Q 7 L C Z x d W 9 0 O 1 N l Y 3 R p b 2 4 x L 1 B y a W N l R G F 0 Y V 9 H U 1 B D L 0 N o Y W 5 n Z W Q g V H l w Z S 5 7 U H V s b F 9 E Y X R l L D l 9 J n F 1 b 3 Q 7 L C Z x d W 9 0 O 1 N l Y 3 R p b 2 4 x L 1 B y a W N l R G F 0 Y V 9 H U 1 B D L 0 N o Y W 5 n Z W Q g V H l w Z S 5 7 c G V y Y 2 V u d F 9 y Z X R 1 c m 4 s M T B 9 J n F 1 b 3 Q 7 L C Z x d W 9 0 O 1 N l Y 3 R p b 2 4 x L 1 B y a W N l R G F 0 Y V 9 H U 1 B D L 0 N o Y W 5 n Z W Q g V H l w Z S 5 7 b 3 B l b l 9 j b G 9 z Z V 9 k a W Z m L D E x f S Z x d W 9 0 O y w m c X V v d D t T Z W N 0 a W 9 u M S 9 Q c m l j Z U R h d G F f R 1 N Q Q y 9 D a G F u Z 2 V k I F R 5 c G U u e 2 9 w Z W 5 f a G l n a F 9 k a W Z m L D E y f S Z x d W 9 0 O y w m c X V v d D t T Z W N 0 a W 9 u M S 9 Q c m l j Z U R h d G F f R 1 N Q Q y 9 D a G F u Z 2 V k I F R 5 c G U u e 2 R h e V 9 v Z l 9 3 Z W V r L D E z f S Z x d W 9 0 O y w m c X V v d D t T Z W N 0 a W 9 u M S 9 Q c m l j Z U R h d G F f R 1 N Q Q y 9 D a G F u Z 2 V k I F R 5 c G U u e 3 B y a W N l X 2 R h d G V f e W V h c i w x N H 0 m c X V v d D t d L C Z x d W 9 0 O 0 N v b H V t b k N v d W 5 0 J n F 1 b 3 Q 7 O j E 1 L C Z x d W 9 0 O 0 t l e U N v b H V t b k 5 h b W V z J n F 1 b 3 Q 7 O l t d L C Z x d W 9 0 O 0 N v b H V t b k l k Z W 5 0 a X R p Z X M m c X V v d D s 6 W y Z x d W 9 0 O 1 N l Y 3 R p b 2 4 x L 1 B y a W N l R G F 0 Y V 9 H U 1 B D L 0 N o Y W 5 n Z W Q g V H l w Z S 5 7 V G l j a 2 V y L D B 9 J n F 1 b 3 Q 7 L C Z x d W 9 0 O 1 N l Y 3 R p b 2 4 x L 1 B y a W N l R G F 0 Y V 9 H U 1 B D L 0 N o Y W 5 n Z W Q g V H l w Z S 5 7 c H J p Y 2 V f Z G F 0 Z S w x f S Z x d W 9 0 O y w m c X V v d D t T Z W N 0 a W 9 u M S 9 Q c m l j Z U R h d G F f R 1 N Q Q y 9 D a G F u Z 2 V k I F R 5 c G U u e 2 9 w Z W 4 s M n 0 m c X V v d D s s J n F 1 b 3 Q 7 U 2 V j d G l v b j E v U H J p Y 2 V E Y X R h X 0 d T U E M v Q 2 h h b m d l Z C B U e X B l L n t o a W d o L D N 9 J n F 1 b 3 Q 7 L C Z x d W 9 0 O 1 N l Y 3 R p b 2 4 x L 1 B y a W N l R G F 0 Y V 9 H U 1 B D L 0 N o Y W 5 n Z W Q g V H l w Z S 5 7 b G 9 3 L D R 9 J n F 1 b 3 Q 7 L C Z x d W 9 0 O 1 N l Y 3 R p b 2 4 x L 1 B y a W N l R G F 0 Y V 9 H U 1 B D L 0 N o Y W 5 n Z W Q g V H l w Z S 5 7 Y 2 x v c 2 U s N X 0 m c X V v d D s s J n F 1 b 3 Q 7 U 2 V j d G l v b j E v U H J p Y 2 V E Y X R h X 0 d T U E M v Q 2 h h b m d l Z C B U e X B l L n t 2 b 2 x 1 b W U s N n 0 m c X V v d D s s J n F 1 b 3 Q 7 U 2 V j d G l v b j E v U H J p Y 2 V E Y X R h X 0 d T U E M v Q 2 h h b m d l Z C B U e X B l L n t h Z G p j b G 9 z Z S w 3 f S Z x d W 9 0 O y w m c X V v d D t T Z W N 0 a W 9 u M S 9 Q c m l j Z U R h d G F f R 1 N Q Q y 9 D a G F u Z 2 V k I F R 5 c G U u e 2 l k L D h 9 J n F 1 b 3 Q 7 L C Z x d W 9 0 O 1 N l Y 3 R p b 2 4 x L 1 B y a W N l R G F 0 Y V 9 H U 1 B D L 0 N o Y W 5 n Z W Q g V H l w Z S 5 7 U H V s b F 9 E Y X R l L D l 9 J n F 1 b 3 Q 7 L C Z x d W 9 0 O 1 N l Y 3 R p b 2 4 x L 1 B y a W N l R G F 0 Y V 9 H U 1 B D L 0 N o Y W 5 n Z W Q g V H l w Z S 5 7 c G V y Y 2 V u d F 9 y Z X R 1 c m 4 s M T B 9 J n F 1 b 3 Q 7 L C Z x d W 9 0 O 1 N l Y 3 R p b 2 4 x L 1 B y a W N l R G F 0 Y V 9 H U 1 B D L 0 N o Y W 5 n Z W Q g V H l w Z S 5 7 b 3 B l b l 9 j b G 9 z Z V 9 k a W Z m L D E x f S Z x d W 9 0 O y w m c X V v d D t T Z W N 0 a W 9 u M S 9 Q c m l j Z U R h d G F f R 1 N Q Q y 9 D a G F u Z 2 V k I F R 5 c G U u e 2 9 w Z W 5 f a G l n a F 9 k a W Z m L D E y f S Z x d W 9 0 O y w m c X V v d D t T Z W N 0 a W 9 u M S 9 Q c m l j Z U R h d G F f R 1 N Q Q y 9 D a G F u Z 2 V k I F R 5 c G U u e 2 R h e V 9 v Z l 9 3 Z W V r L D E z f S Z x d W 9 0 O y w m c X V v d D t T Z W N 0 a W 9 u M S 9 Q c m l j Z U R h d G F f R 1 N Q Q y 9 D a G F u Z 2 V k I F R 5 c G U u e 3 B y a W N l X 2 R h d G V f e W V h c i w x N H 0 m c X V v d D t d L C Z x d W 9 0 O 1 J l b G F 0 a W 9 u c 2 h p c E l u Z m 8 m c X V v d D s 6 W 1 1 9 I i A v P j w v U 3 R h Y m x l R W 5 0 c m l l c z 4 8 L 0 l 0 Z W 0 + P E l 0 Z W 0 + P E l 0 Z W 1 M b 2 N h d G l v b j 4 8 S X R l b V R 5 c G U + R m 9 y b X V s Y T w v S X R l b V R 5 c G U + P E l 0 Z W 1 Q Y X R o P l N l Y 3 R p b 2 4 x L 1 B y a W N l R G F 0 Y V 9 H U 1 B D L 1 N v d X J j Z T w v S X R l b V B h d G g + P C 9 J d G V t T G 9 j Y X R p b 2 4 + P F N 0 Y W J s Z U V u d H J p Z X M g L z 4 8 L 0 l 0 Z W 0 + P E l 0 Z W 0 + P E l 0 Z W 1 M b 2 N h d G l v b j 4 8 S X R l b V R 5 c G U + R m 9 y b X V s Y T w v S X R l b V R 5 c G U + P E l 0 Z W 1 Q Y X R o P l N l Y 3 R p b 2 4 x L 1 B y a W N l R G F 0 Y V 9 H U 1 B D L 1 N o Z W V 0 M V 9 T a G V l d D w v S X R l b V B h d G g + P C 9 J d G V t T G 9 j Y X R p b 2 4 + P F N 0 Y W J s Z U V u d H J p Z X M g L z 4 8 L 0 l 0 Z W 0 + P E l 0 Z W 0 + P E l 0 Z W 1 M b 2 N h d G l v b j 4 8 S X R l b V R 5 c G U + R m 9 y b X V s Y T w v S X R l b V R 5 c G U + P E l 0 Z W 1 Q Y X R o P l N l Y 3 R p b 2 4 x L 1 B y a W N l R G F 0 Y V 9 H U 1 B D L 1 B y b 2 1 v d G V k J T I w S G V h Z G V y c z w v S X R l b V B h d G g + P C 9 J d G V t T G 9 j Y X R p b 2 4 + P F N 0 Y W J s Z U V u d H J p Z X M g L z 4 8 L 0 l 0 Z W 0 + P E l 0 Z W 0 + P E l 0 Z W 1 M b 2 N h d G l v b j 4 8 S X R l b V R 5 c G U + R m 9 y b X V s Y T w v S X R l b V R 5 c G U + P E l 0 Z W 1 Q Y X R o P l N l Y 3 R p b 2 4 x L 1 B y a W N l R G F 0 Y V 9 H U 1 B D L 0 N o Y W 5 n Z W Q l M j B U e X B l P C 9 J d G V t U G F 0 a D 4 8 L 0 l 0 Z W 1 M b 2 N h d G l v b j 4 8 U 3 R h Y m x l R W 5 0 c m l l c y A v P j w v S X R l b T 4 8 S X R l b T 4 8 S X R l b U x v Y 2 F 0 a W 9 u P j x J d G V t V H l w Z T 5 G b 3 J t d W x h P C 9 J d G V t V H l w Z T 4 8 S X R l b V B h d G g + U 2 V j d G l v b j E v U H J p Y 2 V E Y X R h X 0 d T U E N f Q X Z n U m F 0 Z T w v S X R l b V B h d G g + P C 9 J d G V t T G 9 j Y X R p b 2 4 + P F N 0 Y W J s Z U V u d H J p Z X M + P E V u d H J 5 I F R 5 c G U 9 I l F 1 Z X J 5 S U Q i I F Z h b H V l P S J z M j A 0 O T B h O W Y t M D Z h Y i 0 0 N 2 N i L T k z N z E t M m J k Z D Z h Y 2 U 4 M D V k 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p Y 2 V E Y X R h X 0 d T U E N f Q X Z n U m F 0 Z S I g L z 4 8 R W 5 0 c n k g V H l w Z T 0 i R m l s b G V k Q 2 9 t c G x l d G V S Z X N 1 b H R U b 1 d v c m t z a G V l d C I g V m F s d W U 9 I m w x I i A v P j x F b n R y e S B U e X B l P S J G a W x s R X J y b 3 J D b 2 R l I i B W Y W x 1 Z T 0 i c 1 V u a 2 5 v d 2 4 i I C 8 + P E V u d H J 5 I F R 5 c G U 9 I k Z p b G x F c n J v c k N v d W 5 0 I i B W Y W x 1 Z T 0 i b D A i I C 8 + P E V u d H J 5 I F R 5 c G U 9 I k Z p b G x D b 3 V u d C I g V m F s d W U 9 I m w x I i A v P j x F b n R y e S B U e X B l P S J B Z G R l Z F R v R G F 0 Y U 1 v Z G V s I i B W Y W x 1 Z T 0 i b D A i I C 8 + P E V u d H J 5 I F R 5 c G U 9 I k Z p b G x M Y X N 0 V X B k Y X R l Z C I g V m F s d W U 9 I m Q y M D I 0 L T A 5 L T A 5 V D I z O j U 5 O j E x L j M x M z Q x M D B a I i A v P j x F b n R y e S B U e X B l P S J G a W x s Q 2 9 s d W 1 u V H l w Z X M i I F Z h b H V l P S J z Q m d V Q S I g L z 4 8 R W 5 0 c n k g V H l w Z T 0 i R m l s b E N v b H V t b k 5 h b W V z I i B W Y W x 1 Z T 0 i c 1 s m c X V v d D t U a W N r Z X I m c X V v d D s s J n F 1 b 3 Q 7 Q X Z n U m V 0 d X J u J n F 1 b 3 Q 7 L C Z x d W 9 0 O 1 l l Y X J s e S B B d m V y Y W d l I F J l d H V y b i Z x d W 9 0 O 1 0 i I C 8 + P E V u d H J 5 I F R 5 c G U 9 I k Z p b G x T d G F 0 d X M i I F Z h b H V l P S J z Q 2 9 t c G x l d G U i I C 8 + P E V u d H J 5 I F R 5 c G U 9 I l J l b G F 0 a W 9 u c 2 h p c E l u Z m 9 D b 2 5 0 Y W l u Z X I i I F Z h b H V l P S J z e y Z x d W 9 0 O 2 N v b H V t b k N v d W 5 0 J n F 1 b 3 Q 7 O j M s J n F 1 b 3 Q 7 a 2 V 5 Q 2 9 s d W 1 u T m F t Z X M m c X V v d D s 6 W y Z x d W 9 0 O 1 R p Y 2 t l c i Z x d W 9 0 O 1 0 s J n F 1 b 3 Q 7 c X V l c n l S Z W x h d G l v b n N o a X B z J n F 1 b 3 Q 7 O l t d L C Z x d W 9 0 O 2 N v b H V t b k l k Z W 5 0 a X R p Z X M m c X V v d D s 6 W y Z x d W 9 0 O 1 N l Y 3 R p b 2 4 x L 1 B y a W N l R G F 0 Y V 9 H U 1 B D X 0 F 2 Z 1 J h d G U v R 3 J v d X B l Z C B S b 3 d z L n t U a W N r Z X I s M H 0 m c X V v d D s s J n F 1 b 3 Q 7 U 2 V j d G l v b j E v U H J p Y 2 V E Y X R h X 0 d T U E N f Q X Z n U m F 0 Z S 9 H c m 9 1 c G V k I F J v d 3 M u e 0 F 2 Z 1 J l d H V y b i w x f S Z x d W 9 0 O y w m c X V v d D t T Z W N 0 a W 9 u M S 9 Q c m l j Z U R h d G F f R 1 N Q Q 1 9 B d m d S Y X R l L 0 F k Z G V k I E N 1 c 3 R v b S 5 7 W W V h c m x 5 I E F 2 Z X J h Z 2 U g U m V 0 d X J u L D J 9 J n F 1 b 3 Q 7 X S w m c X V v d D t D b 2 x 1 b W 5 D b 3 V u d C Z x d W 9 0 O z o z L C Z x d W 9 0 O 0 t l e U N v b H V t b k 5 h b W V z J n F 1 b 3 Q 7 O l s m c X V v d D t U a W N r Z X I m c X V v d D t d L C Z x d W 9 0 O 0 N v b H V t b k l k Z W 5 0 a X R p Z X M m c X V v d D s 6 W y Z x d W 9 0 O 1 N l Y 3 R p b 2 4 x L 1 B y a W N l R G F 0 Y V 9 H U 1 B D X 0 F 2 Z 1 J h d G U v R 3 J v d X B l Z C B S b 3 d z L n t U a W N r Z X I s M H 0 m c X V v d D s s J n F 1 b 3 Q 7 U 2 V j d G l v b j E v U H J p Y 2 V E Y X R h X 0 d T U E N f Q X Z n U m F 0 Z S 9 H c m 9 1 c G V k I F J v d 3 M u e 0 F 2 Z 1 J l d H V y b i w x f S Z x d W 9 0 O y w m c X V v d D t T Z W N 0 a W 9 u M S 9 Q c m l j Z U R h d G F f R 1 N Q Q 1 9 B d m d S Y X R l L 0 F k Z G V k I E N 1 c 3 R v b S 5 7 W W V h c m x 5 I E F 2 Z X J h Z 2 U g U m V 0 d X J u L D J 9 J n F 1 b 3 Q 7 X S w m c X V v d D t S Z W x h d G l v b n N o a X B J b m Z v J n F 1 b 3 Q 7 O l t d f S I g L z 4 8 L 1 N 0 Y W J s Z U V u d H J p Z X M + P C 9 J d G V t P j x J d G V t P j x J d G V t T G 9 j Y X R p b 2 4 + P E l 0 Z W 1 U e X B l P k Z v c m 1 1 b G E 8 L 0 l 0 Z W 1 U e X B l P j x J d G V t U G F 0 a D 5 T Z W N 0 a W 9 u M S 9 Q c m l j Z U R h d G F f R 1 N Q Q 1 9 B d m d S Y X R l L 1 N v d X J j Z T w v S X R l b V B h d G g + P C 9 J d G V t T G 9 j Y X R p b 2 4 + P F N 0 Y W J s Z U V u d H J p Z X M g L z 4 8 L 0 l 0 Z W 0 + P E l 0 Z W 0 + P E l 0 Z W 1 M b 2 N h d G l v b j 4 8 S X R l b V R 5 c G U + R m 9 y b X V s Y T w v S X R l b V R 5 c G U + P E l 0 Z W 1 Q Y X R o P l N l Y 3 R p b 2 4 x L 1 B y a W N l R G F 0 Y V 9 H U 1 B D X 0 F 2 Z 1 J h d G U v R 3 J v d X B l Z C U y M F J v d 3 M 8 L 0 l 0 Z W 1 Q Y X R o P j w v S X R l b U x v Y 2 F 0 a W 9 u P j x T d G F i b G V F b n R y a W V z I C 8 + P C 9 J d G V t P j x J d G V t P j x J d G V t T G 9 j Y X R p b 2 4 + P E l 0 Z W 1 U e X B l P k Z v c m 1 1 b G E 8 L 0 l 0 Z W 1 U e X B l P j x J d G V t U G F 0 a D 5 T Z W N 0 a W 9 u M S 9 Q c m l j Z U R h d G F f R 1 N Q Q 1 9 B d m d S Y X R l L 0 F k Z G V k J T I w Q 3 V z d G 9 t P C 9 J d G V t U G F 0 a D 4 8 L 0 l 0 Z W 1 M b 2 N h d G l v b j 4 8 U 3 R h Y m x l R W 5 0 c m l l c y A v P j w v S X R l b T 4 8 S X R l b T 4 8 S X R l b U x v Y 2 F 0 a W 9 u P j x J d G V t V H l w Z T 5 G b 3 J t d W x h P C 9 J d G V t V H l w Z T 4 8 S X R l b V B h d G g + U 2 V j d G l v b j E v U H J p Y 2 V E Y X R h X 1 R O W D w v S X R l b V B h d G g + P C 9 J d G V t T G 9 j Y X R p b 2 4 + P F N 0 Y W J s Z U V u d H J p Z X M + P E V u d H J 5 I F R 5 c G U 9 I k l z U H J p d m F 0 Z S I g V m F s d W U 9 I m w w I i A v P j x F b n R y e S B U e X B l P S J R d W V y e U l E I i B W Y W x 1 Z T 0 i c 2 I 0 Y j M w M D d l L T M 1 Y z Y t N G Z l N S 1 h O T V j L T Q x N D l h N j h m Y T g 0 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p Y 2 V E Y X R h X 1 R O W C I g L z 4 8 R W 5 0 c n k g V H l w Z T 0 i R m l s b G V k Q 2 9 t c G x l d G V S Z X N 1 b H R U b 1 d v c m t z a G V l d C I g V m F s d W U 9 I m w x I i A v P j x F b n R y e S B U e X B l P S J G a W x s R X J y b 3 J D b 2 R l I i B W Y W x 1 Z T 0 i c 1 V u a 2 5 v d 2 4 i I C 8 + P E V u d H J 5 I F R 5 c G U 9 I k Z p b G x F c n J v c k N v d W 5 0 I i B W Y W x 1 Z T 0 i b D A i I C 8 + P E V u d H J 5 I F R 5 c G U 9 I k Z p b G x D b 3 V u d C I g V m F s d W U 9 I m w 0 O C I g L z 4 8 R W 5 0 c n k g V H l w Z T 0 i Q W R k Z W R U b 0 R h d G F N b 2 R l b C I g V m F s d W U 9 I m w w I i A v P j x F b n R y e S B U e X B l P S J G a W x s T G F z d F V w Z G F 0 Z W Q i I F Z h b H V l P S J k M j A y N C 0 w O S 0 w O V Q y M z o 1 O T o x M y 4 3 M T k z M j I 1 W i I g L z 4 8 R W 5 0 c n k g V H l w Z T 0 i R m l s b E N v b H V t b l R 5 c G V z I i B W Y W x 1 Z T 0 i c 0 J n a 0 Z C U V V G Q X d V R 0 N R V U Z C U V l E I i A v P j x F b n R y e S B U e X B l P S J G a W x s Q 2 9 s d W 1 u T m F t Z X M i I F Z h b H V l P S J z W y Z x d W 9 0 O 1 R p Y 2 t l c i Z x d W 9 0 O y w m c X V v d D t w c m l j Z V 9 k Y X R l J n F 1 b 3 Q 7 L C Z x d W 9 0 O 2 9 w Z W 4 m c X V v d D s s J n F 1 b 3 Q 7 a G l n a C Z x d W 9 0 O y w m c X V v d D t s b 3 c m c X V v d D s s J n F 1 b 3 Q 7 Y 2 x v c 2 U m c X V v d D s s J n F 1 b 3 Q 7 d m 9 s d W 1 l J n F 1 b 3 Q 7 L C Z x d W 9 0 O 2 F k a m N s b 3 N l J n F 1 b 3 Q 7 L C Z x d W 9 0 O 2 l k J n F 1 b 3 Q 7 L C Z x d W 9 0 O 1 B 1 b G x f R G F 0 Z S Z x d W 9 0 O y w m c X V v d D t w Z X J j Z W 5 0 X 3 J l d H V y b i Z x d W 9 0 O y w m c X V v d D t v c G V u X 2 N s b 3 N l X 2 R p Z m Y m c X V v d D s s J n F 1 b 3 Q 7 b 3 B l b l 9 o a W d o X 2 R p Z m Y m c X V v d D s s J n F 1 b 3 Q 7 Z G F 5 X 2 9 m X 3 d l Z W s m c X V v d D s s J n F 1 b 3 Q 7 c H J p Y 2 V f Z G F 0 Z V 9 5 Z W F y 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B y a W N l R G F 0 Y V 9 U T l g v Q 2 h h b m d l Z C B U e X B l L n t U a W N r Z X I s M H 0 m c X V v d D s s J n F 1 b 3 Q 7 U 2 V j d G l v b j E v U H J p Y 2 V E Y X R h X 1 R O W C 9 D a G F u Z 2 V k I F R 5 c G U u e 3 B y a W N l X 2 R h d G U s M X 0 m c X V v d D s s J n F 1 b 3 Q 7 U 2 V j d G l v b j E v U H J p Y 2 V E Y X R h X 1 R O W C 9 D a G F u Z 2 V k I F R 5 c G U u e 2 9 w Z W 4 s M n 0 m c X V v d D s s J n F 1 b 3 Q 7 U 2 V j d G l v b j E v U H J p Y 2 V E Y X R h X 1 R O W C 9 D a G F u Z 2 V k I F R 5 c G U u e 2 h p Z 2 g s M 3 0 m c X V v d D s s J n F 1 b 3 Q 7 U 2 V j d G l v b j E v U H J p Y 2 V E Y X R h X 1 R O W C 9 D a G F u Z 2 V k I F R 5 c G U u e 2 x v d y w 0 f S Z x d W 9 0 O y w m c X V v d D t T Z W N 0 a W 9 u M S 9 Q c m l j Z U R h d G F f V E 5 Y L 0 N o Y W 5 n Z W Q g V H l w Z S 5 7 Y 2 x v c 2 U s N X 0 m c X V v d D s s J n F 1 b 3 Q 7 U 2 V j d G l v b j E v U H J p Y 2 V E Y X R h X 1 R O W C 9 D a G F u Z 2 V k I F R 5 c G U u e 3 Z v b H V t Z S w 2 f S Z x d W 9 0 O y w m c X V v d D t T Z W N 0 a W 9 u M S 9 Q c m l j Z U R h d G F f V E 5 Y L 0 N o Y W 5 n Z W Q g V H l w Z S 5 7 Y W R q Y 2 x v c 2 U s N 3 0 m c X V v d D s s J n F 1 b 3 Q 7 U 2 V j d G l v b j E v U H J p Y 2 V E Y X R h X 1 R O W C 9 D a G F u Z 2 V k I F R 5 c G U u e 2 l k L D h 9 J n F 1 b 3 Q 7 L C Z x d W 9 0 O 1 N l Y 3 R p b 2 4 x L 1 B y a W N l R G F 0 Y V 9 U T l g v Q 2 h h b m d l Z C B U e X B l L n t Q d W x s X 0 R h d G U s O X 0 m c X V v d D s s J n F 1 b 3 Q 7 U 2 V j d G l v b j E v U H J p Y 2 V E Y X R h X 1 R O W C 9 D a G F u Z 2 V k I F R 5 c G U u e 3 B l c m N l b n R f c m V 0 d X J u L D E w f S Z x d W 9 0 O y w m c X V v d D t T Z W N 0 a W 9 u M S 9 Q c m l j Z U R h d G F f V E 5 Y L 0 N o Y W 5 n Z W Q g V H l w Z S 5 7 b 3 B l b l 9 j b G 9 z Z V 9 k a W Z m L D E x f S Z x d W 9 0 O y w m c X V v d D t T Z W N 0 a W 9 u M S 9 Q c m l j Z U R h d G F f V E 5 Y L 0 N o Y W 5 n Z W Q g V H l w Z S 5 7 b 3 B l b l 9 o a W d o X 2 R p Z m Y s M T J 9 J n F 1 b 3 Q 7 L C Z x d W 9 0 O 1 N l Y 3 R p b 2 4 x L 1 B y a W N l R G F 0 Y V 9 U T l g v Q 2 h h b m d l Z C B U e X B l L n t k Y X l f b 2 Z f d 2 V l a y w x M 3 0 m c X V v d D s s J n F 1 b 3 Q 7 U 2 V j d G l v b j E v U H J p Y 2 V E Y X R h X 1 R O W C 9 D a G F u Z 2 V k I F R 5 c G U u e 3 B y a W N l X 2 R h d G V f e W V h c i w x N H 0 m c X V v d D t d L C Z x d W 9 0 O 0 N v b H V t b k N v d W 5 0 J n F 1 b 3 Q 7 O j E 1 L C Z x d W 9 0 O 0 t l e U N v b H V t b k 5 h b W V z J n F 1 b 3 Q 7 O l t d L C Z x d W 9 0 O 0 N v b H V t b k l k Z W 5 0 a X R p Z X M m c X V v d D s 6 W y Z x d W 9 0 O 1 N l Y 3 R p b 2 4 x L 1 B y a W N l R G F 0 Y V 9 U T l g v Q 2 h h b m d l Z C B U e X B l L n t U a W N r Z X I s M H 0 m c X V v d D s s J n F 1 b 3 Q 7 U 2 V j d G l v b j E v U H J p Y 2 V E Y X R h X 1 R O W C 9 D a G F u Z 2 V k I F R 5 c G U u e 3 B y a W N l X 2 R h d G U s M X 0 m c X V v d D s s J n F 1 b 3 Q 7 U 2 V j d G l v b j E v U H J p Y 2 V E Y X R h X 1 R O W C 9 D a G F u Z 2 V k I F R 5 c G U u e 2 9 w Z W 4 s M n 0 m c X V v d D s s J n F 1 b 3 Q 7 U 2 V j d G l v b j E v U H J p Y 2 V E Y X R h X 1 R O W C 9 D a G F u Z 2 V k I F R 5 c G U u e 2 h p Z 2 g s M 3 0 m c X V v d D s s J n F 1 b 3 Q 7 U 2 V j d G l v b j E v U H J p Y 2 V E Y X R h X 1 R O W C 9 D a G F u Z 2 V k I F R 5 c G U u e 2 x v d y w 0 f S Z x d W 9 0 O y w m c X V v d D t T Z W N 0 a W 9 u M S 9 Q c m l j Z U R h d G F f V E 5 Y L 0 N o Y W 5 n Z W Q g V H l w Z S 5 7 Y 2 x v c 2 U s N X 0 m c X V v d D s s J n F 1 b 3 Q 7 U 2 V j d G l v b j E v U H J p Y 2 V E Y X R h X 1 R O W C 9 D a G F u Z 2 V k I F R 5 c G U u e 3 Z v b H V t Z S w 2 f S Z x d W 9 0 O y w m c X V v d D t T Z W N 0 a W 9 u M S 9 Q c m l j Z U R h d G F f V E 5 Y L 0 N o Y W 5 n Z W Q g V H l w Z S 5 7 Y W R q Y 2 x v c 2 U s N 3 0 m c X V v d D s s J n F 1 b 3 Q 7 U 2 V j d G l v b j E v U H J p Y 2 V E Y X R h X 1 R O W C 9 D a G F u Z 2 V k I F R 5 c G U u e 2 l k L D h 9 J n F 1 b 3 Q 7 L C Z x d W 9 0 O 1 N l Y 3 R p b 2 4 x L 1 B y a W N l R G F 0 Y V 9 U T l g v Q 2 h h b m d l Z C B U e X B l L n t Q d W x s X 0 R h d G U s O X 0 m c X V v d D s s J n F 1 b 3 Q 7 U 2 V j d G l v b j E v U H J p Y 2 V E Y X R h X 1 R O W C 9 D a G F u Z 2 V k I F R 5 c G U u e 3 B l c m N l b n R f c m V 0 d X J u L D E w f S Z x d W 9 0 O y w m c X V v d D t T Z W N 0 a W 9 u M S 9 Q c m l j Z U R h d G F f V E 5 Y L 0 N o Y W 5 n Z W Q g V H l w Z S 5 7 b 3 B l b l 9 j b G 9 z Z V 9 k a W Z m L D E x f S Z x d W 9 0 O y w m c X V v d D t T Z W N 0 a W 9 u M S 9 Q c m l j Z U R h d G F f V E 5 Y L 0 N o Y W 5 n Z W Q g V H l w Z S 5 7 b 3 B l b l 9 o a W d o X 2 R p Z m Y s M T J 9 J n F 1 b 3 Q 7 L C Z x d W 9 0 O 1 N l Y 3 R p b 2 4 x L 1 B y a W N l R G F 0 Y V 9 U T l g v Q 2 h h b m d l Z C B U e X B l L n t k Y X l f b 2 Z f d 2 V l a y w x M 3 0 m c X V v d D s s J n F 1 b 3 Q 7 U 2 V j d G l v b j E v U H J p Y 2 V E Y X R h X 1 R O W C 9 D a G F u Z 2 V k I F R 5 c G U u e 3 B y a W N l X 2 R h d G V f e W V h c i w x N H 0 m c X V v d D t d L C Z x d W 9 0 O 1 J l b G F 0 a W 9 u c 2 h p c E l u Z m 8 m c X V v d D s 6 W 1 1 9 I i A v P j w v U 3 R h Y m x l R W 5 0 c m l l c z 4 8 L 0 l 0 Z W 0 + P E l 0 Z W 0 + P E l 0 Z W 1 M b 2 N h d G l v b j 4 8 S X R l b V R 5 c G U + R m 9 y b X V s Y T w v S X R l b V R 5 c G U + P E l 0 Z W 1 Q Y X R o P l N l Y 3 R p b 2 4 x L 1 B y a W N l R G F 0 Y V 9 U T l g v U 2 9 1 c m N l P C 9 J d G V t U G F 0 a D 4 8 L 0 l 0 Z W 1 M b 2 N h d G l v b j 4 8 U 3 R h Y m x l R W 5 0 c m l l c y A v P j w v S X R l b T 4 8 S X R l b T 4 8 S X R l b U x v Y 2 F 0 a W 9 u P j x J d G V t V H l w Z T 5 G b 3 J t d W x h P C 9 J d G V t V H l w Z T 4 8 S X R l b V B h d G g + U 2 V j d G l v b j E v U H J p Y 2 V E Y X R h X 1 R O W C 9 T a G V l d D F f U 2 h l Z X Q 8 L 0 l 0 Z W 1 Q Y X R o P j w v S X R l b U x v Y 2 F 0 a W 9 u P j x T d G F i b G V F b n R y a W V z I C 8 + P C 9 J d G V t P j x J d G V t P j x J d G V t T G 9 j Y X R p b 2 4 + P E l 0 Z W 1 U e X B l P k Z v c m 1 1 b G E 8 L 0 l 0 Z W 1 U e X B l P j x J d G V t U G F 0 a D 5 T Z W N 0 a W 9 u M S 9 Q c m l j Z U R h d G F f V E 5 Y L 1 B y b 2 1 v d G V k J T I w S G V h Z G V y c z w v S X R l b V B h d G g + P C 9 J d G V t T G 9 j Y X R p b 2 4 + P F N 0 Y W J s Z U V u d H J p Z X M g L z 4 8 L 0 l 0 Z W 0 + P E l 0 Z W 0 + P E l 0 Z W 1 M b 2 N h d G l v b j 4 8 S X R l b V R 5 c G U + R m 9 y b X V s Y T w v S X R l b V R 5 c G U + P E l 0 Z W 1 Q Y X R o P l N l Y 3 R p b 2 4 x L 1 B y a W N l R G F 0 Y V 9 U T l g v Q 2 h h b m d l Z C U y M F R 5 c G U 8 L 0 l 0 Z W 1 Q Y X R o P j w v S X R l b U x v Y 2 F 0 a W 9 u P j x T d G F i b G V F b n R y a W V z I C 8 + P C 9 J d G V t P j x J d G V t P j x J d G V t T G 9 j Y X R p b 2 4 + P E l 0 Z W 1 U e X B l P k Z v c m 1 1 b G E 8 L 0 l 0 Z W 1 U e X B l P j x J d G V t U G F 0 a D 5 T Z W N 0 a W 9 u M S 9 Q c m l j Z U R h d G F f V E 5 Y X 0 F 2 Z 1 J h d G U 8 L 0 l 0 Z W 1 Q Y X R o P j w v S X R l b U x v Y 2 F 0 a W 9 u P j x T d G F i b G V F b n R y a W V z P j x F b n R y e S B U e X B l P S J R d W V y e U l E I i B W Y W x 1 Z T 0 i c z I 2 N T J k M j E 4 L T I 5 Z G U t N D h j O C 0 4 Z j Z l L T B k N z g 3 Y m Y 2 M G F i M C 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a W N l R G F 0 Y V 9 U T l h f Q X Z n U m F 0 Z S I g L z 4 8 R W 5 0 c n k g V H l w Z T 0 i R m l s b G V k Q 2 9 t c G x l d G V S Z X N 1 b H R U b 1 d v c m t z a G V l d C I g V m F s d W U 9 I m w x I i A v P j x F b n R y e S B U e X B l P S J G a W x s R X J y b 3 J D b 2 R l I i B W Y W x 1 Z T 0 i c 1 V u a 2 5 v d 2 4 i I C 8 + P E V u d H J 5 I F R 5 c G U 9 I k Z p b G x F c n J v c k N v d W 5 0 I i B W Y W x 1 Z T 0 i b D A i I C 8 + P E V u d H J 5 I F R 5 c G U 9 I k Z p b G x D b 3 V u d C I g V m F s d W U 9 I m w x I i A v P j x F b n R y e S B U e X B l P S J B Z G R l Z F R v R G F 0 Y U 1 v Z G V s I i B W Y W x 1 Z T 0 i b D A i I C 8 + P E V u d H J 5 I F R 5 c G U 9 I k Z p b G x M Y X N 0 V X B k Y X R l Z C I g V m F s d W U 9 I m Q y M D I 0 L T A 5 L T A 5 V D I z O j U 5 O j E x L j I 2 N j U 0 O D F a I i A v P j x F b n R y e S B U e X B l P S J G a W x s Q 2 9 s d W 1 u V H l w Z X M i I F Z h b H V l P S J z Q m d V P S I g L z 4 8 R W 5 0 c n k g V H l w Z T 0 i R m l s b E N v b H V t b k 5 h b W V z I i B W Y W x 1 Z T 0 i c 1 s m c X V v d D t U a W N r Z X I m c X V v d D s s J n F 1 b 3 Q 7 Q X Z n U m V 0 d X J u J n F 1 b 3 Q 7 X S I g L z 4 8 R W 5 0 c n k g V H l w Z T 0 i R m l s b F N 0 Y X R 1 c y I g V m F s d W U 9 I n N D b 2 1 w b G V 0 Z S I g L z 4 8 R W 5 0 c n k g V H l w Z T 0 i U m V s Y X R p b 2 5 z a G l w S W 5 m b 0 N v b n R h a W 5 l c i I g V m F s d W U 9 I n N 7 J n F 1 b 3 Q 7 Y 2 9 s d W 1 u Q 2 9 1 b n Q m c X V v d D s 6 M i w m c X V v d D t r Z X l D b 2 x 1 b W 5 O Y W 1 l c y Z x d W 9 0 O z p b J n F 1 b 3 Q 7 V G l j a 2 V y J n F 1 b 3 Q 7 X S w m c X V v d D t x d W V y e V J l b G F 0 a W 9 u c 2 h p c H M m c X V v d D s 6 W 1 0 s J n F 1 b 3 Q 7 Y 2 9 s d W 1 u S W R l b n R p d G l l c y Z x d W 9 0 O z p b J n F 1 b 3 Q 7 U 2 V j d G l v b j E v U H J p Y 2 V E Y X R h X 1 R O W F 9 B d m d S Y X R l L 0 d y b 3 V w Z W Q g U m 9 3 c y 5 7 V G l j a 2 V y L D B 9 J n F 1 b 3 Q 7 L C Z x d W 9 0 O 1 N l Y 3 R p b 2 4 x L 1 B y a W N l R G F 0 Y V 9 U T l h f Q X Z n U m F 0 Z S 9 H c m 9 1 c G V k I F J v d 3 M u e 0 F 2 Z 1 J l d H V y b i w x f S Z x d W 9 0 O 1 0 s J n F 1 b 3 Q 7 Q 2 9 s d W 1 u Q 2 9 1 b n Q m c X V v d D s 6 M i w m c X V v d D t L Z X l D b 2 x 1 b W 5 O Y W 1 l c y Z x d W 9 0 O z p b J n F 1 b 3 Q 7 V G l j a 2 V y J n F 1 b 3 Q 7 X S w m c X V v d D t D b 2 x 1 b W 5 J Z G V u d G l 0 a W V z J n F 1 b 3 Q 7 O l s m c X V v d D t T Z W N 0 a W 9 u M S 9 Q c m l j Z U R h d G F f V E 5 Y X 0 F 2 Z 1 J h d G U v R 3 J v d X B l Z C B S b 3 d z L n t U a W N r Z X I s M H 0 m c X V v d D s s J n F 1 b 3 Q 7 U 2 V j d G l v b j E v U H J p Y 2 V E Y X R h X 1 R O W F 9 B d m d S Y X R l L 0 d y b 3 V w Z W Q g U m 9 3 c y 5 7 Q X Z n U m V 0 d X J u L D F 9 J n F 1 b 3 Q 7 X S w m c X V v d D t S Z W x h d G l v b n N o a X B J b m Z v J n F 1 b 3 Q 7 O l t d f S I g L z 4 8 L 1 N 0 Y W J s Z U V u d H J p Z X M + P C 9 J d G V t P j x J d G V t P j x J d G V t T G 9 j Y X R p b 2 4 + P E l 0 Z W 1 U e X B l P k Z v c m 1 1 b G E 8 L 0 l 0 Z W 1 U e X B l P j x J d G V t U G F 0 a D 5 T Z W N 0 a W 9 u M S 9 Q c m l j Z U R h d G F f V E 5 Y X 0 F 2 Z 1 J h d G U v U 2 9 1 c m N l P C 9 J d G V t U G F 0 a D 4 8 L 0 l 0 Z W 1 M b 2 N h d G l v b j 4 8 U 3 R h Y m x l R W 5 0 c m l l c y A v P j w v S X R l b T 4 8 S X R l b T 4 8 S X R l b U x v Y 2 F 0 a W 9 u P j x J d G V t V H l w Z T 5 G b 3 J t d W x h P C 9 J d G V t V H l w Z T 4 8 S X R l b V B h d G g + U 2 V j d G l v b j E v U H J p Y 2 V E Y X R h X 1 R O W F 9 B d m d S Y X R l L 0 d y b 3 V w Z W Q l M j B S b 3 d z P C 9 J d G V t U G F 0 a D 4 8 L 0 l 0 Z W 1 M b 2 N h d G l v b j 4 8 U 3 R h Y m x l R W 5 0 c m l l c y A v P j w v S X R l b T 4 8 S X R l b T 4 8 S X R l b U x v Y 2 F 0 a W 9 u P j x J d G V t V H l w Z T 5 G b 3 J t d W x h P C 9 J d G V t V H l w Z T 4 8 S X R l b V B h d G g + U 2 V j d G l v b j E v U H J p Y 2 V E Y X R h X 1 R p Y 2 t l c j w v S X R l b V B h d G g + P C 9 J d G V t T G 9 j Y X R p b 2 4 + P F N 0 Y W J s Z U V u d H J p Z X M + P E V u d H J 5 I F R 5 c G U 9 I k l z U H J p d m F 0 Z S I g V m F s d W U 9 I m w w I i A v P j x F b n R y e S B U e X B l P S J R d W V y e U l E I i B W Y W x 1 Z T 0 i c 2 V i N j V j Y T F i L T A 4 N D M t N D g z Y i 1 h N z h m L T d i N m I 2 O T k 5 N m Z j 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p Y 2 V E Y X R h X 1 R p Y 2 t l c i I g L z 4 8 R W 5 0 c n k g V H l w Z T 0 i R m l s b G V k Q 2 9 t c G x l d G V S Z X N 1 b H R U b 1 d v c m t z a G V l d C I g V m F s d W U 9 I m w x I i A v P j x F b n R y e S B U e X B l P S J G a W x s Q 2 9 1 b n Q i I F Z h b H V l P S J s N T Q z I i A v P j x F b n R y e S B U e X B l P S J G a W x s R X J y b 3 J D b 2 R l I i B W Y W x 1 Z T 0 i c 1 V u a 2 5 v d 2 4 i I C 8 + P E V u d H J 5 I F R 5 c G U 9 I k Z p b G x F c n J v c k N v d W 5 0 I i B W Y W x 1 Z T 0 i b D A i I C 8 + P E V u d H J 5 I F R 5 c G U 9 I k F k Z G V k V G 9 E Y X R h T W 9 k Z W w i I F Z h b H V l P S J s M C I g L z 4 8 R W 5 0 c n k g V H l w Z T 0 i R m l s b E x h c 3 R V c G R h d G V k I i B W Y W x 1 Z T 0 i Z D I w M j Q t M D k t M D l U M j M 6 N T k 6 M T I u N D Y 0 N j k y O V o i I C 8 + P E V u d H J 5 I F R 5 c G U 9 I k Z p b G x D b 2 x 1 b W 5 U e X B l c y I g V m F s d W U 9 I n N C Z 2 t G Q l F V R k F 3 V U d D U V V G Q l F V R k J n T U Y i I C 8 + P E V u d H J 5 I F R 5 c G U 9 I k Z p b G x D b 2 x 1 b W 5 O Y W 1 l c y I g V m F s d W U 9 I n N b J n F 1 b 3 Q 7 V G l j a 2 V y J n F 1 b 3 Q 7 L C Z x d W 9 0 O 3 B y a W N l X 2 R h d G U m c X V v d D s s J n F 1 b 3 Q 7 b 3 B l b i Z x d W 9 0 O y w m c X V v d D t o a W d o J n F 1 b 3 Q 7 L C Z x d W 9 0 O 2 x v d y Z x d W 9 0 O y w m c X V v d D t j b G 9 z Z S Z x d W 9 0 O y w m c X V v d D t 2 b 2 x 1 b W U m c X V v d D s s J n F 1 b 3 Q 7 Y W R q Y 2 x v c 2 U m c X V v d D s s J n F 1 b 3 Q 7 a W Q m c X V v d D s s J n F 1 b 3 Q 7 U H V s b F 9 E Y X R l J n F 1 b 3 Q 7 L C Z x d W 9 0 O 2 R p d m l k Z W 5 k c y Z x d W 9 0 O y w m c X V v d D t j a G F u Z 2 V f a W 5 f c H J p Y 2 U m c X V v d D s s J n F 1 b 3 Q 7 c G V y Y 2 V u d F 9 y Z X R 1 c m 4 m c X V v d D s s J n F 1 b 3 Q 7 b 3 B l b l 9 j b G 9 z Z V 9 k a W Z m J n F 1 b 3 Q 7 L C Z x d W 9 0 O 2 9 w Z W 5 f a G l n a F 9 k a W Z m J n F 1 b 3 Q 7 L C Z x d W 9 0 O 2 R h e V 9 v Z l 9 3 Z W V r J n F 1 b 3 Q 7 L C Z x d W 9 0 O 3 B y a W N l X 2 R h d G V f e W V h c i Z x d W 9 0 O y w m c X V v d D t z c G x p d H 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H J p Y 2 V E Y X R h X 1 R p Y 2 t l c i 9 D a G F u Z 2 V k I F R 5 c G U u e 1 R p Y 2 t l c i w w f S Z x d W 9 0 O y w m c X V v d D t T Z W N 0 a W 9 u M S 9 Q c m l j Z U R h d G F f V G l j a 2 V y L 0 N o Y W 5 n Z W Q g V H l w Z S 5 7 c H J p Y 2 V f Z G F 0 Z S w x f S Z x d W 9 0 O y w m c X V v d D t T Z W N 0 a W 9 u M S 9 Q c m l j Z U R h d G F f V G l j a 2 V y L 0 N o Y W 5 n Z W Q g V H l w Z S 5 7 b 3 B l b i w y f S Z x d W 9 0 O y w m c X V v d D t T Z W N 0 a W 9 u M S 9 Q c m l j Z U R h d G F f V G l j a 2 V y L 0 N o Y W 5 n Z W Q g V H l w Z S 5 7 a G l n a C w z f S Z x d W 9 0 O y w m c X V v d D t T Z W N 0 a W 9 u M S 9 Q c m l j Z U R h d G F f V G l j a 2 V y L 0 N o Y W 5 n Z W Q g V H l w Z S 5 7 b G 9 3 L D R 9 J n F 1 b 3 Q 7 L C Z x d W 9 0 O 1 N l Y 3 R p b 2 4 x L 1 B y a W N l R G F 0 Y V 9 U a W N r Z X I v Q 2 h h b m d l Z C B U e X B l L n t j b G 9 z Z S w 1 f S Z x d W 9 0 O y w m c X V v d D t T Z W N 0 a W 9 u M S 9 Q c m l j Z U R h d G F f V G l j a 2 V y L 0 N o Y W 5 n Z W Q g V H l w Z S 5 7 d m 9 s d W 1 l L D Z 9 J n F 1 b 3 Q 7 L C Z x d W 9 0 O 1 N l Y 3 R p b 2 4 x L 1 B y a W N l R G F 0 Y V 9 U a W N r Z X I v Q 2 h h b m d l Z C B U e X B l L n t h Z G p j b G 9 z Z S w 3 f S Z x d W 9 0 O y w m c X V v d D t T Z W N 0 a W 9 u M S 9 Q c m l j Z U R h d G F f V G l j a 2 V y L 0 N o Y W 5 n Z W Q g V H l w Z S 5 7 a W Q s O H 0 m c X V v d D s s J n F 1 b 3 Q 7 U 2 V j d G l v b j E v U H J p Y 2 V E Y X R h X 1 R p Y 2 t l c i 9 D a G F u Z 2 V k I F R 5 c G U u e 1 B 1 b G x f R G F 0 Z S w 5 f S Z x d W 9 0 O y w m c X V v d D t T Z W N 0 a W 9 u M S 9 Q c m l j Z U R h d G F f V G l j a 2 V y L 0 N o Y W 5 n Z W Q g V H l w Z S 5 7 Z G l 2 a W R l b m R z L D E w f S Z x d W 9 0 O y w m c X V v d D t T Z W N 0 a W 9 u M S 9 Q c m l j Z U R h d G F f V G l j a 2 V y L 0 N o Y W 5 n Z W Q g V H l w Z S 5 7 Y 2 h h b m d l X 2 l u X 3 B y a W N l L D E x f S Z x d W 9 0 O y w m c X V v d D t T Z W N 0 a W 9 u M S 9 Q c m l j Z U R h d G F f V G l j a 2 V y L 0 N o Y W 5 n Z W Q g V H l w Z S 5 7 c G V y Y 2 V u d F 9 y Z X R 1 c m 4 s M T J 9 J n F 1 b 3 Q 7 L C Z x d W 9 0 O 1 N l Y 3 R p b 2 4 x L 1 B y a W N l R G F 0 Y V 9 U a W N r Z X I v Q 2 h h b m d l Z C B U e X B l L n t v c G V u X 2 N s b 3 N l X 2 R p Z m Y s M T N 9 J n F 1 b 3 Q 7 L C Z x d W 9 0 O 1 N l Y 3 R p b 2 4 x L 1 B y a W N l R G F 0 Y V 9 U a W N r Z X I v Q 2 h h b m d l Z C B U e X B l L n t v c G V u X 2 h p Z 2 h f Z G l m Z i w x N H 0 m c X V v d D s s J n F 1 b 3 Q 7 U 2 V j d G l v b j E v U H J p Y 2 V E Y X R h X 1 R p Y 2 t l c i 9 D a G F u Z 2 V k I F R 5 c G U u e 2 R h e V 9 v Z l 9 3 Z W V r L D E 1 f S Z x d W 9 0 O y w m c X V v d D t T Z W N 0 a W 9 u M S 9 Q c m l j Z U R h d G F f V G l j a 2 V y L 0 N o Y W 5 n Z W Q g V H l w Z S 5 7 c H J p Y 2 V f Z G F 0 Z V 9 5 Z W F y L D E 2 f S Z x d W 9 0 O y w m c X V v d D t T Z W N 0 a W 9 u M S 9 Q c m l j Z U R h d G F f V G l j a 2 V y L 0 N o Y W 5 n Z W Q g V H l w Z S 5 7 c 3 B s a X R z L D E 3 f S Z x d W 9 0 O 1 0 s J n F 1 b 3 Q 7 Q 2 9 s d W 1 u Q 2 9 1 b n Q m c X V v d D s 6 M T g s J n F 1 b 3 Q 7 S 2 V 5 Q 2 9 s d W 1 u T m F t Z X M m c X V v d D s 6 W 1 0 s J n F 1 b 3 Q 7 Q 2 9 s d W 1 u S W R l b n R p d G l l c y Z x d W 9 0 O z p b J n F 1 b 3 Q 7 U 2 V j d G l v b j E v U H J p Y 2 V E Y X R h X 1 R p Y 2 t l c i 9 D a G F u Z 2 V k I F R 5 c G U u e 1 R p Y 2 t l c i w w f S Z x d W 9 0 O y w m c X V v d D t T Z W N 0 a W 9 u M S 9 Q c m l j Z U R h d G F f V G l j a 2 V y L 0 N o Y W 5 n Z W Q g V H l w Z S 5 7 c H J p Y 2 V f Z G F 0 Z S w x f S Z x d W 9 0 O y w m c X V v d D t T Z W N 0 a W 9 u M S 9 Q c m l j Z U R h d G F f V G l j a 2 V y L 0 N o Y W 5 n Z W Q g V H l w Z S 5 7 b 3 B l b i w y f S Z x d W 9 0 O y w m c X V v d D t T Z W N 0 a W 9 u M S 9 Q c m l j Z U R h d G F f V G l j a 2 V y L 0 N o Y W 5 n Z W Q g V H l w Z S 5 7 a G l n a C w z f S Z x d W 9 0 O y w m c X V v d D t T Z W N 0 a W 9 u M S 9 Q c m l j Z U R h d G F f V G l j a 2 V y L 0 N o Y W 5 n Z W Q g V H l w Z S 5 7 b G 9 3 L D R 9 J n F 1 b 3 Q 7 L C Z x d W 9 0 O 1 N l Y 3 R p b 2 4 x L 1 B y a W N l R G F 0 Y V 9 U a W N r Z X I v Q 2 h h b m d l Z C B U e X B l L n t j b G 9 z Z S w 1 f S Z x d W 9 0 O y w m c X V v d D t T Z W N 0 a W 9 u M S 9 Q c m l j Z U R h d G F f V G l j a 2 V y L 0 N o Y W 5 n Z W Q g V H l w Z S 5 7 d m 9 s d W 1 l L D Z 9 J n F 1 b 3 Q 7 L C Z x d W 9 0 O 1 N l Y 3 R p b 2 4 x L 1 B y a W N l R G F 0 Y V 9 U a W N r Z X I v Q 2 h h b m d l Z C B U e X B l L n t h Z G p j b G 9 z Z S w 3 f S Z x d W 9 0 O y w m c X V v d D t T Z W N 0 a W 9 u M S 9 Q c m l j Z U R h d G F f V G l j a 2 V y L 0 N o Y W 5 n Z W Q g V H l w Z S 5 7 a W Q s O H 0 m c X V v d D s s J n F 1 b 3 Q 7 U 2 V j d G l v b j E v U H J p Y 2 V E Y X R h X 1 R p Y 2 t l c i 9 D a G F u Z 2 V k I F R 5 c G U u e 1 B 1 b G x f R G F 0 Z S w 5 f S Z x d W 9 0 O y w m c X V v d D t T Z W N 0 a W 9 u M S 9 Q c m l j Z U R h d G F f V G l j a 2 V y L 0 N o Y W 5 n Z W Q g V H l w Z S 5 7 Z G l 2 a W R l b m R z L D E w f S Z x d W 9 0 O y w m c X V v d D t T Z W N 0 a W 9 u M S 9 Q c m l j Z U R h d G F f V G l j a 2 V y L 0 N o Y W 5 n Z W Q g V H l w Z S 5 7 Y 2 h h b m d l X 2 l u X 3 B y a W N l L D E x f S Z x d W 9 0 O y w m c X V v d D t T Z W N 0 a W 9 u M S 9 Q c m l j Z U R h d G F f V G l j a 2 V y L 0 N o Y W 5 n Z W Q g V H l w Z S 5 7 c G V y Y 2 V u d F 9 y Z X R 1 c m 4 s M T J 9 J n F 1 b 3 Q 7 L C Z x d W 9 0 O 1 N l Y 3 R p b 2 4 x L 1 B y a W N l R G F 0 Y V 9 U a W N r Z X I v Q 2 h h b m d l Z C B U e X B l L n t v c G V u X 2 N s b 3 N l X 2 R p Z m Y s M T N 9 J n F 1 b 3 Q 7 L C Z x d W 9 0 O 1 N l Y 3 R p b 2 4 x L 1 B y a W N l R G F 0 Y V 9 U a W N r Z X I v Q 2 h h b m d l Z C B U e X B l L n t v c G V u X 2 h p Z 2 h f Z G l m Z i w x N H 0 m c X V v d D s s J n F 1 b 3 Q 7 U 2 V j d G l v b j E v U H J p Y 2 V E Y X R h X 1 R p Y 2 t l c i 9 D a G F u Z 2 V k I F R 5 c G U u e 2 R h e V 9 v Z l 9 3 Z W V r L D E 1 f S Z x d W 9 0 O y w m c X V v d D t T Z W N 0 a W 9 u M S 9 Q c m l j Z U R h d G F f V G l j a 2 V y L 0 N o Y W 5 n Z W Q g V H l w Z S 5 7 c H J p Y 2 V f Z G F 0 Z V 9 5 Z W F y L D E 2 f S Z x d W 9 0 O y w m c X V v d D t T Z W N 0 a W 9 u M S 9 Q c m l j Z U R h d G F f V G l j a 2 V y L 0 N o Y W 5 n Z W Q g V H l w Z S 5 7 c 3 B s a X R z L D E 3 f S Z x d W 9 0 O 1 0 s J n F 1 b 3 Q 7 U m V s Y X R p b 2 5 z a G l w S W 5 m b y Z x d W 9 0 O z p b X X 0 i I C 8 + P C 9 T d G F i b G V F b n R y a W V z P j w v S X R l b T 4 8 S X R l b T 4 8 S X R l b U x v Y 2 F 0 a W 9 u P j x J d G V t V H l w Z T 5 G b 3 J t d W x h P C 9 J d G V t V H l w Z T 4 8 S X R l b V B h d G g + U 2 V j d G l v b j E v U H J p Y 2 V E Y X R h X 1 R p Y 2 t l c i 9 T b 3 V y Y 2 U 8 L 0 l 0 Z W 1 Q Y X R o P j w v S X R l b U x v Y 2 F 0 a W 9 u P j x T d G F i b G V F b n R y a W V z I C 8 + P C 9 J d G V t P j x J d G V t P j x J d G V t T G 9 j Y X R p b 2 4 + P E l 0 Z W 1 U e X B l P k Z v c m 1 1 b G E 8 L 0 l 0 Z W 1 U e X B l P j x J d G V t U G F 0 a D 5 T Z W N 0 a W 9 u M S 9 Q c m l j Z U R h d G F f V G l j a 2 V y L 1 N o Z W V 0 M V 9 T a G V l d D w v S X R l b V B h d G g + P C 9 J d G V t T G 9 j Y X R p b 2 4 + P F N 0 Y W J s Z U V u d H J p Z X M g L z 4 8 L 0 l 0 Z W 0 + P E l 0 Z W 0 + P E l 0 Z W 1 M b 2 N h d G l v b j 4 8 S X R l b V R 5 c G U + R m 9 y b X V s Y T w v S X R l b V R 5 c G U + P E l 0 Z W 1 Q Y X R o P l N l Y 3 R p b 2 4 x L 1 B y a W N l R G F 0 Y V 9 U a W N r Z X I v U H J v b W 9 0 Z W Q l M j B I Z W F k Z X J z P C 9 J d G V t U G F 0 a D 4 8 L 0 l 0 Z W 1 M b 2 N h d G l v b j 4 8 U 3 R h Y m x l R W 5 0 c m l l c y A v P j w v S X R l b T 4 8 S X R l b T 4 8 S X R l b U x v Y 2 F 0 a W 9 u P j x J d G V t V H l w Z T 5 G b 3 J t d W x h P C 9 J d G V t V H l w Z T 4 8 S X R l b V B h d G g + U 2 V j d G l v b j E v U H J p Y 2 V E Y X R h X 1 R p Y 2 t l c i 9 D a G F u Z 2 V k J T I w V H l w Z T w v S X R l b V B h d G g + P C 9 J d G V t T G 9 j Y X R p b 2 4 + P F N 0 Y W J s Z U V u d H J p Z X M g L z 4 8 L 0 l 0 Z W 0 + P E l 0 Z W 0 + P E l 0 Z W 1 M b 2 N h d G l v b j 4 8 S X R l b V R 5 c G U + R m 9 y b X V s Y T w v S X R l b V R 5 c G U + P E l 0 Z W 1 Q Y X R o P l N l Y 3 R p b 2 4 x L 1 B y a W N l R G F 0 Y V 9 U a W N r Z X J f Q X Z n U m F 0 Z T w v S X R l b V B h d G g + P C 9 J d G V t T G 9 j Y X R p b 2 4 + P F N 0 Y W J s Z U V u d H J p Z X M + P E V u d H J 5 I F R 5 c G U 9 I l F 1 Z X J 5 S U Q i I F Z h b H V l P S J z Z j c x N W F j M j M t M 2 F l M i 0 0 N j g 5 L W I x Z T g t N z U w Y T F j Y 2 R j Y z U 1 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p Y 2 V E Y X R h X 1 R p Y 2 t l c l 9 B d m d S Y X R l I i A v P j x F b n R y e S B U e X B l P S J G a W x s Z W R D b 2 1 w b G V 0 Z V J l c 3 V s d F R v V 2 9 y a 3 N o Z W V 0 I i B W Y W x 1 Z T 0 i b D E i I C 8 + P E V u d H J 5 I F R 5 c G U 9 I k Z p b G x F c n J v c k N v d W 5 0 I i B W Y W x 1 Z T 0 i b D A i I C 8 + P E V u d H J 5 I F R 5 c G U 9 I k Z p b G x F c n J v c k N v Z G U i I F Z h b H V l P S J z V W 5 r b m 9 3 b i I g L z 4 8 R W 5 0 c n k g V H l w Z T 0 i R m l s b E N v d W 5 0 I i B W Y W x 1 Z T 0 i b D E w I i A v P j x F b n R y e S B U e X B l P S J B Z G R l Z F R v R G F 0 Y U 1 v Z G V s I i B W Y W x 1 Z T 0 i b D A i I C 8 + P E V u d H J 5 I F R 5 c G U 9 I k Z p b G x M Y X N 0 V X B k Y X R l Z C I g V m F s d W U 9 I m Q y M D I 0 L T A 5 L T A 5 V D I z O j U 5 O j E y L j Q y N z g x M D Z a I i A v P j x F b n R y e S B U e X B l P S J G a W x s Q 2 9 s d W 1 u V H l w Z X M i I F Z h b H V l P S J z Q m d V Q S I g L z 4 8 R W 5 0 c n k g V H l w Z T 0 i R m l s b E N v b H V t b k 5 h b W V z I i B W Y W x 1 Z T 0 i c 1 s m c X V v d D t U a W N r Z X I m c X V v d D s s J n F 1 b 3 Q 7 Q X Z n U m V 0 d X J u J n F 1 b 3 Q 7 L C Z x d W 9 0 O 1 l l Y X J s e S B B d m V y Y W d l I F J l d H V y b i Z x d W 9 0 O 1 0 i I C 8 + P E V u d H J 5 I F R 5 c G U 9 I k Z p b G x T d G F 0 d X M i I F Z h b H V l P S J z Q 2 9 t c G x l d G U i I C 8 + P E V u d H J 5 I F R 5 c G U 9 I l J l b G F 0 a W 9 u c 2 h p c E l u Z m 9 D b 2 5 0 Y W l u Z X I i I F Z h b H V l P S J z e y Z x d W 9 0 O 2 N v b H V t b k N v d W 5 0 J n F 1 b 3 Q 7 O j M s J n F 1 b 3 Q 7 a 2 V 5 Q 2 9 s d W 1 u T m F t Z X M m c X V v d D s 6 W y Z x d W 9 0 O 1 R p Y 2 t l c i Z x d W 9 0 O 1 0 s J n F 1 b 3 Q 7 c X V l c n l S Z W x h d G l v b n N o a X B z J n F 1 b 3 Q 7 O l t d L C Z x d W 9 0 O 2 N v b H V t b k l k Z W 5 0 a X R p Z X M m c X V v d D s 6 W y Z x d W 9 0 O 1 N l Y 3 R p b 2 4 x L 1 B y a W N l R G F 0 Y V 9 U a W N r Z X J f Q X Z n U m F 0 Z S 9 H c m 9 1 c G V k I F J v d 3 M u e 1 R p Y 2 t l c i w w f S Z x d W 9 0 O y w m c X V v d D t T Z W N 0 a W 9 u M S 9 Q c m l j Z U R h d G F f V G l j a 2 V y X 0 F 2 Z 1 J h d G U v R 3 J v d X B l Z C B S b 3 d z L n t B d m d S Z X R 1 c m 4 s M X 0 m c X V v d D s s J n F 1 b 3 Q 7 U 2 V j d G l v b j E v U H J p Y 2 V E Y X R h X 1 R p Y 2 t l c l 9 B d m d S Y X R l L 0 F k Z G V k I E N 1 c 3 R v b S 5 7 W W V h c m x 5 I E F 2 Z X J h Z 2 U g U m V 0 d X J u L D J 9 J n F 1 b 3 Q 7 X S w m c X V v d D t D b 2 x 1 b W 5 D b 3 V u d C Z x d W 9 0 O z o z L C Z x d W 9 0 O 0 t l e U N v b H V t b k 5 h b W V z J n F 1 b 3 Q 7 O l s m c X V v d D t U a W N r Z X I m c X V v d D t d L C Z x d W 9 0 O 0 N v b H V t b k l k Z W 5 0 a X R p Z X M m c X V v d D s 6 W y Z x d W 9 0 O 1 N l Y 3 R p b 2 4 x L 1 B y a W N l R G F 0 Y V 9 U a W N r Z X J f Q X Z n U m F 0 Z S 9 H c m 9 1 c G V k I F J v d 3 M u e 1 R p Y 2 t l c i w w f S Z x d W 9 0 O y w m c X V v d D t T Z W N 0 a W 9 u M S 9 Q c m l j Z U R h d G F f V G l j a 2 V y X 0 F 2 Z 1 J h d G U v R 3 J v d X B l Z C B S b 3 d z L n t B d m d S Z X R 1 c m 4 s M X 0 m c X V v d D s s J n F 1 b 3 Q 7 U 2 V j d G l v b j E v U H J p Y 2 V E Y X R h X 1 R p Y 2 t l c l 9 B d m d S Y X R l L 0 F k Z G V k I E N 1 c 3 R v b S 5 7 W W V h c m x 5 I E F 2 Z X J h Z 2 U g U m V 0 d X J u L D J 9 J n F 1 b 3 Q 7 X S w m c X V v d D t S Z W x h d G l v b n N o a X B J b m Z v J n F 1 b 3 Q 7 O l t d f S I g L z 4 8 L 1 N 0 Y W J s Z U V u d H J p Z X M + P C 9 J d G V t P j x J d G V t P j x J d G V t T G 9 j Y X R p b 2 4 + P E l 0 Z W 1 U e X B l P k Z v c m 1 1 b G E 8 L 0 l 0 Z W 1 U e X B l P j x J d G V t U G F 0 a D 5 T Z W N 0 a W 9 u M S 9 Q c m l j Z U R h d G F f V G l j a 2 V y X 0 F 2 Z 1 J h d G U v U 2 9 1 c m N l P C 9 J d G V t U G F 0 a D 4 8 L 0 l 0 Z W 1 M b 2 N h d G l v b j 4 8 U 3 R h Y m x l R W 5 0 c m l l c y A v P j w v S X R l b T 4 8 S X R l b T 4 8 S X R l b U x v Y 2 F 0 a W 9 u P j x J d G V t V H l w Z T 5 G b 3 J t d W x h P C 9 J d G V t V H l w Z T 4 8 S X R l b V B h d G g + U 2 V j d G l v b j E v U H J p Y 2 V E Y X R h X 1 R p Y 2 t l c l 9 B d m d S Y X R l L 0 d y b 3 V w Z W Q l M j B S b 3 d z P C 9 J d G V t U G F 0 a D 4 8 L 0 l 0 Z W 1 M b 2 N h d G l v b j 4 8 U 3 R h Y m x l R W 5 0 c m l l c y A v P j w v S X R l b T 4 8 S X R l b T 4 8 S X R l b U x v Y 2 F 0 a W 9 u P j x J d G V t V H l w Z T 5 G b 3 J t d W x h P C 9 J d G V t V H l w Z T 4 8 S X R l b V B h d G g + U 2 V j d G l v b j E v U H J p Y 2 V E Y X R h X 1 R p Y 2 t l c l 9 B d m d S Y X R l L 0 F k Z G V k J T I w Q 3 V z d G 9 t P C 9 J d G V t U G F 0 a D 4 8 L 0 l 0 Z W 1 M b 2 N h d G l v b j 4 8 U 3 R h Y m x l R W 5 0 c m l l c y A v P j w v S X R l b T 4 8 S X R l b T 4 8 S X R l b U x v Y 2 F 0 a W 9 u P j x J d G V t V H l w Z T 5 G b 3 J t d W x h P C 9 J d G V t V H l w Z T 4 8 S X R l b V B h d G g + U 2 V j d G l v b j E v Q X Z l c m F n Z U l u Z m x h d G l v b j w v S X R l b V B h d G g + P C 9 J d G V t T G 9 j Y X R p b 2 4 + P F N 0 Y W J s Z U V u d H J p Z X M + P E V u d H J 5 I F R 5 c G U 9 I k l z U H J p d m F 0 Z S I g V m F s d W U 9 I m w w I i A v P j x F b n R y e S B U e X B l P S J R d W V y e U l E I i B W Y W x 1 Z T 0 i c z U 3 M 2 Q 0 Y 2 R k L T h h Y j Y t N D c 2 M i 1 i N j Z m L W N k Z j k 3 O T I 0 Z T A 0 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Z l c m F n Z U l u Z m x h d G l v b i I g L z 4 8 R W 5 0 c n k g V H l w Z T 0 i R m l s b G V k Q 2 9 t c G x l d G V S Z X N 1 b H R U b 1 d v c m t z a G V l d C I g V m F s d W U 9 I m w x I i A v P j x F b n R y e S B U e X B l P S J G a W x s Q 2 9 1 b n Q i I F Z h b H V l P S J s M S I g L z 4 8 R W 5 0 c n k g V H l w Z T 0 i R m l s b E V y c m 9 y Q 2 9 k Z S I g V m F s d W U 9 I n N V b m t u b 3 d u I i A v P j x F b n R y e S B U e X B l P S J G a W x s R X J y b 3 J D b 3 V u d C I g V m F s d W U 9 I m w w I i A v P j x F b n R y e S B U e X B l P S J B Z G R l Z F R v R G F 0 Y U 1 v Z G V s I i B W Y W x 1 Z T 0 i b D A i I C 8 + P E V u d H J 5 I F R 5 c G U 9 I k Z p b G x M Y X N 0 V X B k Y X R l Z C I g V m F s d W U 9 I m Q y M D I 0 L T A 5 L T A 5 V D I z O j U 5 O j E x L j I x N j Y 2 O T h a I i A v P j x F b n R y e S B U e X B l P S J G a W x s Q 2 9 s d W 1 u V H l w Z X M i I F Z h b H V l P S J z Q l E 9 P S I g L z 4 8 R W 5 0 c n k g V H l w Z T 0 i R m l s b E N v b H V t b k 5 h b W V z I i B W Y W x 1 Z T 0 i c 1 s m c X V v d D t h d m d J b m Z s Y X R p b 2 4 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d m V y Y W d l S W 5 m b G F 0 a W 9 u L 0 N o Y W 5 n Z W Q g V H l w Z S 5 7 Y X Z n S W 5 m b G F 0 a W 9 u L D F 9 J n F 1 b 3 Q 7 X S w m c X V v d D t D b 2 x 1 b W 5 D b 3 V u d C Z x d W 9 0 O z o x L C Z x d W 9 0 O 0 t l e U N v b H V t b k 5 h b W V z J n F 1 b 3 Q 7 O l t d L C Z x d W 9 0 O 0 N v b H V t b k l k Z W 5 0 a X R p Z X M m c X V v d D s 6 W y Z x d W 9 0 O 1 N l Y 3 R p b 2 4 x L 0 F 2 Z X J h Z 2 V J b m Z s Y X R p b 2 4 v Q 2 h h b m d l Z C B U e X B l L n t h d m d J b m Z s Y X R p b 2 4 s M X 0 m c X V v d D t d L C Z x d W 9 0 O 1 J l b G F 0 a W 9 u c 2 h p c E l u Z m 8 m c X V v d D s 6 W 1 1 9 I i A v P j w v U 3 R h Y m x l R W 5 0 c m l l c z 4 8 L 0 l 0 Z W 0 + P E l 0 Z W 0 + P E l 0 Z W 1 M b 2 N h d G l v b j 4 8 S X R l b V R 5 c G U + R m 9 y b X V s Y T w v S X R l b V R 5 c G U + P E l 0 Z W 1 Q Y X R o P l N l Y 3 R p b 2 4 x L 0 F 2 Z X J h Z 2 V J b m Z s Y X R p b 2 4 v U 2 9 1 c m N l P C 9 J d G V t U G F 0 a D 4 8 L 0 l 0 Z W 1 M b 2 N h d G l v b j 4 8 U 3 R h Y m x l R W 5 0 c m l l c y A v P j w v S X R l b T 4 8 S X R l b T 4 8 S X R l b U x v Y 2 F 0 a W 9 u P j x J d G V t V H l w Z T 5 G b 3 J t d W x h P C 9 J d G V t V H l w Z T 4 8 S X R l b V B h d G g + U 2 V j d G l v b j E v Q X Z l c m F n Z U l u Z m x h d G l v b i 9 T a G V l d D F f U 2 h l Z X Q 8 L 0 l 0 Z W 1 Q Y X R o P j w v S X R l b U x v Y 2 F 0 a W 9 u P j x T d G F i b G V F b n R y a W V z I C 8 + P C 9 J d G V t P j x J d G V t P j x J d G V t T G 9 j Y X R p b 2 4 + P E l 0 Z W 1 U e X B l P k Z v c m 1 1 b G E 8 L 0 l 0 Z W 1 U e X B l P j x J d G V t U G F 0 a D 5 T Z W N 0 a W 9 u M S 9 B d m V y Y W d l S W 5 m b G F 0 a W 9 u L 1 B y b 2 1 v d G V k J T I w S G V h Z G V y c z w v S X R l b V B h d G g + P C 9 J d G V t T G 9 j Y X R p b 2 4 + P F N 0 Y W J s Z U V u d H J p Z X M g L z 4 8 L 0 l 0 Z W 0 + P E l 0 Z W 0 + P E l 0 Z W 1 M b 2 N h d G l v b j 4 8 S X R l b V R 5 c G U + R m 9 y b X V s Y T w v S X R l b V R 5 c G U + P E l 0 Z W 1 Q Y X R o P l N l Y 3 R p b 2 4 x L 0 F 2 Z X J h Z 2 V J b m Z s Y X R p b 2 4 v Q 2 h h b m d l Z C U y M F R 5 c G U 8 L 0 l 0 Z W 1 Q Y X R o P j w v S X R l b U x v Y 2 F 0 a W 9 u P j x T d G F i b G V F b n R y a W V z I C 8 + P C 9 J d G V t P j x J d G V t P j x J d G V t T G 9 j Y X R p b 2 4 + P E l 0 Z W 1 U e X B l P k Z v c m 1 1 b G E 8 L 0 l 0 Z W 1 U e X B l P j x J d G V t U G F 0 a D 5 T Z W N 0 a W 9 u M S 9 B d m V y Y W d l S W 5 m b G F 0 a W 9 u L 1 J l b W 9 2 Z W Q l M j B D b 2 x 1 b W 5 z P C 9 J d G V t U G F 0 a D 4 8 L 0 l 0 Z W 1 M b 2 N h d G l v b j 4 8 U 3 R h Y m x l R W 5 0 c m l l c y A v P j w v S X R l b T 4 8 L 0 l 0 Z W 1 z P j w v T G 9 j Y W x Q Y W N r Y W d l T W V 0 Y W R h d G F G a W x l P h Y A A A B Q S w U G A A A A A A A A A A A A A A A A A A A A A A A A J g E A A A E A A A D Q j J 3 f A R X R E Y x 6 A M B P w p f r A Q A A A E b b B 7 w 8 J t 5 N i F a K F m K r D y M A A A A A A g A A A A A A E G Y A A A A B A A A g A A A A M t M M Q 1 h n J 0 Q K L b I P W q I m o l h a n o V A f D T D 5 V 1 q + F K n T S E A A A A A D o A A A A A C A A A g A A A A N Y g U r B 6 N u S G w g Z K e u J N + f R v 6 H E N s 8 Z C B J H C E 8 x W 3 h j Z Q A A A A j N c f A k u Z U R a E v T L 5 x d 8 V f l g f b o k 3 D + p I n C / e j W 4 r 7 Q j q G x N Y g g H 6 j g Q a c T 1 G 2 9 3 w + Q W I 0 1 3 y 5 y g l 3 c l S W Q u V b 9 G 6 0 v H 5 P h n 1 o O q C P 8 h K 4 E V A A A A A z 3 F O j / 5 r r Z C I J S q i E F Y / 7 y h 1 Y Q g 0 Y O + N Y c U N w M B k N E r i V m y q f N N S R k 2 d V D o 3 F R Q W c z o e 2 5 t T G Q h N + D L B Z F Z a G w = = < / D a t a M a s h u p > 
</file>

<file path=customXml/itemProps1.xml><?xml version="1.0" encoding="utf-8"?>
<ds:datastoreItem xmlns:ds="http://schemas.openxmlformats.org/officeDocument/2006/customXml" ds:itemID="{11BAAA98-DF02-499A-804B-1F7BF0FC00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Version Control_Ideas</vt:lpstr>
      <vt:lpstr>DCF Model</vt:lpstr>
      <vt:lpstr>IncomeStatement</vt:lpstr>
      <vt:lpstr>BalanceSheet</vt:lpstr>
      <vt:lpstr>CashFlow</vt:lpstr>
      <vt:lpstr>MetaData</vt:lpstr>
      <vt:lpstr>Tickers</vt:lpstr>
      <vt:lpstr>TickerYears</vt:lpstr>
      <vt:lpstr>Example Model</vt:lpstr>
      <vt:lpstr>AverageInflation</vt:lpstr>
      <vt:lpstr>PriceData_TNX_AvgRate</vt:lpstr>
      <vt:lpstr>PriceData_GSPC_AvgRate</vt:lpstr>
      <vt:lpstr>PriceData_Ticker_AvgRate</vt:lpstr>
      <vt:lpstr>PriceData_Ticker</vt:lpstr>
      <vt:lpstr>PriceData_TNX</vt:lpstr>
      <vt:lpstr>PriceData_GSPC</vt:lpstr>
      <vt:lpstr>Formulas</vt:lpstr>
      <vt:lpstr>Screenshots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Lutz PC</dc:creator>
  <cp:lastModifiedBy>Lutz PC</cp:lastModifiedBy>
  <dcterms:created xsi:type="dcterms:W3CDTF">2024-05-10T02:43:54Z</dcterms:created>
  <dcterms:modified xsi:type="dcterms:W3CDTF">2024-09-10T00:28:07Z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502bc7c3-f152-4da1-98bd-f7a1bebdf752_Enabled">
    <vt:lpwstr>true</vt:lpwstr>
  </property>
  <property fmtid="{D5CDD505-2E9C-101B-9397-08002B2CF9AE}" pid="5" name="MSIP_Label_502bc7c3-f152-4da1-98bd-f7a1bebdf752_SetDate">
    <vt:lpwstr>2024-05-10T12:19:16Z</vt:lpwstr>
  </property>
  <property fmtid="{D5CDD505-2E9C-101B-9397-08002B2CF9AE}" pid="6" name="MSIP_Label_502bc7c3-f152-4da1-98bd-f7a1bebdf752_Method">
    <vt:lpwstr>Privileged</vt:lpwstr>
  </property>
  <property fmtid="{D5CDD505-2E9C-101B-9397-08002B2CF9AE}" pid="7" name="MSIP_Label_502bc7c3-f152-4da1-98bd-f7a1bebdf752_Name">
    <vt:lpwstr>Unrestricted</vt:lpwstr>
  </property>
  <property fmtid="{D5CDD505-2E9C-101B-9397-08002B2CF9AE}" pid="8" name="MSIP_Label_502bc7c3-f152-4da1-98bd-f7a1bebdf752_SiteId">
    <vt:lpwstr>b18f006c-b0fc-467d-b23a-a35b5695b5dc</vt:lpwstr>
  </property>
  <property fmtid="{D5CDD505-2E9C-101B-9397-08002B2CF9AE}" pid="9" name="MSIP_Label_502bc7c3-f152-4da1-98bd-f7a1bebdf752_ActionId">
    <vt:lpwstr>b6ea76fd-f045-46aa-bf5a-dc2d2ac7e612</vt:lpwstr>
  </property>
  <property fmtid="{D5CDD505-2E9C-101B-9397-08002B2CF9AE}" pid="10" name="MSIP_Label_502bc7c3-f152-4da1-98bd-f7a1bebdf752_ContentBits">
    <vt:lpwstr>0</vt:lpwstr>
  </property>
</Properties>
</file>