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comments1.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drawings/drawing1.xml" ContentType="application/vnd.openxmlformats-officedocument.drawing+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queryTables/queryTable10.xml" ContentType="application/vnd.openxmlformats-officedocument.spreadsheetml.queryTable+xml"/>
  <Override PartName="/xl/tables/table13.xml" ContentType="application/vnd.openxmlformats-officedocument.spreadsheetml.table+xml"/>
  <Override PartName="/xl/queryTables/queryTable11.xml" ContentType="application/vnd.openxmlformats-officedocument.spreadsheetml.queryTable+xml"/>
  <Override PartName="/xl/tables/table14.xml" ContentType="application/vnd.openxmlformats-officedocument.spreadsheetml.table+xml"/>
  <Override PartName="/xl/queryTables/queryTable12.xml" ContentType="application/vnd.openxmlformats-officedocument.spreadsheetml.queryTable+xml"/>
  <Override PartName="/xl/tables/table15.xml" ContentType="application/vnd.openxmlformats-officedocument.spreadsheetml.table+xml"/>
  <Override PartName="/xl/queryTables/queryTable13.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utz PC\Documents\iSAD\05_DCF\"/>
    </mc:Choice>
  </mc:AlternateContent>
  <xr:revisionPtr revIDLastSave="0" documentId="13_ncr:1_{0DA7ED32-3263-4F39-9173-DC3111985888}" xr6:coauthVersionLast="47" xr6:coauthVersionMax="47" xr10:uidLastSave="{00000000-0000-0000-0000-000000000000}"/>
  <bookViews>
    <workbookView xWindow="-110" yWindow="-110" windowWidth="19420" windowHeight="10420" tabRatio="851" activeTab="1" xr2:uid="{9F06ADF1-EC2F-4EBE-8DE1-2EDBA853F87A}"/>
  </bookViews>
  <sheets>
    <sheet name="Version Control_Ideas" sheetId="15" r:id="rId1"/>
    <sheet name="DCF Model" sheetId="11" r:id="rId2"/>
    <sheet name="IncomeStatement" sheetId="7" r:id="rId3"/>
    <sheet name="BalanceSheet" sheetId="8" r:id="rId4"/>
    <sheet name="CashFlow" sheetId="9" r:id="rId5"/>
    <sheet name="MetaData" sheetId="10" r:id="rId6"/>
    <sheet name="Tickers" sheetId="13" state="hidden" r:id="rId7"/>
    <sheet name="TickerYears" sheetId="12" r:id="rId8"/>
    <sheet name="Example Model" sheetId="1" r:id="rId9"/>
    <sheet name="AverageInflation" sheetId="22" r:id="rId10"/>
    <sheet name="PriceData_TNX_AvgRate" sheetId="19" r:id="rId11"/>
    <sheet name="PriceData_GSPC_AvgRate" sheetId="17" r:id="rId12"/>
    <sheet name="PriceData_Ticker_AvgRate" sheetId="21" r:id="rId13"/>
    <sheet name="PriceData_Ticker" sheetId="20" r:id="rId14"/>
    <sheet name="PriceData_TNX" sheetId="18" r:id="rId15"/>
    <sheet name="PriceData_GSPC" sheetId="16" r:id="rId16"/>
    <sheet name="Formulas" sheetId="6" r:id="rId17"/>
    <sheet name="Screenshots" sheetId="2" r:id="rId18"/>
    <sheet name="References" sheetId="3" r:id="rId19"/>
  </sheets>
  <definedNames>
    <definedName name="_xlnm._FilterDatabase" localSheetId="16" hidden="1">Formulas!$A$1:$B$1</definedName>
    <definedName name="ExternalData_1" localSheetId="9" hidden="1">AverageInflation!$A$1:$A$2</definedName>
    <definedName name="ExternalData_1" localSheetId="2" hidden="1">IncomeStatement!$A$1:$CB$74</definedName>
    <definedName name="ExternalData_2" localSheetId="3" hidden="1">BalanceSheet!$A$1:$EA$43</definedName>
    <definedName name="ExternalData_2" localSheetId="7" hidden="1">TickerYears!$A$1:$E$37</definedName>
    <definedName name="ExternalData_3" localSheetId="4" hidden="1">'CashFlow'!$A$1:$CY$57</definedName>
    <definedName name="ExternalData_3" localSheetId="6" hidden="1">Tickers!$A$1:$A$10</definedName>
    <definedName name="ExternalData_4" localSheetId="5" hidden="1">MetaData!$A$1:$AV$10</definedName>
    <definedName name="ExternalData_5" localSheetId="15" hidden="1">PriceData_GSPC!$A$1:$O$49</definedName>
    <definedName name="ExternalData_6" localSheetId="11" hidden="1">PriceData_GSPC_AvgRate!$A$1:$C$2</definedName>
    <definedName name="ExternalData_7" localSheetId="14" hidden="1">PriceData_TNX!$A$1:$O$49</definedName>
    <definedName name="ExternalData_8" localSheetId="13" hidden="1">PriceData_Ticker!$A$1:$R$411</definedName>
    <definedName name="ExternalData_8" localSheetId="10" hidden="1">PriceData_TNX_AvgRate!$A$1:$B$2</definedName>
    <definedName name="ExternalData_9" localSheetId="12" hidden="1">PriceData_Ticker_AvgRate!$A$1:$C$10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3" i="11" l="1"/>
  <c r="F12" i="11"/>
  <c r="G12" i="11"/>
  <c r="H12" i="11"/>
  <c r="E12" i="11"/>
  <c r="F10" i="11"/>
  <c r="G10" i="11"/>
  <c r="H10" i="11"/>
  <c r="E10" i="11"/>
  <c r="D179" i="11"/>
  <c r="J53" i="1"/>
  <c r="E2" i="11" l="1"/>
  <c r="E161" i="11" l="1"/>
  <c r="E42" i="11"/>
  <c r="E41" i="11"/>
  <c r="E46" i="11"/>
  <c r="E45" i="11"/>
  <c r="E40" i="11"/>
  <c r="E39" i="11"/>
  <c r="E38" i="11"/>
  <c r="E37" i="11"/>
  <c r="E31" i="11"/>
  <c r="E130" i="11"/>
  <c r="E32" i="11"/>
  <c r="E58" i="11"/>
  <c r="E96" i="11"/>
  <c r="E163" i="11"/>
  <c r="F160" i="11" s="1"/>
  <c r="E157" i="11"/>
  <c r="E73" i="11"/>
  <c r="D174" i="11"/>
  <c r="D202" i="11"/>
  <c r="H201" i="11"/>
  <c r="H202" i="11"/>
  <c r="D201" i="11"/>
  <c r="H200" i="11"/>
  <c r="J119" i="1"/>
  <c r="E4" i="15"/>
  <c r="D171" i="11"/>
  <c r="D172" i="11"/>
  <c r="E47" i="11" l="1"/>
  <c r="E18" i="11"/>
  <c r="E88" i="1"/>
  <c r="E57" i="1"/>
  <c r="E32" i="1" l="1"/>
  <c r="F11" i="1"/>
  <c r="E11" i="1"/>
  <c r="H205" i="11" l="1"/>
  <c r="D178" i="11"/>
  <c r="D177" i="11"/>
  <c r="I183" i="11" s="1"/>
  <c r="J183" i="11" s="1"/>
  <c r="D176" i="11"/>
  <c r="D183" i="11" s="1"/>
  <c r="F7" i="1"/>
  <c r="G7" i="1"/>
  <c r="H7" i="1"/>
  <c r="I7" i="1"/>
  <c r="E7" i="1"/>
  <c r="D138" i="1"/>
  <c r="H137" i="1"/>
  <c r="F129" i="1"/>
  <c r="G129" i="1"/>
  <c r="H129" i="1"/>
  <c r="I129" i="1"/>
  <c r="E129" i="1"/>
  <c r="F128" i="1"/>
  <c r="G128" i="1"/>
  <c r="H128" i="1"/>
  <c r="I128" i="1"/>
  <c r="E128" i="1"/>
  <c r="F127" i="1"/>
  <c r="G127" i="1"/>
  <c r="H127" i="1"/>
  <c r="I127" i="1"/>
  <c r="E127" i="1"/>
  <c r="K52" i="1"/>
  <c r="L52" i="1"/>
  <c r="M52" i="1" s="1"/>
  <c r="N52" i="1" s="1"/>
  <c r="J52" i="1"/>
  <c r="K73" i="1"/>
  <c r="L73" i="1"/>
  <c r="M73" i="1"/>
  <c r="N73" i="1"/>
  <c r="J73" i="1"/>
  <c r="K72" i="1"/>
  <c r="K74" i="1" s="1"/>
  <c r="J69" i="1"/>
  <c r="K69" i="1"/>
  <c r="L69" i="1"/>
  <c r="M69" i="1"/>
  <c r="N69" i="1"/>
  <c r="F68" i="1"/>
  <c r="F69" i="1" s="1"/>
  <c r="G68" i="1"/>
  <c r="G69" i="1" s="1"/>
  <c r="H68" i="1"/>
  <c r="H69" i="1" s="1"/>
  <c r="I68" i="1"/>
  <c r="I69" i="1" s="1"/>
  <c r="J68" i="1"/>
  <c r="K68" i="1"/>
  <c r="L68" i="1"/>
  <c r="M68" i="1"/>
  <c r="N68" i="1"/>
  <c r="E68" i="1"/>
  <c r="E69" i="1" s="1"/>
  <c r="J64" i="1"/>
  <c r="K64" i="1"/>
  <c r="L64" i="1"/>
  <c r="M64" i="1"/>
  <c r="N64" i="1"/>
  <c r="G64" i="1"/>
  <c r="H64" i="1"/>
  <c r="I64" i="1"/>
  <c r="J63" i="1"/>
  <c r="K63" i="1"/>
  <c r="L63" i="1"/>
  <c r="M63" i="1"/>
  <c r="N63" i="1"/>
  <c r="K48" i="1"/>
  <c r="L48" i="1"/>
  <c r="M48" i="1"/>
  <c r="N48" i="1"/>
  <c r="J48" i="1"/>
  <c r="J44" i="1"/>
  <c r="K44" i="1"/>
  <c r="L44" i="1"/>
  <c r="M44" i="1"/>
  <c r="N44" i="1"/>
  <c r="K43" i="1"/>
  <c r="L43" i="1"/>
  <c r="M43" i="1"/>
  <c r="N43" i="1"/>
  <c r="J43" i="1"/>
  <c r="K42" i="1"/>
  <c r="L42" i="1"/>
  <c r="M42" i="1"/>
  <c r="N42" i="1"/>
  <c r="J42" i="1"/>
  <c r="K30" i="1"/>
  <c r="L30" i="1"/>
  <c r="M30" i="1"/>
  <c r="N30" i="1"/>
  <c r="J30" i="1"/>
  <c r="J95" i="1"/>
  <c r="K94" i="1"/>
  <c r="J94" i="1"/>
  <c r="K93" i="1"/>
  <c r="L93" i="1"/>
  <c r="M93" i="1"/>
  <c r="N93" i="1"/>
  <c r="J93" i="1"/>
  <c r="J92" i="1"/>
  <c r="K92" i="1"/>
  <c r="K95" i="1" s="1"/>
  <c r="L92" i="1" s="1"/>
  <c r="G92" i="1"/>
  <c r="F92" i="1"/>
  <c r="J88" i="1"/>
  <c r="K88" i="1"/>
  <c r="L88" i="1"/>
  <c r="L89" i="1" s="1"/>
  <c r="M88" i="1"/>
  <c r="M89" i="1" s="1"/>
  <c r="N88" i="1"/>
  <c r="N89" i="1" s="1"/>
  <c r="J89" i="1"/>
  <c r="K89" i="1"/>
  <c r="K87" i="1"/>
  <c r="L87" i="1"/>
  <c r="M87" i="1"/>
  <c r="N87" i="1"/>
  <c r="J87" i="1"/>
  <c r="K86" i="1"/>
  <c r="L86" i="1"/>
  <c r="M86" i="1"/>
  <c r="N86" i="1"/>
  <c r="J86" i="1"/>
  <c r="K85" i="1"/>
  <c r="L85" i="1"/>
  <c r="M85" i="1"/>
  <c r="N85" i="1"/>
  <c r="J85" i="1"/>
  <c r="H136" i="1"/>
  <c r="H141" i="1" s="1"/>
  <c r="G119" i="1"/>
  <c r="H119" i="1"/>
  <c r="I119" i="1"/>
  <c r="F119" i="1"/>
  <c r="E119" i="1"/>
  <c r="K29" i="1"/>
  <c r="L29" i="1"/>
  <c r="M29" i="1"/>
  <c r="N29" i="1"/>
  <c r="J29" i="1"/>
  <c r="J24" i="1"/>
  <c r="J28" i="1" s="1"/>
  <c r="F16" i="1"/>
  <c r="G16" i="1"/>
  <c r="H16" i="1"/>
  <c r="I16" i="1"/>
  <c r="E16" i="1"/>
  <c r="F17" i="1"/>
  <c r="G17" i="1"/>
  <c r="H17" i="1"/>
  <c r="I17" i="1"/>
  <c r="E17" i="1"/>
  <c r="F15" i="1"/>
  <c r="G15" i="1"/>
  <c r="H15" i="1"/>
  <c r="I15" i="1"/>
  <c r="E15" i="1"/>
  <c r="F20" i="1"/>
  <c r="G20" i="1"/>
  <c r="H20" i="1"/>
  <c r="I20" i="1"/>
  <c r="E20" i="1"/>
  <c r="F19" i="1"/>
  <c r="K19" i="1" s="1"/>
  <c r="K99" i="1" s="1"/>
  <c r="G19" i="1"/>
  <c r="L19" i="1" s="1"/>
  <c r="L99" i="1" s="1"/>
  <c r="H19" i="1"/>
  <c r="M19" i="1" s="1"/>
  <c r="M99" i="1" s="1"/>
  <c r="I19" i="1"/>
  <c r="N19" i="1" s="1"/>
  <c r="N99" i="1" s="1"/>
  <c r="F18" i="1"/>
  <c r="G18" i="1"/>
  <c r="H18" i="1"/>
  <c r="I18" i="1"/>
  <c r="E18" i="1"/>
  <c r="F12" i="1"/>
  <c r="G12" i="1"/>
  <c r="H12" i="1"/>
  <c r="I12" i="1"/>
  <c r="E12" i="1"/>
  <c r="G11" i="1"/>
  <c r="F10" i="1"/>
  <c r="G10" i="1"/>
  <c r="H10" i="1"/>
  <c r="I10" i="1"/>
  <c r="E10" i="1"/>
  <c r="F9" i="1"/>
  <c r="G9" i="1"/>
  <c r="H9" i="1"/>
  <c r="I9" i="1"/>
  <c r="E9" i="1"/>
  <c r="F8" i="1"/>
  <c r="G8" i="1"/>
  <c r="H8" i="1"/>
  <c r="I8" i="1"/>
  <c r="E8" i="1"/>
  <c r="D119" i="1"/>
  <c r="F99" i="1"/>
  <c r="G99" i="1"/>
  <c r="H99" i="1"/>
  <c r="I99" i="1"/>
  <c r="G95" i="1"/>
  <c r="H92" i="1" s="1"/>
  <c r="E95" i="1"/>
  <c r="F87" i="1"/>
  <c r="F88" i="1" s="1"/>
  <c r="G87" i="1"/>
  <c r="G88" i="1" s="1"/>
  <c r="G89" i="1" s="1"/>
  <c r="H87" i="1"/>
  <c r="H88" i="1" s="1"/>
  <c r="I87" i="1"/>
  <c r="I88" i="1" s="1"/>
  <c r="I89" i="1" s="1"/>
  <c r="E87" i="1"/>
  <c r="E89" i="1" s="1"/>
  <c r="E64" i="1" s="1"/>
  <c r="F86" i="1"/>
  <c r="G86" i="1"/>
  <c r="H86" i="1"/>
  <c r="I86" i="1"/>
  <c r="E86" i="1"/>
  <c r="F85" i="1"/>
  <c r="G85" i="1"/>
  <c r="H85" i="1"/>
  <c r="I85" i="1"/>
  <c r="E85" i="1"/>
  <c r="F74" i="1"/>
  <c r="G74" i="1"/>
  <c r="H74" i="1"/>
  <c r="I74" i="1"/>
  <c r="F63" i="1"/>
  <c r="G63" i="1"/>
  <c r="H63" i="1"/>
  <c r="I63" i="1"/>
  <c r="E63" i="1"/>
  <c r="F32" i="1"/>
  <c r="G32" i="1"/>
  <c r="H32" i="1"/>
  <c r="I32" i="1"/>
  <c r="I33" i="1" s="1"/>
  <c r="I13" i="1" s="1"/>
  <c r="F26" i="1"/>
  <c r="F33" i="1" s="1"/>
  <c r="F13" i="1" s="1"/>
  <c r="G26" i="1"/>
  <c r="G33" i="1" s="1"/>
  <c r="G13" i="1" s="1"/>
  <c r="H26" i="1"/>
  <c r="I26" i="1"/>
  <c r="E26" i="1"/>
  <c r="E33" i="1" s="1"/>
  <c r="E13" i="1" s="1"/>
  <c r="F54" i="1"/>
  <c r="G54" i="1"/>
  <c r="H54" i="1"/>
  <c r="I54" i="1"/>
  <c r="E54" i="1"/>
  <c r="F50" i="1"/>
  <c r="G50" i="1"/>
  <c r="H50" i="1"/>
  <c r="I50" i="1"/>
  <c r="E50" i="1"/>
  <c r="E45" i="1"/>
  <c r="F45" i="1"/>
  <c r="I45" i="1"/>
  <c r="H45" i="1"/>
  <c r="G45" i="1"/>
  <c r="E117" i="11" l="1"/>
  <c r="E113" i="11"/>
  <c r="E111" i="11"/>
  <c r="E112" i="11"/>
  <c r="E109" i="11"/>
  <c r="E110" i="11"/>
  <c r="E63" i="11"/>
  <c r="E108" i="11"/>
  <c r="E114" i="11"/>
  <c r="E64" i="11"/>
  <c r="E83" i="11"/>
  <c r="E67" i="11"/>
  <c r="E84" i="11"/>
  <c r="E82" i="11"/>
  <c r="E75" i="11"/>
  <c r="E81" i="11"/>
  <c r="E85" i="11"/>
  <c r="E79" i="11"/>
  <c r="E78" i="11"/>
  <c r="E62" i="11"/>
  <c r="E71" i="11"/>
  <c r="E94" i="11"/>
  <c r="E95" i="11"/>
  <c r="E93" i="11"/>
  <c r="E92" i="11"/>
  <c r="E80" i="11"/>
  <c r="E86" i="11"/>
  <c r="E76" i="11"/>
  <c r="E23" i="11" s="1"/>
  <c r="E74" i="11"/>
  <c r="E70" i="11"/>
  <c r="E56" i="11"/>
  <c r="E72" i="11"/>
  <c r="E57" i="11"/>
  <c r="E65" i="11"/>
  <c r="E61" i="11"/>
  <c r="E53" i="11"/>
  <c r="E52" i="11"/>
  <c r="E127" i="11"/>
  <c r="E124" i="11"/>
  <c r="E123" i="11"/>
  <c r="E131" i="11"/>
  <c r="E136" i="11"/>
  <c r="E116" i="11"/>
  <c r="E139" i="11"/>
  <c r="E137" i="11"/>
  <c r="E115" i="11"/>
  <c r="F183" i="11"/>
  <c r="G183" i="11"/>
  <c r="E183" i="11"/>
  <c r="E182" i="11" s="1"/>
  <c r="H183" i="11"/>
  <c r="H182" i="11" s="1"/>
  <c r="E154" i="11"/>
  <c r="E155" i="11"/>
  <c r="E148" i="11"/>
  <c r="E134" i="11"/>
  <c r="E119" i="11"/>
  <c r="E132" i="11"/>
  <c r="E34" i="11"/>
  <c r="E13" i="11"/>
  <c r="E3" i="11"/>
  <c r="E99" i="11"/>
  <c r="N72" i="1"/>
  <c r="N74" i="1" s="1"/>
  <c r="M72" i="1"/>
  <c r="M74" i="1" s="1"/>
  <c r="L72" i="1"/>
  <c r="L74" i="1" s="1"/>
  <c r="L95" i="1"/>
  <c r="M92" i="1" s="1"/>
  <c r="L94" i="1"/>
  <c r="H11" i="1"/>
  <c r="H95" i="1"/>
  <c r="I92" i="1" s="1"/>
  <c r="F95" i="1"/>
  <c r="E121" i="1"/>
  <c r="H89" i="1"/>
  <c r="F89" i="1"/>
  <c r="F64" i="1" s="1"/>
  <c r="F121" i="1"/>
  <c r="G55" i="1"/>
  <c r="K24" i="1"/>
  <c r="J25" i="1"/>
  <c r="J26" i="1"/>
  <c r="H36" i="1"/>
  <c r="H62" i="1" s="1"/>
  <c r="H65" i="1" s="1"/>
  <c r="H76" i="1" s="1"/>
  <c r="H33" i="1"/>
  <c r="H13" i="1" s="1"/>
  <c r="E55" i="1"/>
  <c r="H55" i="1"/>
  <c r="H57" i="1" s="1"/>
  <c r="F55" i="1"/>
  <c r="F57" i="1" s="1"/>
  <c r="F36" i="1"/>
  <c r="F62" i="1" s="1"/>
  <c r="E36" i="1"/>
  <c r="E62" i="1" s="1"/>
  <c r="E65" i="1" s="1"/>
  <c r="I36" i="1"/>
  <c r="I62" i="1" s="1"/>
  <c r="I65" i="1" s="1"/>
  <c r="I76" i="1" s="1"/>
  <c r="G36" i="1"/>
  <c r="G62" i="1" s="1"/>
  <c r="G65" i="1" s="1"/>
  <c r="G76" i="1" s="1"/>
  <c r="I55" i="1"/>
  <c r="I57" i="1" s="1"/>
  <c r="G57" i="1"/>
  <c r="E153" i="11" l="1"/>
  <c r="E156" i="11" s="1"/>
  <c r="E25" i="11"/>
  <c r="E7" i="11"/>
  <c r="E21" i="11"/>
  <c r="F185" i="11"/>
  <c r="E27" i="11"/>
  <c r="E24" i="11"/>
  <c r="E125" i="11"/>
  <c r="E126" i="11" s="1"/>
  <c r="E133" i="11"/>
  <c r="E15" i="11"/>
  <c r="F65" i="1"/>
  <c r="F76" i="1" s="1"/>
  <c r="E22" i="11"/>
  <c r="E36" i="11"/>
  <c r="E9" i="11"/>
  <c r="E44" i="11"/>
  <c r="E11" i="11"/>
  <c r="E138" i="11"/>
  <c r="E162" i="11"/>
  <c r="E20" i="11"/>
  <c r="I185" i="11"/>
  <c r="I182" i="11"/>
  <c r="G182" i="11"/>
  <c r="G185" i="11"/>
  <c r="F182" i="11"/>
  <c r="E185" i="11"/>
  <c r="E26" i="11"/>
  <c r="H185" i="11"/>
  <c r="E91" i="11"/>
  <c r="E98" i="11" s="1"/>
  <c r="E97" i="11" s="1"/>
  <c r="E88" i="11"/>
  <c r="E60" i="11"/>
  <c r="E54" i="11"/>
  <c r="E145" i="11" s="1"/>
  <c r="E55" i="11"/>
  <c r="E146" i="11" s="1"/>
  <c r="F2" i="11"/>
  <c r="M94" i="1"/>
  <c r="M95" i="1" s="1"/>
  <c r="N92" i="1" s="1"/>
  <c r="I95" i="1"/>
  <c r="I11" i="1"/>
  <c r="L24" i="1"/>
  <c r="K28" i="1"/>
  <c r="K25" i="1"/>
  <c r="K26" i="1" s="1"/>
  <c r="G121" i="1"/>
  <c r="F130" i="11" l="1"/>
  <c r="F161" i="11"/>
  <c r="F163" i="11"/>
  <c r="F157" i="11"/>
  <c r="F38" i="11"/>
  <c r="F46" i="11"/>
  <c r="F48" i="11" s="1"/>
  <c r="F45" i="11"/>
  <c r="F117" i="11"/>
  <c r="F113" i="11"/>
  <c r="F111" i="11"/>
  <c r="F112" i="11"/>
  <c r="F109" i="11"/>
  <c r="F110" i="11"/>
  <c r="F114" i="11"/>
  <c r="F108" i="11"/>
  <c r="E48" i="11"/>
  <c r="E107" i="11"/>
  <c r="E118" i="11" s="1"/>
  <c r="F64" i="11"/>
  <c r="F63" i="11"/>
  <c r="F83" i="11"/>
  <c r="F82" i="11"/>
  <c r="F84" i="11"/>
  <c r="F75" i="11"/>
  <c r="F81" i="11"/>
  <c r="F85" i="11"/>
  <c r="F79" i="11"/>
  <c r="F78" i="11"/>
  <c r="F62" i="11"/>
  <c r="F71" i="11"/>
  <c r="F95" i="11"/>
  <c r="F96" i="11"/>
  <c r="F94" i="11"/>
  <c r="F93" i="11"/>
  <c r="F92" i="11"/>
  <c r="F80" i="11"/>
  <c r="F86" i="11"/>
  <c r="F76" i="11"/>
  <c r="F74" i="11"/>
  <c r="E77" i="11"/>
  <c r="F72" i="11"/>
  <c r="F73" i="11"/>
  <c r="F57" i="11"/>
  <c r="F56" i="11"/>
  <c r="F61" i="11"/>
  <c r="F58" i="11"/>
  <c r="F65" i="11"/>
  <c r="E59" i="11"/>
  <c r="E66" i="11" s="1"/>
  <c r="F52" i="11"/>
  <c r="F70" i="11"/>
  <c r="F53" i="11"/>
  <c r="F37" i="11"/>
  <c r="F123" i="11"/>
  <c r="F124" i="11"/>
  <c r="F127" i="11"/>
  <c r="F131" i="11"/>
  <c r="F136" i="11"/>
  <c r="F116" i="11"/>
  <c r="F139" i="11"/>
  <c r="F137" i="11"/>
  <c r="F115" i="11"/>
  <c r="E51" i="11"/>
  <c r="F40" i="11"/>
  <c r="I26" i="11"/>
  <c r="I161" i="11" s="1"/>
  <c r="F155" i="11"/>
  <c r="F154" i="11"/>
  <c r="F148" i="11"/>
  <c r="F134" i="11"/>
  <c r="F132" i="11"/>
  <c r="F119" i="11"/>
  <c r="F41" i="11"/>
  <c r="F39" i="11"/>
  <c r="F34" i="11"/>
  <c r="F42" i="11"/>
  <c r="F99" i="11"/>
  <c r="F32" i="11"/>
  <c r="F13" i="11"/>
  <c r="F31" i="11"/>
  <c r="F7" i="11" s="1"/>
  <c r="F91" i="11"/>
  <c r="F88" i="11"/>
  <c r="E147" i="11"/>
  <c r="E149" i="11" s="1"/>
  <c r="F67" i="11"/>
  <c r="F60" i="11"/>
  <c r="F55" i="11"/>
  <c r="F146" i="11" s="1"/>
  <c r="F54" i="11"/>
  <c r="F145" i="11" s="1"/>
  <c r="E33" i="11"/>
  <c r="E16" i="11"/>
  <c r="E19" i="11"/>
  <c r="E8" i="11"/>
  <c r="E17" i="11"/>
  <c r="G2" i="11"/>
  <c r="F3" i="11"/>
  <c r="N94" i="1"/>
  <c r="N95" i="1" s="1"/>
  <c r="M24" i="1"/>
  <c r="L25" i="1"/>
  <c r="L28" i="1"/>
  <c r="L26" i="1"/>
  <c r="H121" i="1"/>
  <c r="G130" i="11" l="1"/>
  <c r="G161" i="11"/>
  <c r="F165" i="11"/>
  <c r="G157" i="11"/>
  <c r="G163" i="11"/>
  <c r="F23" i="11"/>
  <c r="F18" i="11"/>
  <c r="M26" i="11"/>
  <c r="M161" i="11" s="1"/>
  <c r="F25" i="11"/>
  <c r="F153" i="11"/>
  <c r="G38" i="11"/>
  <c r="F27" i="11"/>
  <c r="F24" i="11"/>
  <c r="F125" i="11"/>
  <c r="F133" i="11"/>
  <c r="G46" i="11"/>
  <c r="G48" i="11" s="1"/>
  <c r="G45" i="11"/>
  <c r="F15" i="11"/>
  <c r="G117" i="11"/>
  <c r="F21" i="11"/>
  <c r="F22" i="11"/>
  <c r="G113" i="11"/>
  <c r="G111" i="11"/>
  <c r="G112" i="11"/>
  <c r="G109" i="11"/>
  <c r="G110" i="11"/>
  <c r="G108" i="11"/>
  <c r="G114" i="11"/>
  <c r="G64" i="11"/>
  <c r="G63" i="11"/>
  <c r="G83" i="11"/>
  <c r="G82" i="11"/>
  <c r="G84" i="11"/>
  <c r="G75" i="11"/>
  <c r="G81" i="11"/>
  <c r="G85" i="11"/>
  <c r="G79" i="11"/>
  <c r="G78" i="11"/>
  <c r="G62" i="11"/>
  <c r="G71" i="11"/>
  <c r="G95" i="11"/>
  <c r="F98" i="11"/>
  <c r="F97" i="11" s="1"/>
  <c r="G96" i="11"/>
  <c r="G94" i="11"/>
  <c r="G93" i="11"/>
  <c r="G92" i="11"/>
  <c r="E87" i="11"/>
  <c r="G80" i="11"/>
  <c r="G86" i="11"/>
  <c r="F77" i="11"/>
  <c r="F87" i="11" s="1"/>
  <c r="G76" i="11"/>
  <c r="G74" i="11"/>
  <c r="G72" i="11"/>
  <c r="G73" i="11"/>
  <c r="G57" i="11"/>
  <c r="G56" i="11"/>
  <c r="G61" i="11"/>
  <c r="G58" i="11"/>
  <c r="G65" i="11"/>
  <c r="F59" i="11"/>
  <c r="F66" i="11" s="1"/>
  <c r="G52" i="11"/>
  <c r="G70" i="11"/>
  <c r="G53" i="11"/>
  <c r="F36" i="11"/>
  <c r="F9" i="11"/>
  <c r="G37" i="11"/>
  <c r="F44" i="11"/>
  <c r="F11" i="11"/>
  <c r="F138" i="11"/>
  <c r="G127" i="11"/>
  <c r="G123" i="11"/>
  <c r="G124" i="11"/>
  <c r="G131" i="11"/>
  <c r="G136" i="11"/>
  <c r="G116" i="11"/>
  <c r="G137" i="11"/>
  <c r="G139" i="11"/>
  <c r="F20" i="11"/>
  <c r="G115" i="11"/>
  <c r="F51" i="11"/>
  <c r="F107" i="11"/>
  <c r="F118" i="11" s="1"/>
  <c r="F47" i="11"/>
  <c r="G40" i="11"/>
  <c r="G155" i="11"/>
  <c r="G154" i="11"/>
  <c r="E164" i="11"/>
  <c r="G148" i="11"/>
  <c r="G134" i="11"/>
  <c r="G132" i="11"/>
  <c r="G119" i="11"/>
  <c r="F26" i="11"/>
  <c r="J26" i="11" s="1"/>
  <c r="J161" i="11" s="1"/>
  <c r="F162" i="11"/>
  <c r="G41" i="11"/>
  <c r="G39" i="11"/>
  <c r="G34" i="11"/>
  <c r="G42" i="11"/>
  <c r="G99" i="11"/>
  <c r="G32" i="11"/>
  <c r="G13" i="11"/>
  <c r="G31" i="11"/>
  <c r="G91" i="11"/>
  <c r="G88" i="11"/>
  <c r="G67" i="11"/>
  <c r="F147" i="11"/>
  <c r="F149" i="11" s="1"/>
  <c r="G60" i="11"/>
  <c r="G54" i="11"/>
  <c r="G145" i="11" s="1"/>
  <c r="G55" i="11"/>
  <c r="G146" i="11" s="1"/>
  <c r="F33" i="11"/>
  <c r="F19" i="11"/>
  <c r="F17" i="11"/>
  <c r="F8" i="11"/>
  <c r="F16" i="11"/>
  <c r="H2" i="11"/>
  <c r="G3" i="11"/>
  <c r="N24" i="1"/>
  <c r="M28" i="1"/>
  <c r="M25" i="1"/>
  <c r="M26" i="1" s="1"/>
  <c r="I121" i="1"/>
  <c r="H130" i="11" l="1"/>
  <c r="H38" i="11"/>
  <c r="H161" i="11"/>
  <c r="G165" i="11"/>
  <c r="H157" i="11"/>
  <c r="H163" i="11"/>
  <c r="G23" i="11"/>
  <c r="G18" i="11"/>
  <c r="F101" i="11"/>
  <c r="F103" i="11" s="1"/>
  <c r="G25" i="11"/>
  <c r="G153" i="11"/>
  <c r="F150" i="11"/>
  <c r="H136" i="11"/>
  <c r="G27" i="11"/>
  <c r="G24" i="11"/>
  <c r="G125" i="11"/>
  <c r="G126" i="11" s="1"/>
  <c r="H45" i="11"/>
  <c r="H46" i="11"/>
  <c r="G133" i="11"/>
  <c r="G15" i="11"/>
  <c r="H117" i="11"/>
  <c r="I117" i="11" s="1"/>
  <c r="G21" i="11"/>
  <c r="G22" i="11"/>
  <c r="H113" i="11"/>
  <c r="M113" i="11" s="1"/>
  <c r="H111" i="11"/>
  <c r="H112" i="11"/>
  <c r="H109" i="11"/>
  <c r="H110" i="11"/>
  <c r="H108" i="11"/>
  <c r="H114" i="11"/>
  <c r="H64" i="11"/>
  <c r="I64" i="11" s="1"/>
  <c r="H63" i="11"/>
  <c r="M63" i="11" s="1"/>
  <c r="H83" i="11"/>
  <c r="K83" i="11" s="1"/>
  <c r="E101" i="11"/>
  <c r="E103" i="11" s="1"/>
  <c r="H82" i="11"/>
  <c r="K82" i="11" s="1"/>
  <c r="H84" i="11"/>
  <c r="K84" i="11" s="1"/>
  <c r="H75" i="11"/>
  <c r="J75" i="11" s="1"/>
  <c r="H81" i="11"/>
  <c r="I81" i="11" s="1"/>
  <c r="H85" i="11"/>
  <c r="H79" i="11"/>
  <c r="I79" i="11" s="1"/>
  <c r="H78" i="11"/>
  <c r="H62" i="11"/>
  <c r="J62" i="11" s="1"/>
  <c r="H71" i="11"/>
  <c r="H95" i="11"/>
  <c r="K95" i="11" s="1"/>
  <c r="G98" i="11"/>
  <c r="G97" i="11" s="1"/>
  <c r="H96" i="11"/>
  <c r="I96" i="11" s="1"/>
  <c r="H94" i="11"/>
  <c r="L94" i="11" s="1"/>
  <c r="H93" i="11"/>
  <c r="L93" i="11" s="1"/>
  <c r="H92" i="11"/>
  <c r="K92" i="11" s="1"/>
  <c r="H80" i="11"/>
  <c r="L80" i="11" s="1"/>
  <c r="H86" i="11"/>
  <c r="J86" i="11" s="1"/>
  <c r="G77" i="11"/>
  <c r="G87" i="11" s="1"/>
  <c r="H76" i="11"/>
  <c r="H74" i="11"/>
  <c r="M74" i="11" s="1"/>
  <c r="H72" i="11"/>
  <c r="H73" i="11"/>
  <c r="G147" i="11"/>
  <c r="G149" i="11" s="1"/>
  <c r="H57" i="11"/>
  <c r="M57" i="11" s="1"/>
  <c r="H56" i="11"/>
  <c r="I56" i="11" s="1"/>
  <c r="H61" i="11"/>
  <c r="I61" i="11" s="1"/>
  <c r="H58" i="11"/>
  <c r="H65" i="11"/>
  <c r="I65" i="11" s="1"/>
  <c r="G59" i="11"/>
  <c r="G66" i="11" s="1"/>
  <c r="H52" i="11"/>
  <c r="H70" i="11"/>
  <c r="H53" i="11"/>
  <c r="G36" i="11"/>
  <c r="G9" i="11"/>
  <c r="G44" i="11"/>
  <c r="H37" i="11"/>
  <c r="G11" i="11"/>
  <c r="G138" i="11"/>
  <c r="H124" i="11"/>
  <c r="H127" i="11"/>
  <c r="H123" i="11"/>
  <c r="H131" i="11"/>
  <c r="I131" i="11" s="1"/>
  <c r="H116" i="11"/>
  <c r="H137" i="11"/>
  <c r="H139" i="11"/>
  <c r="G20" i="11"/>
  <c r="H115" i="11"/>
  <c r="G51" i="11"/>
  <c r="H40" i="11"/>
  <c r="G107" i="11"/>
  <c r="G118" i="11" s="1"/>
  <c r="G47" i="11"/>
  <c r="G160" i="11"/>
  <c r="H155" i="11"/>
  <c r="H154" i="11"/>
  <c r="E120" i="11"/>
  <c r="H148" i="11"/>
  <c r="H134" i="11"/>
  <c r="H119" i="11"/>
  <c r="H132" i="11"/>
  <c r="H27" i="11" s="1"/>
  <c r="G26" i="11"/>
  <c r="K26" i="11" s="1"/>
  <c r="K161" i="11" s="1"/>
  <c r="H41" i="11"/>
  <c r="H42" i="11"/>
  <c r="H39" i="11"/>
  <c r="H34" i="11"/>
  <c r="H31" i="11"/>
  <c r="H32" i="11"/>
  <c r="H13" i="11"/>
  <c r="D169" i="11" s="1"/>
  <c r="H99" i="11"/>
  <c r="H91" i="11"/>
  <c r="H88" i="11"/>
  <c r="H67" i="11"/>
  <c r="H55" i="11"/>
  <c r="H146" i="11" s="1"/>
  <c r="H54" i="11"/>
  <c r="H145" i="11" s="1"/>
  <c r="H60" i="11"/>
  <c r="G7" i="11"/>
  <c r="G16" i="11"/>
  <c r="G33" i="11"/>
  <c r="G19" i="11"/>
  <c r="G17" i="11"/>
  <c r="G8" i="11"/>
  <c r="H3" i="11"/>
  <c r="I2" i="11"/>
  <c r="J2" i="11" s="1"/>
  <c r="K2" i="11" s="1"/>
  <c r="L2" i="11" s="1"/>
  <c r="M2" i="11" s="1"/>
  <c r="N25" i="1"/>
  <c r="N26" i="1" s="1"/>
  <c r="N28" i="1"/>
  <c r="E74" i="1"/>
  <c r="E76" i="1"/>
  <c r="F77" i="1" s="1"/>
  <c r="E19" i="1"/>
  <c r="J19" i="1" s="1"/>
  <c r="E99" i="1"/>
  <c r="E100" i="1"/>
  <c r="E101" i="1" s="1"/>
  <c r="F98" i="1"/>
  <c r="F100" i="1" s="1"/>
  <c r="H15" i="11" l="1"/>
  <c r="D15" i="11" s="1"/>
  <c r="I12" i="11"/>
  <c r="H165" i="11"/>
  <c r="G162" i="11"/>
  <c r="G164" i="11" s="1"/>
  <c r="H23" i="11"/>
  <c r="K23" i="11" s="1"/>
  <c r="I58" i="11"/>
  <c r="H18" i="11"/>
  <c r="D18" i="11" s="1"/>
  <c r="I92" i="11"/>
  <c r="L92" i="11"/>
  <c r="J92" i="11"/>
  <c r="M92" i="11"/>
  <c r="H25" i="11"/>
  <c r="M25" i="11" s="1"/>
  <c r="I63" i="11"/>
  <c r="K80" i="11"/>
  <c r="K81" i="11"/>
  <c r="M75" i="11"/>
  <c r="J82" i="11"/>
  <c r="J74" i="11"/>
  <c r="H153" i="11"/>
  <c r="L63" i="11"/>
  <c r="J80" i="11"/>
  <c r="I74" i="11"/>
  <c r="L64" i="11"/>
  <c r="K75" i="11"/>
  <c r="I82" i="11"/>
  <c r="M64" i="11"/>
  <c r="L82" i="11"/>
  <c r="M82" i="11"/>
  <c r="J83" i="11"/>
  <c r="I80" i="11"/>
  <c r="M80" i="11"/>
  <c r="I75" i="11"/>
  <c r="L75" i="11"/>
  <c r="K74" i="11"/>
  <c r="L74" i="11"/>
  <c r="M86" i="11"/>
  <c r="L86" i="11"/>
  <c r="L57" i="11"/>
  <c r="L62" i="11"/>
  <c r="L84" i="11"/>
  <c r="L81" i="11"/>
  <c r="J81" i="11"/>
  <c r="J95" i="11"/>
  <c r="K94" i="11"/>
  <c r="L95" i="11"/>
  <c r="L65" i="11"/>
  <c r="J63" i="11"/>
  <c r="L79" i="11"/>
  <c r="M58" i="11"/>
  <c r="J96" i="11"/>
  <c r="M96" i="11"/>
  <c r="I86" i="11"/>
  <c r="I57" i="11"/>
  <c r="J56" i="11"/>
  <c r="M95" i="11"/>
  <c r="K61" i="11"/>
  <c r="K63" i="11"/>
  <c r="I83" i="11"/>
  <c r="J65" i="11"/>
  <c r="L83" i="11"/>
  <c r="I95" i="11"/>
  <c r="J61" i="11"/>
  <c r="J64" i="11"/>
  <c r="M83" i="11"/>
  <c r="L56" i="11"/>
  <c r="J58" i="11"/>
  <c r="M81" i="11"/>
  <c r="K64" i="11"/>
  <c r="I62" i="11"/>
  <c r="I84" i="11"/>
  <c r="M62" i="11"/>
  <c r="J84" i="11"/>
  <c r="K58" i="11"/>
  <c r="M79" i="11"/>
  <c r="J57" i="11"/>
  <c r="K57" i="11"/>
  <c r="K86" i="11"/>
  <c r="M61" i="11"/>
  <c r="K79" i="11"/>
  <c r="L58" i="11"/>
  <c r="J79" i="11"/>
  <c r="K93" i="11"/>
  <c r="J93" i="11"/>
  <c r="M65" i="11"/>
  <c r="M93" i="11"/>
  <c r="J94" i="11"/>
  <c r="L96" i="11"/>
  <c r="L61" i="11"/>
  <c r="I93" i="11"/>
  <c r="K56" i="11"/>
  <c r="K96" i="11"/>
  <c r="M56" i="11"/>
  <c r="I94" i="11"/>
  <c r="K62" i="11"/>
  <c r="K65" i="11"/>
  <c r="M94" i="11"/>
  <c r="M84" i="11"/>
  <c r="J117" i="11"/>
  <c r="I113" i="11"/>
  <c r="J113" i="11"/>
  <c r="K113" i="11"/>
  <c r="L117" i="11"/>
  <c r="M117" i="11"/>
  <c r="L113" i="11"/>
  <c r="K117" i="11"/>
  <c r="I132" i="11"/>
  <c r="J131" i="11"/>
  <c r="K131" i="11" s="1"/>
  <c r="H24" i="11"/>
  <c r="H125" i="11"/>
  <c r="H126" i="11" s="1"/>
  <c r="H133" i="11"/>
  <c r="G150" i="11"/>
  <c r="H21" i="11"/>
  <c r="H22" i="11"/>
  <c r="G101" i="11"/>
  <c r="G103" i="11" s="1"/>
  <c r="H98" i="11"/>
  <c r="H97" i="11" s="1"/>
  <c r="J97" i="11" s="1"/>
  <c r="H77" i="11"/>
  <c r="H87" i="11" s="1"/>
  <c r="H59" i="11"/>
  <c r="H66" i="11" s="1"/>
  <c r="H36" i="11"/>
  <c r="H47" i="11"/>
  <c r="D47" i="11" s="1"/>
  <c r="H48" i="11"/>
  <c r="H9" i="11"/>
  <c r="I9" i="11" s="1"/>
  <c r="H44" i="11"/>
  <c r="H11" i="11"/>
  <c r="H138" i="11"/>
  <c r="I137" i="11" s="1"/>
  <c r="D10" i="11"/>
  <c r="H51" i="11"/>
  <c r="D13" i="11"/>
  <c r="I13" i="11"/>
  <c r="L13" i="11"/>
  <c r="M13" i="11"/>
  <c r="H20" i="11"/>
  <c r="L20" i="11" s="1"/>
  <c r="J13" i="11"/>
  <c r="K13" i="11"/>
  <c r="F164" i="11"/>
  <c r="H107" i="11"/>
  <c r="H118" i="11" s="1"/>
  <c r="I27" i="11"/>
  <c r="H26" i="11"/>
  <c r="L26" i="11" s="1"/>
  <c r="L161" i="11" s="1"/>
  <c r="H147" i="11"/>
  <c r="H149" i="11" s="1"/>
  <c r="H17" i="11"/>
  <c r="J17" i="11" s="1"/>
  <c r="H8" i="11"/>
  <c r="J8" i="11" s="1"/>
  <c r="H19" i="11"/>
  <c r="M19" i="11" s="1"/>
  <c r="H33" i="11"/>
  <c r="H7" i="11"/>
  <c r="I6" i="11" s="1"/>
  <c r="H16" i="11"/>
  <c r="J16" i="11" s="1"/>
  <c r="J99" i="1"/>
  <c r="J72" i="1"/>
  <c r="J74" i="1" s="1"/>
  <c r="F101" i="1"/>
  <c r="G98" i="1"/>
  <c r="G100" i="1" s="1"/>
  <c r="F78" i="1"/>
  <c r="F80" i="1" s="1"/>
  <c r="G77" i="1"/>
  <c r="E78" i="1"/>
  <c r="E80" i="1" s="1"/>
  <c r="J20" i="11" l="1"/>
  <c r="K20" i="11"/>
  <c r="M20" i="11"/>
  <c r="I16" i="11"/>
  <c r="M16" i="11"/>
  <c r="L16" i="11"/>
  <c r="K16" i="11"/>
  <c r="I20" i="11"/>
  <c r="K9" i="11"/>
  <c r="M9" i="11"/>
  <c r="L9" i="11"/>
  <c r="J9" i="11"/>
  <c r="M7" i="11"/>
  <c r="K25" i="11"/>
  <c r="J25" i="11"/>
  <c r="D25" i="11"/>
  <c r="L25" i="11"/>
  <c r="I25" i="11"/>
  <c r="L97" i="11"/>
  <c r="K97" i="11"/>
  <c r="I97" i="11"/>
  <c r="M97" i="11"/>
  <c r="J21" i="11"/>
  <c r="D24" i="11"/>
  <c r="L131" i="11"/>
  <c r="M131" i="11" s="1"/>
  <c r="I24" i="11"/>
  <c r="J132" i="11"/>
  <c r="M15" i="11"/>
  <c r="K15" i="11"/>
  <c r="I15" i="11"/>
  <c r="L15" i="11"/>
  <c r="J15" i="11"/>
  <c r="K18" i="11"/>
  <c r="L18" i="11"/>
  <c r="I18" i="11"/>
  <c r="M18" i="11"/>
  <c r="J18" i="11"/>
  <c r="D23" i="11"/>
  <c r="M23" i="11"/>
  <c r="L23" i="11"/>
  <c r="I23" i="11"/>
  <c r="J23" i="11"/>
  <c r="D21" i="11"/>
  <c r="H150" i="11"/>
  <c r="I21" i="11"/>
  <c r="L21" i="11"/>
  <c r="M21" i="11"/>
  <c r="K21" i="11"/>
  <c r="L22" i="11"/>
  <c r="M22" i="11"/>
  <c r="D22" i="11"/>
  <c r="K22" i="11"/>
  <c r="I22" i="11"/>
  <c r="J22" i="11"/>
  <c r="H101" i="11"/>
  <c r="H103" i="11" s="1"/>
  <c r="G120" i="11"/>
  <c r="D36" i="11"/>
  <c r="D9" i="11"/>
  <c r="I10" i="11"/>
  <c r="D11" i="11"/>
  <c r="M11" i="11"/>
  <c r="I11" i="11"/>
  <c r="L11" i="11"/>
  <c r="J11" i="11"/>
  <c r="K11" i="11"/>
  <c r="I7" i="11"/>
  <c r="I31" i="11" s="1"/>
  <c r="E186" i="11" s="1"/>
  <c r="F120" i="11"/>
  <c r="E141" i="11"/>
  <c r="L10" i="11"/>
  <c r="D7" i="11"/>
  <c r="N13" i="11"/>
  <c r="O13" i="11" s="1"/>
  <c r="D20" i="11"/>
  <c r="D12" i="11"/>
  <c r="D8" i="11"/>
  <c r="L17" i="11"/>
  <c r="K17" i="11"/>
  <c r="I17" i="11"/>
  <c r="L19" i="11"/>
  <c r="K12" i="11"/>
  <c r="I19" i="11"/>
  <c r="K19" i="11"/>
  <c r="L12" i="11"/>
  <c r="M12" i="11"/>
  <c r="M17" i="11"/>
  <c r="J19" i="11"/>
  <c r="J12" i="11"/>
  <c r="M10" i="11"/>
  <c r="J10" i="11"/>
  <c r="K10" i="11"/>
  <c r="L8" i="11"/>
  <c r="I8" i="11"/>
  <c r="M8" i="11"/>
  <c r="K8" i="11"/>
  <c r="H160" i="11"/>
  <c r="J27" i="11"/>
  <c r="H98" i="1"/>
  <c r="H100" i="1" s="1"/>
  <c r="G101" i="1"/>
  <c r="G78" i="1"/>
  <c r="G80" i="1" s="1"/>
  <c r="H77" i="1"/>
  <c r="E192" i="11" l="1"/>
  <c r="I145" i="11"/>
  <c r="I154" i="11"/>
  <c r="I123" i="11" s="1"/>
  <c r="J7" i="11"/>
  <c r="I76" i="11"/>
  <c r="H162" i="11"/>
  <c r="H164" i="11" s="1"/>
  <c r="I85" i="11"/>
  <c r="I38" i="11"/>
  <c r="I73" i="11"/>
  <c r="K132" i="11"/>
  <c r="L132" i="11" s="1"/>
  <c r="I130" i="11"/>
  <c r="I133" i="11" s="1"/>
  <c r="J24" i="11"/>
  <c r="N18" i="11"/>
  <c r="I37" i="11"/>
  <c r="N11" i="11"/>
  <c r="F141" i="11"/>
  <c r="N12" i="11"/>
  <c r="O12" i="11" s="1"/>
  <c r="N8" i="11"/>
  <c r="O8" i="11" s="1"/>
  <c r="N10" i="11"/>
  <c r="O10" i="11" s="1"/>
  <c r="N19" i="11"/>
  <c r="O19" i="11" s="1"/>
  <c r="N17" i="11"/>
  <c r="O17" i="11" s="1"/>
  <c r="K7" i="11"/>
  <c r="L7" i="11"/>
  <c r="K27" i="11"/>
  <c r="G141" i="11"/>
  <c r="I77" i="1"/>
  <c r="H78" i="1"/>
  <c r="H80" i="1" s="1"/>
  <c r="H101" i="1"/>
  <c r="I98" i="1"/>
  <c r="I100" i="1" s="1"/>
  <c r="I160" i="11" l="1"/>
  <c r="I162" i="11" s="1"/>
  <c r="I78" i="11" s="1"/>
  <c r="K24" i="11"/>
  <c r="L24" i="11" s="1"/>
  <c r="M132" i="11"/>
  <c r="N9" i="11"/>
  <c r="I78" i="1"/>
  <c r="J77" i="1"/>
  <c r="J78" i="1" s="1"/>
  <c r="H120" i="11"/>
  <c r="J31" i="11"/>
  <c r="F186" i="11" s="1"/>
  <c r="F192" i="11" s="1"/>
  <c r="I32" i="11"/>
  <c r="N7" i="11"/>
  <c r="O7" i="11" s="1"/>
  <c r="L27" i="11"/>
  <c r="J98" i="1"/>
  <c r="J100" i="1" s="1"/>
  <c r="I101" i="1"/>
  <c r="J76" i="11" l="1"/>
  <c r="K31" i="11"/>
  <c r="I164" i="11"/>
  <c r="I39" i="11" s="1"/>
  <c r="I165" i="11" s="1"/>
  <c r="J160" i="11"/>
  <c r="J162" i="11" s="1"/>
  <c r="J78" i="11" s="1"/>
  <c r="J85" i="11"/>
  <c r="J38" i="11"/>
  <c r="J73" i="11"/>
  <c r="I148" i="11"/>
  <c r="I72" i="11"/>
  <c r="I40" i="11"/>
  <c r="I36" i="11" s="1"/>
  <c r="J130" i="11"/>
  <c r="J133" i="11" s="1"/>
  <c r="M24" i="11"/>
  <c r="I54" i="11"/>
  <c r="J37" i="11"/>
  <c r="I147" i="11"/>
  <c r="I71" i="11" s="1"/>
  <c r="I80" i="1"/>
  <c r="D137" i="1"/>
  <c r="H138" i="1"/>
  <c r="H139" i="1" s="1"/>
  <c r="D131" i="1" s="1"/>
  <c r="D132" i="1" s="1"/>
  <c r="H203" i="11"/>
  <c r="D175" i="11" s="1"/>
  <c r="I146" i="11"/>
  <c r="I55" i="11" s="1"/>
  <c r="J32" i="11"/>
  <c r="J72" i="11" s="1"/>
  <c r="J154" i="11"/>
  <c r="N16" i="11"/>
  <c r="O16" i="11" s="1"/>
  <c r="I33" i="11"/>
  <c r="J145" i="11"/>
  <c r="M27" i="11"/>
  <c r="J101" i="1"/>
  <c r="K98" i="1"/>
  <c r="K100" i="1" s="1"/>
  <c r="J49" i="1"/>
  <c r="J50" i="1" s="1"/>
  <c r="K76" i="11" l="1"/>
  <c r="G186" i="11"/>
  <c r="G192" i="11" s="1"/>
  <c r="N20" i="11"/>
  <c r="O20" i="11" s="1"/>
  <c r="J164" i="11"/>
  <c r="F188" i="11" s="1"/>
  <c r="K160" i="11"/>
  <c r="K162" i="11" s="1"/>
  <c r="K78" i="11" s="1"/>
  <c r="E188" i="11"/>
  <c r="K85" i="11"/>
  <c r="I41" i="11"/>
  <c r="K38" i="11"/>
  <c r="K73" i="11"/>
  <c r="I77" i="11"/>
  <c r="I87" i="11" s="1"/>
  <c r="D195" i="11"/>
  <c r="D196" i="11" s="1"/>
  <c r="I203" i="11"/>
  <c r="I149" i="11"/>
  <c r="I150" i="11" s="1"/>
  <c r="K130" i="11"/>
  <c r="K133" i="11" s="1"/>
  <c r="J123" i="11"/>
  <c r="J147" i="11"/>
  <c r="J71" i="11" s="1"/>
  <c r="J77" i="11" s="1"/>
  <c r="J87" i="11" s="1"/>
  <c r="J148" i="11"/>
  <c r="J54" i="11"/>
  <c r="J40" i="11"/>
  <c r="K37" i="11"/>
  <c r="K32" i="11"/>
  <c r="K72" i="11" s="1"/>
  <c r="K145" i="11"/>
  <c r="L31" i="11"/>
  <c r="K154" i="11"/>
  <c r="K123" i="11" s="1"/>
  <c r="H141" i="11"/>
  <c r="J33" i="11"/>
  <c r="J146" i="11"/>
  <c r="J55" i="11" s="1"/>
  <c r="J31" i="1"/>
  <c r="J32" i="1" s="1"/>
  <c r="E124" i="1"/>
  <c r="K49" i="1"/>
  <c r="K50" i="1" s="1"/>
  <c r="L98" i="1"/>
  <c r="L100" i="1" s="1"/>
  <c r="K101" i="1"/>
  <c r="J33" i="1"/>
  <c r="I116" i="11" l="1"/>
  <c r="L76" i="11"/>
  <c r="H186" i="11"/>
  <c r="H192" i="11" s="1"/>
  <c r="L160" i="11"/>
  <c r="L162" i="11" s="1"/>
  <c r="L164" i="11" s="1"/>
  <c r="H188" i="11" s="1"/>
  <c r="J39" i="11"/>
  <c r="J165" i="11" s="1"/>
  <c r="K164" i="11"/>
  <c r="G188" i="11" s="1"/>
  <c r="E187" i="11"/>
  <c r="I42" i="11"/>
  <c r="L85" i="11"/>
  <c r="L38" i="11"/>
  <c r="L73" i="11"/>
  <c r="J149" i="11"/>
  <c r="J150" i="11" s="1"/>
  <c r="L130" i="11"/>
  <c r="L133" i="11" s="1"/>
  <c r="K33" i="11"/>
  <c r="K148" i="11"/>
  <c r="K54" i="11"/>
  <c r="K40" i="11"/>
  <c r="L32" i="11"/>
  <c r="L72" i="11" s="1"/>
  <c r="L37" i="11"/>
  <c r="I45" i="11"/>
  <c r="I44" i="11" s="1"/>
  <c r="K146" i="11"/>
  <c r="K55" i="11" s="1"/>
  <c r="K147" i="11"/>
  <c r="K71" i="11" s="1"/>
  <c r="K77" i="11" s="1"/>
  <c r="K87" i="11" s="1"/>
  <c r="L154" i="11"/>
  <c r="L123" i="11" s="1"/>
  <c r="L145" i="11"/>
  <c r="M31" i="11"/>
  <c r="J35" i="1"/>
  <c r="J36" i="1" s="1"/>
  <c r="J62" i="1" s="1"/>
  <c r="J65" i="1" s="1"/>
  <c r="J76" i="1" s="1"/>
  <c r="E123" i="1"/>
  <c r="E125" i="1" s="1"/>
  <c r="K31" i="1"/>
  <c r="K32" i="1" s="1"/>
  <c r="K33" i="1" s="1"/>
  <c r="F124" i="1"/>
  <c r="L49" i="1"/>
  <c r="L50" i="1" s="1"/>
  <c r="M98" i="1"/>
  <c r="M100" i="1" s="1"/>
  <c r="L101" i="1"/>
  <c r="J116" i="11" l="1"/>
  <c r="F193" i="11"/>
  <c r="M76" i="11"/>
  <c r="I186" i="11"/>
  <c r="I192" i="11" s="1"/>
  <c r="K39" i="11"/>
  <c r="K165" i="11" s="1"/>
  <c r="L39" i="11"/>
  <c r="L165" i="11" s="1"/>
  <c r="J41" i="11"/>
  <c r="F187" i="11" s="1"/>
  <c r="L78" i="11"/>
  <c r="M160" i="11"/>
  <c r="M162" i="11" s="1"/>
  <c r="M164" i="11" s="1"/>
  <c r="I188" i="11" s="1"/>
  <c r="M85" i="11"/>
  <c r="M38" i="11"/>
  <c r="M73" i="11"/>
  <c r="K149" i="11"/>
  <c r="K150" i="11" s="1"/>
  <c r="M130" i="11"/>
  <c r="M133" i="11" s="1"/>
  <c r="L33" i="11"/>
  <c r="L148" i="11"/>
  <c r="L54" i="11"/>
  <c r="L40" i="11"/>
  <c r="L147" i="11"/>
  <c r="L71" i="11" s="1"/>
  <c r="L77" i="11" s="1"/>
  <c r="L146" i="11"/>
  <c r="L55" i="11" s="1"/>
  <c r="M32" i="11"/>
  <c r="M72" i="11" s="1"/>
  <c r="M37" i="11"/>
  <c r="I46" i="11"/>
  <c r="I91" i="11" s="1"/>
  <c r="M154" i="11"/>
  <c r="M145" i="11"/>
  <c r="K35" i="1"/>
  <c r="K36" i="1" s="1"/>
  <c r="K62" i="1" s="1"/>
  <c r="K65" i="1" s="1"/>
  <c r="K76" i="1" s="1"/>
  <c r="F123" i="1"/>
  <c r="F125" i="1" s="1"/>
  <c r="K77" i="1"/>
  <c r="J41" i="1"/>
  <c r="L31" i="1"/>
  <c r="L32" i="1" s="1"/>
  <c r="G124" i="1"/>
  <c r="E126" i="1"/>
  <c r="E130" i="1"/>
  <c r="E132" i="1" s="1"/>
  <c r="N98" i="1"/>
  <c r="N100" i="1" s="1"/>
  <c r="M49" i="1"/>
  <c r="M50" i="1" s="1"/>
  <c r="M101" i="1"/>
  <c r="L87" i="11" l="1"/>
  <c r="K116" i="11"/>
  <c r="G193" i="11"/>
  <c r="M78" i="11"/>
  <c r="M39" i="11"/>
  <c r="M165" i="11" s="1"/>
  <c r="K41" i="11"/>
  <c r="G187" i="11" s="1"/>
  <c r="L41" i="11"/>
  <c r="H187" i="11" s="1"/>
  <c r="J45" i="11"/>
  <c r="J44" i="11" s="1"/>
  <c r="M123" i="11"/>
  <c r="L149" i="11"/>
  <c r="L150" i="11" s="1"/>
  <c r="K78" i="1"/>
  <c r="M33" i="11"/>
  <c r="M148" i="11"/>
  <c r="M54" i="11"/>
  <c r="M40" i="11"/>
  <c r="M146" i="11"/>
  <c r="M55" i="11" s="1"/>
  <c r="I47" i="11"/>
  <c r="I48" i="11"/>
  <c r="M147" i="11"/>
  <c r="M71" i="11" s="1"/>
  <c r="M77" i="11" s="1"/>
  <c r="L33" i="1"/>
  <c r="M31" i="1"/>
  <c r="M32" i="1" s="1"/>
  <c r="M33" i="1" s="1"/>
  <c r="H124" i="1"/>
  <c r="L77" i="1"/>
  <c r="K41" i="1"/>
  <c r="K45" i="1" s="1"/>
  <c r="K53" i="1" s="1"/>
  <c r="K54" i="1" s="1"/>
  <c r="K55" i="1" s="1"/>
  <c r="K57" i="1" s="1"/>
  <c r="J80" i="1"/>
  <c r="J45" i="1"/>
  <c r="F126" i="1"/>
  <c r="F130" i="1" s="1"/>
  <c r="F132" i="1" s="1"/>
  <c r="N49" i="1"/>
  <c r="N50" i="1" s="1"/>
  <c r="N101" i="1"/>
  <c r="L116" i="11" l="1"/>
  <c r="H193" i="11"/>
  <c r="M87" i="11"/>
  <c r="M41" i="11"/>
  <c r="I187" i="11" s="1"/>
  <c r="K45" i="11"/>
  <c r="K44" i="11" s="1"/>
  <c r="L45" i="11"/>
  <c r="L44" i="11" s="1"/>
  <c r="J46" i="11"/>
  <c r="J91" i="11" s="1"/>
  <c r="M149" i="11"/>
  <c r="M150" i="11" s="1"/>
  <c r="K80" i="1"/>
  <c r="M35" i="1"/>
  <c r="M36" i="1" s="1"/>
  <c r="M62" i="1" s="1"/>
  <c r="M65" i="1" s="1"/>
  <c r="M76" i="1" s="1"/>
  <c r="H123" i="1"/>
  <c r="H125" i="1" s="1"/>
  <c r="L35" i="1"/>
  <c r="L36" i="1" s="1"/>
  <c r="L62" i="1" s="1"/>
  <c r="L65" i="1" s="1"/>
  <c r="L76" i="1" s="1"/>
  <c r="L78" i="1" s="1"/>
  <c r="G123" i="1"/>
  <c r="G125" i="1" s="1"/>
  <c r="N31" i="1"/>
  <c r="N32" i="1" s="1"/>
  <c r="N33" i="1" s="1"/>
  <c r="I124" i="1"/>
  <c r="J54" i="1"/>
  <c r="J55" i="1" s="1"/>
  <c r="J57" i="1" s="1"/>
  <c r="M116" i="11" l="1"/>
  <c r="I193" i="11"/>
  <c r="E193" i="11" s="1"/>
  <c r="M45" i="11"/>
  <c r="M44" i="11" s="1"/>
  <c r="K46" i="11"/>
  <c r="K91" i="11" s="1"/>
  <c r="L46" i="11"/>
  <c r="L47" i="11" s="1"/>
  <c r="J47" i="11"/>
  <c r="J48" i="11"/>
  <c r="N35" i="1"/>
  <c r="N36" i="1" s="1"/>
  <c r="N62" i="1" s="1"/>
  <c r="N65" i="1" s="1"/>
  <c r="N76" i="1" s="1"/>
  <c r="I123" i="1"/>
  <c r="I125" i="1" s="1"/>
  <c r="L41" i="1"/>
  <c r="L45" i="1" s="1"/>
  <c r="L53" i="1" s="1"/>
  <c r="L54" i="1" s="1"/>
  <c r="L55" i="1" s="1"/>
  <c r="L57" i="1" s="1"/>
  <c r="L80" i="1"/>
  <c r="G126" i="1"/>
  <c r="G130" i="1" s="1"/>
  <c r="G132" i="1" s="1"/>
  <c r="M77" i="1"/>
  <c r="N77" i="1" s="1"/>
  <c r="N78" i="1" s="1"/>
  <c r="N41" i="1" s="1"/>
  <c r="H126" i="1"/>
  <c r="H130" i="1"/>
  <c r="H132" i="1" s="1"/>
  <c r="M46" i="11" l="1"/>
  <c r="M47" i="11" s="1"/>
  <c r="L91" i="11"/>
  <c r="K48" i="11"/>
  <c r="K47" i="11"/>
  <c r="L48" i="11"/>
  <c r="N80" i="1"/>
  <c r="N45" i="1"/>
  <c r="N53" i="1" s="1"/>
  <c r="N54" i="1" s="1"/>
  <c r="N55" i="1" s="1"/>
  <c r="N57" i="1" s="1"/>
  <c r="M78" i="1"/>
  <c r="M41" i="1" s="1"/>
  <c r="I126" i="1"/>
  <c r="N120" i="1"/>
  <c r="I130" i="1"/>
  <c r="M91" i="11" l="1"/>
  <c r="M48" i="11"/>
  <c r="N46" i="11"/>
  <c r="N47" i="11"/>
  <c r="M80" i="1"/>
  <c r="M45" i="1"/>
  <c r="N119" i="1"/>
  <c r="N121" i="1" s="1"/>
  <c r="J131" i="1" s="1"/>
  <c r="J132" i="1" s="1"/>
  <c r="I132" i="1"/>
  <c r="D136" i="1" l="1"/>
  <c r="D139" i="1" s="1"/>
  <c r="D141" i="1" s="1"/>
  <c r="L136" i="1" s="1"/>
  <c r="L137" i="1"/>
  <c r="M53" i="1"/>
  <c r="M54" i="1" s="1"/>
  <c r="M55" i="1" s="1"/>
  <c r="M57" i="1" s="1"/>
  <c r="E189" i="11" l="1"/>
  <c r="E190" i="11" s="1"/>
  <c r="I107" i="11" l="1"/>
  <c r="J107" i="11" l="1"/>
  <c r="K107" i="11" l="1"/>
  <c r="L107" i="11" l="1"/>
  <c r="M107" i="11" l="1"/>
  <c r="F156" i="11"/>
  <c r="G156" i="11" s="1"/>
  <c r="H156" i="11" s="1"/>
  <c r="I153" i="11" s="1"/>
  <c r="I155" i="11" s="1"/>
  <c r="I115" i="11" s="1"/>
  <c r="I118" i="11" s="1"/>
  <c r="I156" i="11" l="1"/>
  <c r="J153" i="11" s="1"/>
  <c r="J155" i="11" s="1"/>
  <c r="J115" i="11" s="1"/>
  <c r="J118" i="11" s="1"/>
  <c r="I60" i="11" l="1"/>
  <c r="J156" i="11"/>
  <c r="E191" i="11" l="1"/>
  <c r="E194" i="11" s="1"/>
  <c r="E196" i="11" s="1"/>
  <c r="K153" i="11"/>
  <c r="K155" i="11" s="1"/>
  <c r="K115" i="11" s="1"/>
  <c r="K118" i="11" s="1"/>
  <c r="J60" i="11"/>
  <c r="F191" i="11" l="1"/>
  <c r="J42" i="11" l="1"/>
  <c r="K156" i="11"/>
  <c r="K60" i="11" s="1"/>
  <c r="G191" i="11" l="1"/>
  <c r="J36" i="11"/>
  <c r="F189" i="11"/>
  <c r="L153" i="11"/>
  <c r="L155" i="11" s="1"/>
  <c r="L115" i="11" s="1"/>
  <c r="L118" i="11" s="1"/>
  <c r="K42" i="11" l="1"/>
  <c r="F190" i="11"/>
  <c r="F194" i="11" s="1"/>
  <c r="F196" i="11" s="1"/>
  <c r="L156" i="11"/>
  <c r="K36" i="11" l="1"/>
  <c r="G189" i="11"/>
  <c r="L60" i="11"/>
  <c r="M153" i="11"/>
  <c r="M155" i="11" s="1"/>
  <c r="M115" i="11" s="1"/>
  <c r="M118" i="11" s="1"/>
  <c r="H191" i="11" l="1"/>
  <c r="G190" i="11"/>
  <c r="G194" i="11" s="1"/>
  <c r="G196" i="11" s="1"/>
  <c r="L42" i="11" l="1"/>
  <c r="M156" i="11"/>
  <c r="M60" i="11" s="1"/>
  <c r="I191" i="11" l="1"/>
  <c r="L36" i="11"/>
  <c r="H189" i="11"/>
  <c r="M42" i="11" l="1"/>
  <c r="H190" i="11"/>
  <c r="H194" i="11" s="1"/>
  <c r="H196" i="11" s="1"/>
  <c r="M36" i="11" l="1"/>
  <c r="I189" i="11"/>
  <c r="N184" i="11" s="1"/>
  <c r="I190" i="11" l="1"/>
  <c r="I194" i="11" s="1"/>
  <c r="I196" i="11" s="1"/>
  <c r="N35" i="11"/>
  <c r="N36" i="11"/>
  <c r="N183" i="11" l="1"/>
  <c r="N185" i="11" s="1"/>
  <c r="J195" i="11" s="1"/>
  <c r="J196" i="11" s="1"/>
  <c r="D200" i="11" s="1"/>
  <c r="O185" i="11" l="1"/>
  <c r="O186" i="11" s="1"/>
  <c r="E200" i="11"/>
  <c r="L201" i="11"/>
  <c r="D203" i="11" l="1"/>
  <c r="D205" i="11" s="1"/>
  <c r="I125" i="11"/>
  <c r="I126" i="11" s="1"/>
  <c r="I136" i="11" s="1"/>
  <c r="I138" i="11" s="1"/>
  <c r="F126" i="11"/>
  <c r="L200" i="11" l="1"/>
  <c r="J137" i="11"/>
  <c r="I53" i="11"/>
  <c r="I59" i="11" s="1"/>
  <c r="I66" i="11" s="1"/>
  <c r="J125" i="11"/>
  <c r="I98" i="11" l="1"/>
  <c r="I101" i="11" s="1"/>
  <c r="I103" i="11" s="1"/>
  <c r="I141" i="11"/>
  <c r="K125" i="11"/>
  <c r="J126" i="11"/>
  <c r="J136" i="11" s="1"/>
  <c r="J138" i="11" s="1"/>
  <c r="L125" i="11" l="1"/>
  <c r="K126" i="11"/>
  <c r="K136" i="11" s="1"/>
  <c r="K137" i="11"/>
  <c r="J53" i="11"/>
  <c r="J59" i="11" s="1"/>
  <c r="J66" i="11" s="1"/>
  <c r="J98" i="11" l="1"/>
  <c r="J101" i="11" s="1"/>
  <c r="J103" i="11" s="1"/>
  <c r="K138" i="11"/>
  <c r="L137" i="11" s="1"/>
  <c r="L126" i="11"/>
  <c r="L136" i="11" s="1"/>
  <c r="M125" i="11"/>
  <c r="M126" i="11" s="1"/>
  <c r="M136" i="11" s="1"/>
  <c r="J141" i="11"/>
  <c r="K53" i="11" l="1"/>
  <c r="K59" i="11" s="1"/>
  <c r="K66" i="11" s="1"/>
  <c r="L138" i="11"/>
  <c r="M137" i="11" s="1"/>
  <c r="M138" i="11" s="1"/>
  <c r="K98" i="11" l="1"/>
  <c r="K101" i="11" s="1"/>
  <c r="K103" i="11" s="1"/>
  <c r="K141" i="11"/>
  <c r="L53" i="11"/>
  <c r="L59" i="11" s="1"/>
  <c r="L66" i="11" s="1"/>
  <c r="M53" i="11"/>
  <c r="M59" i="11" s="1"/>
  <c r="M66" i="11" s="1"/>
  <c r="M98" i="11" l="1"/>
  <c r="M101" i="11" s="1"/>
  <c r="M103" i="11" s="1"/>
  <c r="L98" i="11"/>
  <c r="L101" i="11" s="1"/>
  <c r="L103" i="11" s="1"/>
  <c r="L141" i="11"/>
  <c r="M14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Lutz PC</author>
  </authors>
  <commentList>
    <comment ref="A64" authorId="0" shapeId="0" xr:uid="{FFDDC9EF-C0C3-4C9F-AAD0-95A328D39A21}">
      <text>
        <r>
          <rPr>
            <b/>
            <sz val="9"/>
            <color indexed="81"/>
            <rFont val="Tahoma"/>
            <family val="2"/>
          </rPr>
          <t>Lutz PC:</t>
        </r>
        <r>
          <rPr>
            <sz val="9"/>
            <color indexed="81"/>
            <rFont val="Tahoma"/>
            <family val="2"/>
          </rPr>
          <t xml:space="preserve">
This may need further data to auto calculate or maybe is in the data pull already?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54DA25-6F4E-4F56-BA1F-454855A69DC7}" keepAlive="1" name="Query - AverageInflation" description="Connection to the 'AverageInflation' query in the workbook." type="5" refreshedVersion="8" background="1" saveData="1">
    <dbPr connection="Provider=Microsoft.Mashup.OleDb.1;Data Source=$Workbook$;Location=AverageInflation;Extended Properties=&quot;&quot;" command="SELECT * FROM [AverageInflation]"/>
  </connection>
  <connection id="2" xr16:uid="{D5B3C6E7-1911-416A-BD1C-4729C05508D3}" keepAlive="1" name="Query - BalanceSheet" description="Connection to the 'BalanceSheet' query in the workbook." type="5" refreshedVersion="8" background="1" saveData="1">
    <dbPr connection="Provider=Microsoft.Mashup.OleDb.1;Data Source=$Workbook$;Location=BalanceSheet;Extended Properties=&quot;&quot;" command="SELECT * FROM [BalanceSheet]"/>
  </connection>
  <connection id="3" xr16:uid="{D9D2B14C-56F2-4D08-8386-F7F7C49C3DC8}" keepAlive="1" name="Query - CashFlow" description="Connection to the 'CashFlow' query in the workbook." type="5" refreshedVersion="8" background="1" saveData="1">
    <dbPr connection="Provider=Microsoft.Mashup.OleDb.1;Data Source=$Workbook$;Location=CashFlow;Extended Properties=&quot;&quot;" command="SELECT * FROM [CashFlow]"/>
  </connection>
  <connection id="4" xr16:uid="{863B8CE3-4097-473D-98D1-6BF478D31676}" keepAlive="1" name="Query - IncomeStatement" description="Connection to the 'IncomeStatement' query in the workbook." type="5" refreshedVersion="8" background="1" saveData="1">
    <dbPr connection="Provider=Microsoft.Mashup.OleDb.1;Data Source=$Workbook$;Location=IncomeStatement;Extended Properties=&quot;&quot;" command="SELECT * FROM [IncomeStatement]"/>
  </connection>
  <connection id="5" xr16:uid="{5FD787E3-FF0D-48CD-8561-BBBDACF5EEF2}" keepAlive="1" name="Query - MetaData" description="Connection to the 'MetaData' query in the workbook." type="5" refreshedVersion="8" background="1" saveData="1">
    <dbPr connection="Provider=Microsoft.Mashup.OleDb.1;Data Source=$Workbook$;Location=MetaData;Extended Properties=&quot;&quot;" command="SELECT * FROM [MetaData]"/>
  </connection>
  <connection id="6" xr16:uid="{6017A29E-CF55-4876-A5F3-A72222A798F1}" keepAlive="1" name="Query - PriceData_GSPC" description="Connection to the 'PriceData_GSPC' query in the workbook." type="5" refreshedVersion="8" background="1" saveData="1">
    <dbPr connection="Provider=Microsoft.Mashup.OleDb.1;Data Source=$Workbook$;Location=PriceData_GSPC;Extended Properties=&quot;&quot;" command="SELECT * FROM [PriceData_GSPC]"/>
  </connection>
  <connection id="7" xr16:uid="{85087535-88C8-4AC0-AA21-7EFB06A671EF}" keepAlive="1" name="Query - PriceData_GSPC_AvgRate" description="Connection to the 'PriceData_GSPC_AvgRate' query in the workbook." type="5" refreshedVersion="8" background="1" saveData="1">
    <dbPr connection="Provider=Microsoft.Mashup.OleDb.1;Data Source=$Workbook$;Location=PriceData_GSPC_AvgRate;Extended Properties=&quot;&quot;" command="SELECT * FROM [PriceData_GSPC_AvgRate]"/>
  </connection>
  <connection id="8" xr16:uid="{B4132742-EC92-4D4F-925F-4369DC3084F2}" keepAlive="1" name="Query - PriceData_Ticker" description="Connection to the 'PriceData_Ticker' query in the workbook." type="5" refreshedVersion="8" background="1" saveData="1">
    <dbPr connection="Provider=Microsoft.Mashup.OleDb.1;Data Source=$Workbook$;Location=PriceData_Ticker;Extended Properties=&quot;&quot;" command="SELECT * FROM [PriceData_Ticker]"/>
  </connection>
  <connection id="9" xr16:uid="{41838C79-45DD-4990-B360-74482D5EFC95}" keepAlive="1" name="Query - PriceData_Ticker_AvgRate" description="Connection to the 'PriceData_Ticker_AvgRate' query in the workbook." type="5" refreshedVersion="8" background="1" saveData="1">
    <dbPr connection="Provider=Microsoft.Mashup.OleDb.1;Data Source=$Workbook$;Location=PriceData_Ticker_AvgRate;Extended Properties=&quot;&quot;" command="SELECT * FROM [PriceData_Ticker_AvgRate]"/>
  </connection>
  <connection id="10" xr16:uid="{CC77A1A5-53FD-4449-B824-76A9FAFED5E1}" keepAlive="1" name="Query - PriceData_TNX" description="Connection to the 'PriceData_TNX' query in the workbook." type="5" refreshedVersion="8" background="1" saveData="1">
    <dbPr connection="Provider=Microsoft.Mashup.OleDb.1;Data Source=$Workbook$;Location=PriceData_TNX;Extended Properties=&quot;&quot;" command="SELECT * FROM [PriceData_TNX]"/>
  </connection>
  <connection id="11" xr16:uid="{C2BDCCA7-C77C-479B-818F-9A8B0F87C353}" keepAlive="1" name="Query - PriceData_TNX_AvgRate" description="Connection to the 'PriceData_TNX_AvgRate' query in the workbook." type="5" refreshedVersion="8" background="1" saveData="1">
    <dbPr connection="Provider=Microsoft.Mashup.OleDb.1;Data Source=$Workbook$;Location=PriceData_TNX_AvgRate;Extended Properties=&quot;&quot;" command="SELECT * FROM [PriceData_TNX_AvgRate]"/>
  </connection>
  <connection id="12" xr16:uid="{9FCC92BE-1A3E-4D7E-B156-F518DF6AE6D3}" keepAlive="1" name="Query - Tickers" description="Connection to the 'Tickers' query in the workbook." type="5" refreshedVersion="8" background="1" saveData="1">
    <dbPr connection="Provider=Microsoft.Mashup.OleDb.1;Data Source=$Workbook$;Location=Tickers;Extended Properties=&quot;&quot;" command="SELECT * FROM [Tickers]"/>
  </connection>
  <connection id="13" xr16:uid="{0F4B5A61-8C62-43D6-8C2B-8029CB61E8E8}" keepAlive="1" name="Query - TickerYears" description="Connection to the 'TickerYears' query in the workbook." type="5" refreshedVersion="8" background="1" saveData="1">
    <dbPr connection="Provider=Microsoft.Mashup.OleDb.1;Data Source=$Workbook$;Location=TickerYears;Extended Properties=&quot;&quot;" command="SELECT * FROM [TickerYears]"/>
  </connection>
</connections>
</file>

<file path=xl/sharedStrings.xml><?xml version="1.0" encoding="utf-8"?>
<sst xmlns="http://schemas.openxmlformats.org/spreadsheetml/2006/main" count="3179" uniqueCount="693">
  <si>
    <t>Financial Statements</t>
  </si>
  <si>
    <t>Historical Results</t>
  </si>
  <si>
    <t>Forecast Period</t>
  </si>
  <si>
    <t>Balance Sheet Check</t>
  </si>
  <si>
    <t>Assumptions</t>
  </si>
  <si>
    <t>Income Statement</t>
  </si>
  <si>
    <t>Balance Sheet</t>
  </si>
  <si>
    <t>Cash Flow Statement</t>
  </si>
  <si>
    <t>Supporting Schedules</t>
  </si>
  <si>
    <t>DCF Model</t>
  </si>
  <si>
    <t>Charts and Graphs</t>
  </si>
  <si>
    <t>Revenue Growth (% Change)</t>
  </si>
  <si>
    <t>Cost of Goods Sold (% of Revenue)</t>
  </si>
  <si>
    <t>Salaries &amp; Benefits (% of Revenue)</t>
  </si>
  <si>
    <t>Rent and Overhead ($000's)</t>
  </si>
  <si>
    <t>Depreciation &amp; Amortization (% of PPE)</t>
  </si>
  <si>
    <t>Interest (% of Debt)</t>
  </si>
  <si>
    <t>Tax Rate (% of Earnings Before Tax)</t>
  </si>
  <si>
    <t>Accounts Receivable (Days)</t>
  </si>
  <si>
    <t>Inventory (Days)</t>
  </si>
  <si>
    <t>Accounts Payable (Days)</t>
  </si>
  <si>
    <t>Capital Expenditures ($000's)</t>
  </si>
  <si>
    <t>Debt Issuance (Repayment) ($000's)</t>
  </si>
  <si>
    <t>Equity Issued (Repaid) ($000's)</t>
  </si>
  <si>
    <t>Revenue</t>
  </si>
  <si>
    <t>Cost of Goods Sold</t>
  </si>
  <si>
    <t>Gross Profit</t>
  </si>
  <si>
    <t>Expenses</t>
  </si>
  <si>
    <t>Salaries &amp; Benefits</t>
  </si>
  <si>
    <t>Rent &amp; Overhead</t>
  </si>
  <si>
    <t>Depreciation &amp; Amortization</t>
  </si>
  <si>
    <t>Interest</t>
  </si>
  <si>
    <t>Total Expenses</t>
  </si>
  <si>
    <t>Earnings Before Tax</t>
  </si>
  <si>
    <t>Taxes</t>
  </si>
  <si>
    <t>Net Earnings</t>
  </si>
  <si>
    <t>Assets</t>
  </si>
  <si>
    <t>Cash</t>
  </si>
  <si>
    <t>Accounts Receivable</t>
  </si>
  <si>
    <t>Inventory</t>
  </si>
  <si>
    <t>Property &amp; Equipment</t>
  </si>
  <si>
    <t>Total Assets</t>
  </si>
  <si>
    <t>Liabilities</t>
  </si>
  <si>
    <t>Accounts Payable</t>
  </si>
  <si>
    <t>Debt</t>
  </si>
  <si>
    <t>Total Liabilities</t>
  </si>
  <si>
    <t>Shareholder's Equity</t>
  </si>
  <si>
    <t>Equity Capital</t>
  </si>
  <si>
    <t>Retained Earnings</t>
  </si>
  <si>
    <t>Total Liabilities &amp; Shareholder's Equity</t>
  </si>
  <si>
    <t>Check</t>
  </si>
  <si>
    <t>Operating Cash Flow</t>
  </si>
  <si>
    <t>Plus: Depreciation &amp; Amortization</t>
  </si>
  <si>
    <t>Less: Changes in Working Capital</t>
  </si>
  <si>
    <t>Cash from Operations</t>
  </si>
  <si>
    <t>Investing Cash Flow</t>
  </si>
  <si>
    <t>Investments in Property &amp; Equipment</t>
  </si>
  <si>
    <t>Cash from Investing</t>
  </si>
  <si>
    <t>Financing Cash Flow</t>
  </si>
  <si>
    <t>Issuance (repayment) of debt</t>
  </si>
  <si>
    <t>Issuance (repayment) of equity</t>
  </si>
  <si>
    <t>Cash from Financing</t>
  </si>
  <si>
    <t>Net Increase (decrease) in Cash</t>
  </si>
  <si>
    <t>Opening Cash Balance</t>
  </si>
  <si>
    <t>Closing Cash Balance</t>
  </si>
  <si>
    <t>Source</t>
  </si>
  <si>
    <t>https://www.youtube.com/watch?v=M8cuAJYYnTM</t>
  </si>
  <si>
    <t>Working Capital Schedule</t>
  </si>
  <si>
    <t>Change in NWC</t>
  </si>
  <si>
    <t>Net Working Capital (NWC)</t>
  </si>
  <si>
    <t>Depreciation Schedule</t>
  </si>
  <si>
    <t>PPE Opening</t>
  </si>
  <si>
    <t>Plus Capex</t>
  </si>
  <si>
    <t>Less Depreciation</t>
  </si>
  <si>
    <t>PPE Closing</t>
  </si>
  <si>
    <t>Debt &amp; Interest Schedule</t>
  </si>
  <si>
    <t>Debt Opening</t>
  </si>
  <si>
    <t>Issuance (repayment)</t>
  </si>
  <si>
    <t>Debt Closing</t>
  </si>
  <si>
    <t>Interest Expense</t>
  </si>
  <si>
    <t>Tax Rate</t>
  </si>
  <si>
    <t>Discount Rate</t>
  </si>
  <si>
    <t>Perpetual Growth Rate</t>
  </si>
  <si>
    <t>EV/EBITDA Multiple</t>
  </si>
  <si>
    <t>Transaction Date</t>
  </si>
  <si>
    <t>Current Price</t>
  </si>
  <si>
    <t>Shares Outstanding</t>
  </si>
  <si>
    <t>Discounted Cash Flow</t>
  </si>
  <si>
    <t>Entry</t>
  </si>
  <si>
    <t>Date</t>
  </si>
  <si>
    <t>Time Periods</t>
  </si>
  <si>
    <t>Year Fraction</t>
  </si>
  <si>
    <t>Exit</t>
  </si>
  <si>
    <t>EBT</t>
  </si>
  <si>
    <t>EBIT</t>
  </si>
  <si>
    <t>Less: Cash Taxes</t>
  </si>
  <si>
    <t>Plus: D&amp;A</t>
  </si>
  <si>
    <t>Less: Capex</t>
  </si>
  <si>
    <t>Less: Changes in NWC</t>
  </si>
  <si>
    <t>Unlevered FCF</t>
  </si>
  <si>
    <t>(Entry)/Exit</t>
  </si>
  <si>
    <t>Net FCF</t>
  </si>
  <si>
    <t>Terminal Value</t>
  </si>
  <si>
    <t>Perpetual Growth</t>
  </si>
  <si>
    <t>EV/EBITDA</t>
  </si>
  <si>
    <t>Average</t>
  </si>
  <si>
    <t>Intrinsic Value</t>
  </si>
  <si>
    <t>Enterprise Value</t>
  </si>
  <si>
    <t>Plus: Cash</t>
  </si>
  <si>
    <t>Less: Debt</t>
  </si>
  <si>
    <t>Equity Value</t>
  </si>
  <si>
    <t>Equity Value/Share</t>
  </si>
  <si>
    <t>Market Value</t>
  </si>
  <si>
    <t>Market Cap</t>
  </si>
  <si>
    <t>Plus: Debt</t>
  </si>
  <si>
    <t>Less: Cash</t>
  </si>
  <si>
    <t>Rate of Return</t>
  </si>
  <si>
    <t>Target Price Upside</t>
  </si>
  <si>
    <t>IRR</t>
  </si>
  <si>
    <t>Accounts Receivable Days</t>
  </si>
  <si>
    <t>Inventory Days</t>
  </si>
  <si>
    <t>Accounts Payable Days</t>
  </si>
  <si>
    <t>=Avg Accounts Receivable / Revenue * 365 Days</t>
  </si>
  <si>
    <t>=Avg Accounts Payable / COGS * 365 Days</t>
  </si>
  <si>
    <t>=Avg Inventory / COGS * 365 Days</t>
  </si>
  <si>
    <t>Metric</t>
  </si>
  <si>
    <t>Formula</t>
  </si>
  <si>
    <t>Accounts Receivable from AR Days</t>
  </si>
  <si>
    <t>= AR Days * (Revenue / 365)</t>
  </si>
  <si>
    <t>Inventory from Inventory Days</t>
  </si>
  <si>
    <t>= Inv Days * (COGS / 365)</t>
  </si>
  <si>
    <t>= AP Days * (COGS / 365)</t>
  </si>
  <si>
    <t>Accounts Payable from AP Days</t>
  </si>
  <si>
    <t>&lt;= Supporting Schedules</t>
  </si>
  <si>
    <t>&lt;= Assumptions</t>
  </si>
  <si>
    <t>&lt;= Cash Flow Statement</t>
  </si>
  <si>
    <t>&lt;= Income Statement</t>
  </si>
  <si>
    <t>&lt;=Today's Debt</t>
  </si>
  <si>
    <t>&lt;=Today's Cash</t>
  </si>
  <si>
    <t>id</t>
  </si>
  <si>
    <t>asOfDate</t>
  </si>
  <si>
    <t>periodType</t>
  </si>
  <si>
    <t>currencyCode</t>
  </si>
  <si>
    <t>AverageDilutionEarnings</t>
  </si>
  <si>
    <t>BasicAverageShares</t>
  </si>
  <si>
    <t>BasicEPS</t>
  </si>
  <si>
    <t>CostOfRevenue</t>
  </si>
  <si>
    <t>DepreciationAmortizationDepletionIncomeStatement</t>
  </si>
  <si>
    <t>DepreciationAndAmortizationInIncomeStatement</t>
  </si>
  <si>
    <t>DilutedAverageShares</t>
  </si>
  <si>
    <t>DilutedEPS</t>
  </si>
  <si>
    <t>DilutedNIAvailtoComStockholders</t>
  </si>
  <si>
    <t>EBITDA</t>
  </si>
  <si>
    <t>EarningsFromEquityInterestNetOfTax</t>
  </si>
  <si>
    <t>GainOnSaleOfBusiness</t>
  </si>
  <si>
    <t>GainOnSaleOfSecurity</t>
  </si>
  <si>
    <t>GeneralAndAdministrativeExpense</t>
  </si>
  <si>
    <t>GrossProfit</t>
  </si>
  <si>
    <t>InterestExpense</t>
  </si>
  <si>
    <t>InterestExpenseNonOperating</t>
  </si>
  <si>
    <t>InterestIncome</t>
  </si>
  <si>
    <t>InterestIncomeNonOperating</t>
  </si>
  <si>
    <t>MinorityInterests</t>
  </si>
  <si>
    <t>NetIncome</t>
  </si>
  <si>
    <t>NetIncomeCommonStockholders</t>
  </si>
  <si>
    <t>NetIncomeContinuousOperations</t>
  </si>
  <si>
    <t>NetIncomeFromContinuingAndDiscontinuedOperation</t>
  </si>
  <si>
    <t>NetIncomeFromContinuingOperationNetMinorityInterest</t>
  </si>
  <si>
    <t>NetIncomeIncludingNoncontrollingInterests</t>
  </si>
  <si>
    <t>NetInterestIncome</t>
  </si>
  <si>
    <t>NetNonOperatingInterestIncomeExpense</t>
  </si>
  <si>
    <t>NormalizedEBITDA</t>
  </si>
  <si>
    <t>NormalizedIncome</t>
  </si>
  <si>
    <t>OperatingExpense</t>
  </si>
  <si>
    <t>OperatingIncome</t>
  </si>
  <si>
    <t>OperatingRevenue</t>
  </si>
  <si>
    <t>OtherGandA</t>
  </si>
  <si>
    <t>OtherIncomeExpense</t>
  </si>
  <si>
    <t>OtherNonOperatingIncomeExpenses</t>
  </si>
  <si>
    <t>OtherOperatingExpenses</t>
  </si>
  <si>
    <t>OtherunderPreferredStockDividend</t>
  </si>
  <si>
    <t>PretaxIncome</t>
  </si>
  <si>
    <t>ReconciledCostOfRevenue</t>
  </si>
  <si>
    <t>ReconciledDepreciation</t>
  </si>
  <si>
    <t>ResearchAndDevelopment</t>
  </si>
  <si>
    <t>SellingAndMarketingExpense</t>
  </si>
  <si>
    <t>SellingGeneralAndAdministration</t>
  </si>
  <si>
    <t>SpecialIncomeCharges</t>
  </si>
  <si>
    <t>TaxEffectOfUnusualItems</t>
  </si>
  <si>
    <t>TaxProvision</t>
  </si>
  <si>
    <t>TaxRateForCalcs</t>
  </si>
  <si>
    <t>TotalExpenses</t>
  </si>
  <si>
    <t>TotalOperatingIncomeAsReported</t>
  </si>
  <si>
    <t>TotalRevenue</t>
  </si>
  <si>
    <t>TotalUnusualItems</t>
  </si>
  <si>
    <t>TotalUnusualItemsExcludingGoodwill</t>
  </si>
  <si>
    <t>WriteOff</t>
  </si>
  <si>
    <t>NetIncomeDiscontinuousOperations</t>
  </si>
  <si>
    <t>EarningsFromEquityInterest</t>
  </si>
  <si>
    <t>ImpairmentOfCapitalAssets</t>
  </si>
  <si>
    <t>PreferredStockDividends</t>
  </si>
  <si>
    <t>Amortization</t>
  </si>
  <si>
    <t>AmortizationOfIntangiblesIncomeStatement</t>
  </si>
  <si>
    <t>OtherSpecialCharges</t>
  </si>
  <si>
    <t>OtherTaxes</t>
  </si>
  <si>
    <t>RestructuringAndMergernAcquisition</t>
  </si>
  <si>
    <t>GainOnSaleOfPPE</t>
  </si>
  <si>
    <t>ProvisionForDoubtfulAccounts</t>
  </si>
  <si>
    <t>SalariesAndWages</t>
  </si>
  <si>
    <t>RentAndLandingFees</t>
  </si>
  <si>
    <t>RentExpenseSupplemental</t>
  </si>
  <si>
    <t>Ticker</t>
  </si>
  <si>
    <t>12M</t>
  </si>
  <si>
    <t>USD</t>
  </si>
  <si>
    <t>TTM</t>
  </si>
  <si>
    <t>AccountsPayable</t>
  </si>
  <si>
    <t>AccountsReceivable</t>
  </si>
  <si>
    <t>AccumulatedDepreciation</t>
  </si>
  <si>
    <t>AdditionalPaidInCapital</t>
  </si>
  <si>
    <t>AllowanceForDoubtfulAccountsReceivable</t>
  </si>
  <si>
    <t>AssetsHeldForSaleCurrent</t>
  </si>
  <si>
    <t>AvailableForSaleSecurities</t>
  </si>
  <si>
    <t>BuildingsAndImprovements</t>
  </si>
  <si>
    <t>CapitalLeaseObligations</t>
  </si>
  <si>
    <t>CapitalStock</t>
  </si>
  <si>
    <t>CashAndCashEquivalents</t>
  </si>
  <si>
    <t>CashCashEquivalentsAndShortTermInvestments</t>
  </si>
  <si>
    <t>CommonStock</t>
  </si>
  <si>
    <t>CommonStockEquity</t>
  </si>
  <si>
    <t>ConstructionInProgress</t>
  </si>
  <si>
    <t>CurrentAccruedExpenses</t>
  </si>
  <si>
    <t>CurrentAssets</t>
  </si>
  <si>
    <t>CurrentCapitalLeaseObligation</t>
  </si>
  <si>
    <t>CurrentDebt</t>
  </si>
  <si>
    <t>CurrentDebtAndCapitalLeaseObligation</t>
  </si>
  <si>
    <t>CurrentLiabilities</t>
  </si>
  <si>
    <t>CurrentProvisions</t>
  </si>
  <si>
    <t>GainsLossesNotAffectingRetainedEarnings</t>
  </si>
  <si>
    <t>Goodwill</t>
  </si>
  <si>
    <t>GoodwillAndOtherIntangibleAssets</t>
  </si>
  <si>
    <t>GrossAccountsReceivable</t>
  </si>
  <si>
    <t>GrossPPE</t>
  </si>
  <si>
    <t>HeldToMaturitySecurities</t>
  </si>
  <si>
    <t>IncomeTaxPayable</t>
  </si>
  <si>
    <t>InterestPayable</t>
  </si>
  <si>
    <t>InvestedCapital</t>
  </si>
  <si>
    <t>InvestmentinFinancialAssets</t>
  </si>
  <si>
    <t>InvestmentsAndAdvances</t>
  </si>
  <si>
    <t>LandAndImprovements</t>
  </si>
  <si>
    <t>Leases</t>
  </si>
  <si>
    <t>LongTermCapitalLeaseObligation</t>
  </si>
  <si>
    <t>LongTermDebt</t>
  </si>
  <si>
    <t>LongTermDebtAndCapitalLeaseObligation</t>
  </si>
  <si>
    <t>LongTermEquityInvestment</t>
  </si>
  <si>
    <t>LongTermProvisions</t>
  </si>
  <si>
    <t>MachineryFurnitureEquipment</t>
  </si>
  <si>
    <t>MinorityInterest</t>
  </si>
  <si>
    <t>NetDebt</t>
  </si>
  <si>
    <t>NetPPE</t>
  </si>
  <si>
    <t>NetTangibleAssets</t>
  </si>
  <si>
    <t>NonCurrentDeferredLiabilities</t>
  </si>
  <si>
    <t>NonCurrentDeferredTaxesLiabilities</t>
  </si>
  <si>
    <t>NonCurrentNoteReceivables</t>
  </si>
  <si>
    <t>OrdinarySharesNumber</t>
  </si>
  <si>
    <t>OtherCurrentAssets</t>
  </si>
  <si>
    <t>OtherCurrentBorrowings</t>
  </si>
  <si>
    <t>OtherCurrentLiabilities</t>
  </si>
  <si>
    <t>OtherEquityAdjustments</t>
  </si>
  <si>
    <t>OtherIntangibleAssets</t>
  </si>
  <si>
    <t>OtherNonCurrentAssets</t>
  </si>
  <si>
    <t>OtherNonCurrentLiabilities</t>
  </si>
  <si>
    <t>OtherPayable</t>
  </si>
  <si>
    <t>OtherProperties</t>
  </si>
  <si>
    <t>OtherReceivables</t>
  </si>
  <si>
    <t>OtherShortTermInvestments</t>
  </si>
  <si>
    <t>Payables</t>
  </si>
  <si>
    <t>PayablesAndAccruedExpenses</t>
  </si>
  <si>
    <t>PensionandOtherPostRetirementBenefitPlansCurrent</t>
  </si>
  <si>
    <t>PreferredSecuritiesOutsideStockEquity</t>
  </si>
  <si>
    <t>PrepaidAssets</t>
  </si>
  <si>
    <t>Properties</t>
  </si>
  <si>
    <t>Receivables</t>
  </si>
  <si>
    <t>RestrictedCash</t>
  </si>
  <si>
    <t>RetainedEarnings</t>
  </si>
  <si>
    <t>ShareIssued</t>
  </si>
  <si>
    <t>StockholdersEquity</t>
  </si>
  <si>
    <t>TangibleBookValue</t>
  </si>
  <si>
    <t>TotalAssets</t>
  </si>
  <si>
    <t>TotalCapitalization</t>
  </si>
  <si>
    <t>TotalDebt</t>
  </si>
  <si>
    <t>TotalEquityGrossMinorityInterest</t>
  </si>
  <si>
    <t>TotalLiabilitiesNetMinorityInterest</t>
  </si>
  <si>
    <t>TotalNonCurrentAssets</t>
  </si>
  <si>
    <t>TotalNonCurrentLiabilitiesNetMinorityInterest</t>
  </si>
  <si>
    <t>TotalTaxPayable</t>
  </si>
  <si>
    <t>TradeandOtherPayablesNonCurrent</t>
  </si>
  <si>
    <t>WorkingCapital</t>
  </si>
  <si>
    <t>CurrentDeferredLiabilities</t>
  </si>
  <si>
    <t>CurrentDeferredRevenue</t>
  </si>
  <si>
    <t>EmployeeBenefits</t>
  </si>
  <si>
    <t>FinishedGoods</t>
  </si>
  <si>
    <t>NonCurrentDeferredAssets</t>
  </si>
  <si>
    <t>NonCurrentDeferredTaxesAssets</t>
  </si>
  <si>
    <t>NonCurrentPensionAndOtherPostretirementBenefitPlans</t>
  </si>
  <si>
    <t>RawMaterials</t>
  </si>
  <si>
    <t>WorkInProcess</t>
  </si>
  <si>
    <t>CashEquivalents</t>
  </si>
  <si>
    <t>CashFinancial</t>
  </si>
  <si>
    <t>HedgingAssetsCurrent</t>
  </si>
  <si>
    <t>NonCurrentDeferredRevenue</t>
  </si>
  <si>
    <t>CommercialPaper</t>
  </si>
  <si>
    <t>CurrentNotesPayable</t>
  </si>
  <si>
    <t>DividendsPayable</t>
  </si>
  <si>
    <t>ForeignCurrencyTranslationAdjustments</t>
  </si>
  <si>
    <t>InvestmentsinAssociatesatCost</t>
  </si>
  <si>
    <t>LineOfCredit</t>
  </si>
  <si>
    <t>MinimumPensionLiabilities</t>
  </si>
  <si>
    <t>PreferredSharesNumber</t>
  </si>
  <si>
    <t>PreferredStock</t>
  </si>
  <si>
    <t>TreasurySharesNumber</t>
  </si>
  <si>
    <t>TreasuryStock</t>
  </si>
  <si>
    <t>UnrealizedGainLoss</t>
  </si>
  <si>
    <t>DefinedPensionBenefit</t>
  </si>
  <si>
    <t>NonCurrentAccountsReceivable</t>
  </si>
  <si>
    <t>OtherInventories</t>
  </si>
  <si>
    <t>OtherInvestments</t>
  </si>
  <si>
    <t>TaxesReceivable</t>
  </si>
  <si>
    <t>CurrentDeferredAssets</t>
  </si>
  <si>
    <t>DerivativeProductLiabilities</t>
  </si>
  <si>
    <t>FinancialAssets</t>
  </si>
  <si>
    <t>InvestmentsInOtherVenturesUnderEquityMethod</t>
  </si>
  <si>
    <t>LiabilitiesHeldforSaleNonCurrent</t>
  </si>
  <si>
    <t>NonCurrentAccruedExpenses</t>
  </si>
  <si>
    <t>NonCurrentPrepaidAssets</t>
  </si>
  <si>
    <t>OtherEquityInterest</t>
  </si>
  <si>
    <t>InventoriesAdjustmentsAllowances</t>
  </si>
  <si>
    <t>AssetImpairmentCharge</t>
  </si>
  <si>
    <t>BeginningCashPosition</t>
  </si>
  <si>
    <t>CapitalExpenditure</t>
  </si>
  <si>
    <t>CashFlowFromContinuingFinancingActivities</t>
  </si>
  <si>
    <t>CashFlowFromContinuingInvestingActivities</t>
  </si>
  <si>
    <t>CashFlowFromContinuingOperatingActivities</t>
  </si>
  <si>
    <t>ChangeInAccountPayable</t>
  </si>
  <si>
    <t>ChangeInAccruedExpense</t>
  </si>
  <si>
    <t>ChangeInCashSupplementalAsReported</t>
  </si>
  <si>
    <t>ChangeInOtherCurrentAssets</t>
  </si>
  <si>
    <t>ChangeInOtherCurrentLiabilities</t>
  </si>
  <si>
    <t>ChangeInOtherWorkingCapital</t>
  </si>
  <si>
    <t>ChangeInPayable</t>
  </si>
  <si>
    <t>ChangeInPayablesAndAccruedExpense</t>
  </si>
  <si>
    <t>ChangeInPrepaidAssets</t>
  </si>
  <si>
    <t>ChangeInReceivables</t>
  </si>
  <si>
    <t>ChangeInWorkingCapital</t>
  </si>
  <si>
    <t>ChangesInAccountReceivables</t>
  </si>
  <si>
    <t>ChangesInCash</t>
  </si>
  <si>
    <t>CommonStockIssuance</t>
  </si>
  <si>
    <t>CommonStockPayments</t>
  </si>
  <si>
    <t>DeferredIncomeTax</t>
  </si>
  <si>
    <t>DeferredTax</t>
  </si>
  <si>
    <t>DepreciationAmortizationDepletion</t>
  </si>
  <si>
    <t>DepreciationAndAmortization</t>
  </si>
  <si>
    <t>EarningsLossesFromEquityInvestments</t>
  </si>
  <si>
    <t>EffectOfExchangeRateChanges</t>
  </si>
  <si>
    <t>EndCashPosition</t>
  </si>
  <si>
    <t>FinancingCashFlow</t>
  </si>
  <si>
    <t>FreeCashFlow</t>
  </si>
  <si>
    <t>GainLossOnInvestmentSecurities</t>
  </si>
  <si>
    <t>GainLossOnSaleOfBusiness</t>
  </si>
  <si>
    <t>IncomeTaxPaidSupplementalData</t>
  </si>
  <si>
    <t>InterestPaidSupplementalData</t>
  </si>
  <si>
    <t>InvestingCashFlow</t>
  </si>
  <si>
    <t>IssuanceOfCapitalStock</t>
  </si>
  <si>
    <t>IssuanceOfDebt</t>
  </si>
  <si>
    <t>LongTermDebtIssuance</t>
  </si>
  <si>
    <t>LongTermDebtPayments</t>
  </si>
  <si>
    <t>NetBusinessPurchaseAndSale</t>
  </si>
  <si>
    <t>NetCommonStockIssuance</t>
  </si>
  <si>
    <t>NetForeignCurrencyExchangeGainLoss</t>
  </si>
  <si>
    <t>NetIncomeFromContinuingOperations</t>
  </si>
  <si>
    <t>NetInvestmentPurchaseAndSale</t>
  </si>
  <si>
    <t>NetIssuancePaymentsOfDebt</t>
  </si>
  <si>
    <t>NetLongTermDebtIssuance</t>
  </si>
  <si>
    <t>NetOtherFinancingCharges</t>
  </si>
  <si>
    <t>NetOtherInvestingChanges</t>
  </si>
  <si>
    <t>NetPPEPurchaseAndSale</t>
  </si>
  <si>
    <t>NetPreferredStockIssuance</t>
  </si>
  <si>
    <t>OperatingCashFlow</t>
  </si>
  <si>
    <t>OperatingGainsLosses</t>
  </si>
  <si>
    <t>OtherCashAdjustmentOutsideChangeinCash</t>
  </si>
  <si>
    <t>OtherNonCashItems</t>
  </si>
  <si>
    <t>PreferredStockIssuance</t>
  </si>
  <si>
    <t>ProceedsFromStockOptionExercised</t>
  </si>
  <si>
    <t>PurchaseOfBusiness</t>
  </si>
  <si>
    <t>PurchaseOfInvestment</t>
  </si>
  <si>
    <t>PurchaseOfPPE</t>
  </si>
  <si>
    <t>RepaymentOfDebt</t>
  </si>
  <si>
    <t>RepurchaseOfCapitalStock</t>
  </si>
  <si>
    <t>SaleOfBusiness</t>
  </si>
  <si>
    <t>SaleOfInvestment</t>
  </si>
  <si>
    <t>SaleOfPPE</t>
  </si>
  <si>
    <t>StockBasedCompensation</t>
  </si>
  <si>
    <t>UnrealizedGainLossOnInvestmentSecurities</t>
  </si>
  <si>
    <t>AmortizationCashFlow</t>
  </si>
  <si>
    <t>AmortizationOfIntangibles</t>
  </si>
  <si>
    <t>CapitalExpenditureReported</t>
  </si>
  <si>
    <t>CashDividendsPaid</t>
  </si>
  <si>
    <t>ChangeInIncomeTaxPayable</t>
  </si>
  <si>
    <t>ChangeInInventory</t>
  </si>
  <si>
    <t>ChangeInTaxPayable</t>
  </si>
  <si>
    <t>CommonStockDividendPaid</t>
  </si>
  <si>
    <t>Depreciation</t>
  </si>
  <si>
    <t>GainLossOnSaleOfPPE</t>
  </si>
  <si>
    <t>NetShortTermDebtIssuance</t>
  </si>
  <si>
    <t>PensionAndEmployeeBenefitExpense</t>
  </si>
  <si>
    <t>ShortTermDebtIssuance</t>
  </si>
  <si>
    <t>ShortTermDebtPayments</t>
  </si>
  <si>
    <t>CashFromDiscontinuedFinancingActivities</t>
  </si>
  <si>
    <t>CashFromDiscontinuedInvestingActivities</t>
  </si>
  <si>
    <t>CashFromDiscontinuedOperatingActivities</t>
  </si>
  <si>
    <t>DividendsReceivedCFI</t>
  </si>
  <si>
    <t>PreferredStockDividendPaid</t>
  </si>
  <si>
    <t>PreferredStockPayments</t>
  </si>
  <si>
    <t>ProvisionandWriteOffofAssets</t>
  </si>
  <si>
    <t>NetIntangiblesPurchaseAndSale</t>
  </si>
  <si>
    <t>PurchaseOfIntangibles</t>
  </si>
  <si>
    <t>fullTimeEmployees</t>
  </si>
  <si>
    <t>website</t>
  </si>
  <si>
    <t>industry</t>
  </si>
  <si>
    <t>sector</t>
  </si>
  <si>
    <t>longBusinessSummary</t>
  </si>
  <si>
    <t>debtToEquity</t>
  </si>
  <si>
    <t>totalDebt</t>
  </si>
  <si>
    <t>ebitda</t>
  </si>
  <si>
    <t>operatingMargins</t>
  </si>
  <si>
    <t>revenueGrowth</t>
  </si>
  <si>
    <t>totalCashPerShare</t>
  </si>
  <si>
    <t>revenuePerShare</t>
  </si>
  <si>
    <t>totalCash</t>
  </si>
  <si>
    <t>returnOnAssets</t>
  </si>
  <si>
    <t>profitMargins</t>
  </si>
  <si>
    <t>grossProfits</t>
  </si>
  <si>
    <t>earningsGrowth</t>
  </si>
  <si>
    <t>freeCashflow</t>
  </si>
  <si>
    <t>returnOnEquity</t>
  </si>
  <si>
    <t>quickRatio</t>
  </si>
  <si>
    <t>currentRatio</t>
  </si>
  <si>
    <t>operatingCashflow</t>
  </si>
  <si>
    <t>previousClose</t>
  </si>
  <si>
    <t>dividendRate</t>
  </si>
  <si>
    <t>dividendYield</t>
  </si>
  <si>
    <t>exDividendDate</t>
  </si>
  <si>
    <t>fiveYearAvgDividendYield</t>
  </si>
  <si>
    <t>beta</t>
  </si>
  <si>
    <t>trailingPE</t>
  </si>
  <si>
    <t>forwardPE</t>
  </si>
  <si>
    <t>averageVolume10days</t>
  </si>
  <si>
    <t>fiftyTwoWeekLow</t>
  </si>
  <si>
    <t>fiftyTwoWeekHigh</t>
  </si>
  <si>
    <t>priceToSalesTrailing12Months</t>
  </si>
  <si>
    <t>trailingAnnualDividendRate</t>
  </si>
  <si>
    <t>trailingAnnualDividendYield</t>
  </si>
  <si>
    <t>marketCap</t>
  </si>
  <si>
    <t>sharesOutstanding</t>
  </si>
  <si>
    <t>bookValue</t>
  </si>
  <si>
    <t>priceToBook</t>
  </si>
  <si>
    <t>lastFiscalYearEnd</t>
  </si>
  <si>
    <t>nextFiscalYearEnd</t>
  </si>
  <si>
    <t>mostRecentQuarter</t>
  </si>
  <si>
    <t>pegRatio</t>
  </si>
  <si>
    <t>Industrials</t>
  </si>
  <si>
    <t>Telecom Services</t>
  </si>
  <si>
    <t>Communication Services</t>
  </si>
  <si>
    <t>Need to add to python formulas kernel</t>
  </si>
  <si>
    <t>Status</t>
  </si>
  <si>
    <t>asOfDate_Min</t>
  </si>
  <si>
    <t>asOfDate_Max</t>
  </si>
  <si>
    <t>Year</t>
  </si>
  <si>
    <t>Ticker:</t>
  </si>
  <si>
    <t>EBITDA (Lookup)</t>
  </si>
  <si>
    <t>Net Income (Lookup)</t>
  </si>
  <si>
    <t>Total Assets (Lookup)</t>
  </si>
  <si>
    <t>Total Liabilities (Lookup)</t>
  </si>
  <si>
    <t>Shareholder's Equity (Lookup)</t>
  </si>
  <si>
    <t>Other Liabilities</t>
  </si>
  <si>
    <t>Other Equity</t>
  </si>
  <si>
    <t>Gross Profit (Lookup)</t>
  </si>
  <si>
    <t>Pretax Income (Lookup)</t>
  </si>
  <si>
    <t>Cash from Operations (Lookup)</t>
  </si>
  <si>
    <t>Cash from Investing (Lookup)</t>
  </si>
  <si>
    <t>Cash from Financing (Lookup)</t>
  </si>
  <si>
    <t>Closing Cash Balance (Lookup)</t>
  </si>
  <si>
    <t>Next Fiscal Year End</t>
  </si>
  <si>
    <t>Current Accrued Expenses</t>
  </si>
  <si>
    <t>Other Current Assets</t>
  </si>
  <si>
    <t>Other Current Liabilities</t>
  </si>
  <si>
    <t>Other Short Term Investments</t>
  </si>
  <si>
    <t>Market Value/Share</t>
  </si>
  <si>
    <t>Version</t>
  </si>
  <si>
    <t>Change Made</t>
  </si>
  <si>
    <t>0.1.2</t>
  </si>
  <si>
    <t>Removed duplicate starting years</t>
  </si>
  <si>
    <t>0.1.3</t>
  </si>
  <si>
    <t>Updates to metrics, removed lower level details not easily reconciled or forecasted</t>
  </si>
  <si>
    <t>Total Expenses (Lookup)</t>
  </si>
  <si>
    <t>Idea</t>
  </si>
  <si>
    <t>#</t>
  </si>
  <si>
    <t>Can I write a function that looks for any count &gt;2 where STDEV is smallest (Cash:EBIT example)</t>
  </si>
  <si>
    <t>Gross PPE (Lookup)</t>
  </si>
  <si>
    <t>Add in plowback ratio as a metric to use for forecasting</t>
  </si>
  <si>
    <t>Total Current Assets</t>
  </si>
  <si>
    <t>Total Current Liabilities</t>
  </si>
  <si>
    <t>Beginning Cash Position (Lookup)</t>
  </si>
  <si>
    <t>Net Increase (decrease) in Cash (Lookup)</t>
  </si>
  <si>
    <t>Less: Changes in Working Capital (Lookup)</t>
  </si>
  <si>
    <t>Operating Gains/Losses</t>
  </si>
  <si>
    <t>Cash Dividends Paid</t>
  </si>
  <si>
    <t>Investments in CAPEX/Property &amp; Equipment</t>
  </si>
  <si>
    <t>Other Investing Cash Impacts</t>
  </si>
  <si>
    <t>Less: Sale of Business</t>
  </si>
  <si>
    <t>Depreciation &amp; Amortization (% of Revenue)</t>
  </si>
  <si>
    <t>&lt;= Create function that determines which STDEV is closer to zero and utilize that average</t>
  </si>
  <si>
    <t>Operating Expense</t>
  </si>
  <si>
    <t>Taxes (Lookup)</t>
  </si>
  <si>
    <t>Calc Tax Rate</t>
  </si>
  <si>
    <t>Operating Expense (% of Revenue)</t>
  </si>
  <si>
    <t>Margin %</t>
  </si>
  <si>
    <t>Net Income YoY Growth</t>
  </si>
  <si>
    <t>Total Current Assets (Lookup)</t>
  </si>
  <si>
    <t>Total Current Liabilities (Lookup)</t>
  </si>
  <si>
    <t>Other Non-Current Assets</t>
  </si>
  <si>
    <t>Accumulated Depreciation</t>
  </si>
  <si>
    <t>Other Receivables</t>
  </si>
  <si>
    <t>Current Debt/Capital Leases</t>
  </si>
  <si>
    <t>Current Deferred Liabilities</t>
  </si>
  <si>
    <t>Capital Lease Obligations</t>
  </si>
  <si>
    <t>Non-Current Deferred Liabilities</t>
  </si>
  <si>
    <t>Long-Term Provisions</t>
  </si>
  <si>
    <t>Common Stock</t>
  </si>
  <si>
    <t>Additional Paid-In Capital</t>
  </si>
  <si>
    <t>Less: Treasury Stock</t>
  </si>
  <si>
    <t>Minority Interest</t>
  </si>
  <si>
    <t>Gains Losses Not Affecting Retained Earnings</t>
  </si>
  <si>
    <t>Employee Benefits</t>
  </si>
  <si>
    <t>Current Retirement Benefits</t>
  </si>
  <si>
    <t>Trade and Other Payables Non-Current</t>
  </si>
  <si>
    <t>Derivative Product Liabilities</t>
  </si>
  <si>
    <t>Non Current Accrued Expenses</t>
  </si>
  <si>
    <t>Non Current Deferred Assets</t>
  </si>
  <si>
    <t>Investments And Advances</t>
  </si>
  <si>
    <t>Pension And Employee Benefit Expense</t>
  </si>
  <si>
    <t>Deferred Income Tax</t>
  </si>
  <si>
    <t>Income Tax Paid Supplemental Data</t>
  </si>
  <si>
    <t>Other Non Cash Items</t>
  </si>
  <si>
    <t>Provision and Write Off of Assets</t>
  </si>
  <si>
    <t>Stock Based Compensation</t>
  </si>
  <si>
    <t>Change In Other Working Capital</t>
  </si>
  <si>
    <t>EBT (Pretax Income)</t>
  </si>
  <si>
    <t>EBIT (Pretax Income + Interest)</t>
  </si>
  <si>
    <t>0.1.4</t>
  </si>
  <si>
    <t>Updates to forecast metrics, need to better forecast NWC (how to formulate current assets/liab)</t>
  </si>
  <si>
    <t>how to forecast operating gains/losses</t>
  </si>
  <si>
    <t>Current Accrued Expenses (% of COGS)</t>
  </si>
  <si>
    <t>Current Debt (% of Revenue)</t>
  </si>
  <si>
    <t>Other Current Liabilities (% of Revenue)</t>
  </si>
  <si>
    <t>Other Current Assets (% of Revenue)</t>
  </si>
  <si>
    <t>BS Cash to Revenue Ratio</t>
  </si>
  <si>
    <t>&lt;= Average</t>
  </si>
  <si>
    <t>need to correct formulas to use table referencing</t>
  </si>
  <si>
    <t>Cash Dividends Paid (% of Revenue)</t>
  </si>
  <si>
    <t>price_date</t>
  </si>
  <si>
    <t>open</t>
  </si>
  <si>
    <t>high</t>
  </si>
  <si>
    <t>low</t>
  </si>
  <si>
    <t>close</t>
  </si>
  <si>
    <t>volume</t>
  </si>
  <si>
    <t>adjclose</t>
  </si>
  <si>
    <t>Pull_Date</t>
  </si>
  <si>
    <t>percent_return</t>
  </si>
  <si>
    <t>open_close_diff</t>
  </si>
  <si>
    <t>open_high_diff</t>
  </si>
  <si>
    <t>day_of_week</t>
  </si>
  <si>
    <t>price_date_year</t>
  </si>
  <si>
    <t>^GSPC</t>
  </si>
  <si>
    <t>Wednesday</t>
  </si>
  <si>
    <t>Saturday</t>
  </si>
  <si>
    <t>Sunday</t>
  </si>
  <si>
    <t>Friday</t>
  </si>
  <si>
    <t>Monday</t>
  </si>
  <si>
    <t>Tuesday</t>
  </si>
  <si>
    <t>Thursday</t>
  </si>
  <si>
    <t>AvgReturn</t>
  </si>
  <si>
    <t>Yearly Average Return</t>
  </si>
  <si>
    <t>^TNX</t>
  </si>
  <si>
    <t>^TNX20240617</t>
  </si>
  <si>
    <t>need to correct python script for stock prices so that percent return restarts every new stock ticker (see YouTube video)</t>
  </si>
  <si>
    <t>dividends</t>
  </si>
  <si>
    <t>splits</t>
  </si>
  <si>
    <t>change_in_price</t>
  </si>
  <si>
    <t>Beta</t>
  </si>
  <si>
    <t>Avg Ticker Annual Growth</t>
  </si>
  <si>
    <t>Discounted Cash Flow Breakdown</t>
  </si>
  <si>
    <t>avgInflation</t>
  </si>
  <si>
    <r>
      <t xml:space="preserve">Perpetual Growth Rate </t>
    </r>
    <r>
      <rPr>
        <sz val="8"/>
        <color theme="1"/>
        <rFont val="Calibri"/>
        <family val="2"/>
        <scheme val="minor"/>
      </rPr>
      <t>(Default to Inflation Rate)</t>
    </r>
  </si>
  <si>
    <t>Breakeven growth rate (what growth rate would get the DCF price/share === current market price/share)</t>
  </si>
  <si>
    <t>0.1.5</t>
  </si>
  <si>
    <r>
      <t xml:space="preserve">correct: </t>
    </r>
    <r>
      <rPr>
        <sz val="11"/>
        <color rgb="FFFF0000"/>
        <rFont val="Calibri"/>
        <family val="2"/>
        <scheme val="minor"/>
      </rPr>
      <t>I53</t>
    </r>
    <r>
      <rPr>
        <sz val="11"/>
        <color theme="1"/>
        <rFont val="Calibri"/>
        <family val="2"/>
        <scheme val="minor"/>
      </rPr>
      <t xml:space="preserve">, </t>
    </r>
    <r>
      <rPr>
        <strike/>
        <sz val="11"/>
        <color theme="1"/>
        <rFont val="Calibri"/>
        <family val="2"/>
        <scheme val="minor"/>
      </rPr>
      <t>I161</t>
    </r>
    <r>
      <rPr>
        <sz val="11"/>
        <color theme="1"/>
        <rFont val="Calibri"/>
        <family val="2"/>
        <scheme val="minor"/>
      </rPr>
      <t xml:space="preserve">, </t>
    </r>
    <r>
      <rPr>
        <strike/>
        <sz val="11"/>
        <color theme="1"/>
        <rFont val="Calibri"/>
        <family val="2"/>
        <scheme val="minor"/>
      </rPr>
      <t>I155</t>
    </r>
    <r>
      <rPr>
        <sz val="11"/>
        <color theme="1"/>
        <rFont val="Calibri"/>
        <family val="2"/>
        <scheme val="minor"/>
      </rPr>
      <t xml:space="preserve">, </t>
    </r>
    <r>
      <rPr>
        <strike/>
        <sz val="11"/>
        <color theme="1"/>
        <rFont val="Calibri"/>
        <family val="2"/>
        <scheme val="minor"/>
      </rPr>
      <t>I166</t>
    </r>
  </si>
  <si>
    <t>Enterprise Value?</t>
  </si>
  <si>
    <t>EV?</t>
  </si>
  <si>
    <t>Total Debt</t>
  </si>
  <si>
    <t>0.1.7</t>
  </si>
  <si>
    <t>Added Enterprise Value calculation and EV / EBITDA multiple</t>
  </si>
  <si>
    <t>DepreciationIncomeStatement</t>
  </si>
  <si>
    <t>LoansReceivable</t>
  </si>
  <si>
    <t>DividendReceivedCFO</t>
  </si>
  <si>
    <t>TotalOtherFinanceCost</t>
  </si>
  <si>
    <t>0.2.0</t>
  </si>
  <si>
    <t>Test with live data (S&amp;P 500 Stocks)</t>
  </si>
  <si>
    <t>0.2.1</t>
  </si>
  <si>
    <t>Remove unneccessary data rows from model</t>
  </si>
  <si>
    <t>Net Working Capital</t>
  </si>
  <si>
    <t>Revisit Debt &amp; Interest Schedule (Supporting Schedules)</t>
  </si>
  <si>
    <t>Complete</t>
  </si>
  <si>
    <t>Revisit Employee Benefits in Balance Sheet calculation</t>
  </si>
  <si>
    <t>Employee Benefits (% of Revenue)</t>
  </si>
  <si>
    <t>Revisit retained earnings calculation</t>
  </si>
  <si>
    <t>&lt;= Set to Zero</t>
  </si>
  <si>
    <t>Update TickerYears to filter out null TotalRevenue before determining Ticker Years</t>
  </si>
  <si>
    <t>0.2.2</t>
  </si>
  <si>
    <t>asOfYear</t>
  </si>
  <si>
    <t>Capital Expenditures (% of Revenue)</t>
  </si>
  <si>
    <t>Fix Other Current Assets calculation, ratio, and forecast</t>
  </si>
  <si>
    <t>today</t>
  </si>
  <si>
    <t>Total Revenue</t>
  </si>
  <si>
    <t>Consumer Defensive</t>
  </si>
  <si>
    <t>Technology</t>
  </si>
  <si>
    <t>Consumer Cyclical</t>
  </si>
  <si>
    <t>Discount Rate (CAPM)</t>
  </si>
  <si>
    <t>x</t>
  </si>
  <si>
    <t>^GSPC20240723</t>
  </si>
  <si>
    <t>targetMeanPrice</t>
  </si>
  <si>
    <t>AccruedInterestReceivable</t>
  </si>
  <si>
    <t>InterestReceivedCFI</t>
  </si>
  <si>
    <t>Healthcare</t>
  </si>
  <si>
    <t>SecuritiesAmortization</t>
  </si>
  <si>
    <t>DepletionIncomeStatement</t>
  </si>
  <si>
    <t>VLTO20240826</t>
  </si>
  <si>
    <t>VLTO</t>
  </si>
  <si>
    <t>WMT20240826</t>
  </si>
  <si>
    <t>WMT</t>
  </si>
  <si>
    <t>MSFT20240826</t>
  </si>
  <si>
    <t>MSFT</t>
  </si>
  <si>
    <t>BUD20240826</t>
  </si>
  <si>
    <t>BUD</t>
  </si>
  <si>
    <t>LMT20240826</t>
  </si>
  <si>
    <t>LMT</t>
  </si>
  <si>
    <t>T20240826</t>
  </si>
  <si>
    <t>T</t>
  </si>
  <si>
    <t>RSG20240826</t>
  </si>
  <si>
    <t>RSG</t>
  </si>
  <si>
    <t>JWN20240826</t>
  </si>
  <si>
    <t>JWN</t>
  </si>
  <si>
    <t>BMY20240826</t>
  </si>
  <si>
    <t>BMY</t>
  </si>
  <si>
    <t>CashFlowFromDiscontinuedOperation</t>
  </si>
  <si>
    <t>InterestPaidCFO</t>
  </si>
  <si>
    <t>InterestReceivedCFO</t>
  </si>
  <si>
    <t>TaxesRefundPaid</t>
  </si>
  <si>
    <t>https://www.veralto.com</t>
  </si>
  <si>
    <t>Pollution &amp; Treatment Controls</t>
  </si>
  <si>
    <t>Veralto Corporation provides water analytics, water treatment, marking and coding, and packaging and color services worldwide. It operates through two segments, Water Quality (WQ) and Product Quality &amp; Innovation (PQI). The WQ segment offers precision instrumentation and water treatment technologies to measure, analyze, and treat water in residential, commercial, municipal, industrial, research, and natural resource applications through the Hach, Trojan Technologies, and ChemTreat brands. This segment provides water solutions, including chemical reagents, services, and digital solutions. The PQI segment offers inline printing solutions for products and packaging with marking and coding systems; marking and coding for packaged goods and related consumables; design software and imaging systems for the creation of new packaging designs; color management solutions for printed packages and consumer and industrial products; color standard services for the design industry; and a software solution that provides digital asset management, marketing resource management, and product information management. This segment sells its products and services through the Videojet, Linx, Esko, X-Rite, and Pantone brands to regulated industries, including municipal utilities, food and beverage, pharmaceutical, and industrials. The company was formerly known as DH EAS Holding Corp. and changed its name to Veralto Corporation in February 2023. Veralto Corporation was incorporated in 2022 and is headquartered in Waltham, Massachusetts.</t>
  </si>
  <si>
    <t>https://corporate.walmart.com</t>
  </si>
  <si>
    <t>Discount Stores</t>
  </si>
  <si>
    <t>Walmart Inc. engages in the operation of retail, wholesale, other units, and eCommerce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walmart.com.mx, walmart.ca, flipkart.com, PhonePe and other sites; and mobile commerce applications. The company offers grocery and consumables, including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It is also involved in the provision of health and wellness products covering pharmacy, optical and hearing services, and over-the-counter drugs and other medical products; and home and apparel including home improvement, outdoor living, gardening, furniture, apparel, jewelry, tools and power equipment, housewares, toys, seasonal items, mattresses and tire and battery centers. In addition, the company offers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Additionally, the company markets lines of merchandise under private brands, including Allswell, Athletic Works, Equate, and Free Assembly. The company was formerly known as Wal-Mart Stores, Inc. and changed its name to Walmart Inc. in February 2018. Walmart Inc. was founded in 1945 and is based in Bentonville, Arkansas.</t>
  </si>
  <si>
    <t>https://www.microsoft.com</t>
  </si>
  <si>
    <t>Software - Infrastructure</t>
  </si>
  <si>
    <t>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t>
  </si>
  <si>
    <t>https://www.ab-inbev.com</t>
  </si>
  <si>
    <t>Beverages - Brewers</t>
  </si>
  <si>
    <t>Anheuser-Busch InBev SA/NV produces, distributes, exports, markets, and sells beer and beverages. It offers a portfolio of approximately 500 beer brands, which primarily include Budweiser, Corona, and Stella Artois; Beck's, Hoegaarden, Leffe, and Michelob Ultra; and Aguila, Antarctica, Bud Light, Brahma, Cass, Castle, Castle Lite, Cristal, Harbin, Jupiler, Modelo Especial, Quilmes, Victoria, Sedrin, and Skol brands. The company operates in North America, Middle America, South America, Europe, the Middle East, Africa, and the Asia Pacific. The company was founded in 1366 and is headquartered in Leuven, Belgium.</t>
  </si>
  <si>
    <t>https://www.lockheedmartin.com</t>
  </si>
  <si>
    <t>Aerospace &amp; Defense</t>
  </si>
  <si>
    <t>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formerly known as The Lockheed Corporation and changed its name to Lockheed Martin Corporation in March 1995. Lockheed Martin Corporation was founded in 1912 and is based in Bethesda, Maryland.</t>
  </si>
  <si>
    <t>https://www.att.com</t>
  </si>
  <si>
    <t>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Virtual Private Networks, AT&amp;T Dedicated Internet, Ethernet, data services, cloud solutions, outsourcing, and managed professional services,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t>
  </si>
  <si>
    <t>https://www.republicservices.com</t>
  </si>
  <si>
    <t>Waste Management</t>
  </si>
  <si>
    <t>Republic Services, Inc., together with its subsidiaries, offers environmental services in the United States and Canada.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The company was incorporated in 1996 and is based in Phoenix, Arizona.</t>
  </si>
  <si>
    <t>https://press.nordstrom.com</t>
  </si>
  <si>
    <t>Department Stores</t>
  </si>
  <si>
    <t>Nordstrom, Inc., a fashion retailer, provides apparels, shoes, beauty, accessories, and home goods for women, men, young adults, and children. It offers a range of brand-name and private-label merchandise through various channels, such as Nordstrom branded stores and online at Nordstrom.com; Nordstrom.ca; Nordstrom stores; Nordstrom Rack stores; Nordstrom Locals; ASOS; Nordstromrack.com; mobile application; and clearance stores under the Last Chance name. Nordstrom, Inc. was founded in 1901 and is headquartered in Seattle, Washington.</t>
  </si>
  <si>
    <t>https://www.bms.com</t>
  </si>
  <si>
    <t>Drug Manufacturers - General</t>
  </si>
  <si>
    <t>Bristol-Myers Squibb Company discovers, develops, licenses, manufactures, markets, distributes, and sells biopharmaceutical products worldwide. It offers products for hematology, oncology, cardiovascular, immunology, fibrotic, and neuroscience diseases. The company's products include Eliquis for reduction in risk of stroke/systemic embolism in non-valvular atrial fibrillation, and for the treatment of DVT/PE; Opdivo for various anti-cancer indications, including bladder, blood, CRC, head and neck, RCC, HCC, lung, melanoma, MPM, stomach and esophageal cancer; Pomalyst/Imnovid for multiple myeloma; Orencia for active rheumatoid arthritis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Opdualag for the treatment of unresectable or metastatic melanoma; and Zeposia to treat relapsing forms of multiple sclerosis. In addition, the company offers Breyanzi for the treatment of relapsed or refractory large B-cell lymphoma; Onureg for the treatment of AML; Inrebic for the treatment of myelofibrosis; Camzyos for the treatment of symptomatic obstructive HCM to enhance functional capacity and symptom; Sotyktu for the treatment of moderate-to-severe plaque psoriasis; Augtyro for the treatment of locally advanced or metastatic ROS1-positive NSCLC; Revlimid, an oral immunomodulatory drug for the treatment of multiple myeloma; and Abraxane to treat breast cancer, NSCLC and pancreatic cancer. It sells products to wholesalers, distributors, pharmacies, retailers, hospitals, clinics, and government agencies. The company was formerly known as Bristol-Myers Company. Bristol-Myers Squibb Company was founded in 1887 and is headquartered in Princeton, 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</si>
</sst>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_(* #,##0.0000_);_(* \(#,##0.0000\);_(* &quot;-&quot;??_);_(@_)"/>
    <numFmt numFmtId="169" formatCode="0.000"/>
    <numFmt numFmtId="170" formatCode="0.0000"/>
    <numFmt numFmtId="171" formatCode="0.000%"/>
    <numFmt numFmtId="172" formatCode="_(* #,##0.000000_);_(* \(#,##0.000000\);_(*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6"/>
      <color theme="0"/>
      <name val="Calibri"/>
      <family val="2"/>
      <scheme val="minor"/>
    </font>
    <font>
      <sz val="9"/>
      <color theme="1"/>
      <name val="Calibri"/>
      <family val="2"/>
      <scheme val="minor"/>
    </font>
    <font>
      <i/>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8"/>
      <color theme="1"/>
      <name val="Calibri"/>
      <family val="2"/>
      <scheme val="minor"/>
    </font>
    <font>
      <sz val="11"/>
      <color rgb="FFFF0000"/>
      <name val="Calibri"/>
      <family val="2"/>
      <scheme val="minor"/>
    </font>
    <font>
      <i/>
      <sz val="11"/>
      <color rgb="FFFF0000"/>
      <name val="Calibri"/>
      <family val="2"/>
      <scheme val="minor"/>
    </font>
    <font>
      <sz val="12"/>
      <color theme="0"/>
      <name val="Calibri"/>
      <family val="2"/>
      <scheme val="minor"/>
    </font>
    <font>
      <sz val="16"/>
      <name val="Calibri"/>
      <family val="2"/>
      <scheme val="minor"/>
    </font>
    <font>
      <sz val="11"/>
      <name val="Calibri"/>
      <family val="2"/>
      <scheme val="minor"/>
    </font>
    <font>
      <sz val="8"/>
      <color rgb="FFFF0000"/>
      <name val="Calibri"/>
      <family val="2"/>
      <scheme val="minor"/>
    </font>
    <font>
      <b/>
      <sz val="11"/>
      <name val="Calibri"/>
      <family val="2"/>
      <scheme val="minor"/>
    </font>
    <font>
      <b/>
      <sz val="11"/>
      <color rgb="FFFF0000"/>
      <name val="Calibri"/>
      <family val="2"/>
      <scheme val="minor"/>
    </font>
    <font>
      <i/>
      <sz val="11"/>
      <name val="Calibri"/>
      <family val="2"/>
      <scheme val="minor"/>
    </font>
    <font>
      <sz val="11"/>
      <color theme="0"/>
      <name val="Calibri"/>
      <family val="2"/>
      <scheme val="minor"/>
    </font>
    <font>
      <strike/>
      <sz val="11"/>
      <color theme="1"/>
      <name val="Calibri"/>
      <family val="2"/>
      <scheme val="minor"/>
    </font>
    <font>
      <sz val="11"/>
      <color rgb="FF7030A0"/>
      <name val="Calibri"/>
      <family val="2"/>
      <scheme val="minor"/>
    </font>
  </fonts>
  <fills count="15">
    <fill>
      <patternFill patternType="none"/>
    </fill>
    <fill>
      <patternFill patternType="gray125"/>
    </fill>
    <fill>
      <patternFill patternType="solid">
        <fgColor rgb="FF00306C"/>
        <bgColor indexed="64"/>
      </patternFill>
    </fill>
    <fill>
      <patternFill patternType="solid">
        <fgColor rgb="FF009999"/>
        <bgColor indexed="64"/>
      </patternFill>
    </fill>
    <fill>
      <patternFill patternType="solid">
        <fgColor theme="5"/>
        <bgColor indexed="64"/>
      </patternFill>
    </fill>
    <fill>
      <patternFill patternType="solid">
        <fgColor theme="2"/>
        <bgColor indexed="64"/>
      </patternFill>
    </fill>
    <fill>
      <patternFill patternType="solid">
        <fgColor theme="7" tint="0.79998168889431442"/>
        <bgColor indexed="64"/>
      </patternFill>
    </fill>
    <fill>
      <patternFill patternType="solid">
        <fgColor rgb="FFC00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bgColor indexed="64"/>
      </patternFill>
    </fill>
    <fill>
      <patternFill patternType="solid">
        <fgColor rgb="FF00B050"/>
        <bgColor indexed="64"/>
      </patternFill>
    </fill>
    <fill>
      <patternFill patternType="solid">
        <fgColor rgb="FFFFC000"/>
        <bgColor indexed="64"/>
      </patternFill>
    </fill>
  </fills>
  <borders count="9">
    <border>
      <left/>
      <right/>
      <top/>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thin">
        <color indexed="64"/>
      </top>
      <bottom/>
      <diagonal/>
    </border>
  </borders>
  <cellStyleXfs count="5">
    <xf numFmtId="0" fontId="0" fillId="0" borderId="0"/>
    <xf numFmtId="43" fontId="1" fillId="0" borderId="0" applyFont="0" applyFill="0" applyBorder="0" applyAlignment="0" applyProtection="0"/>
    <xf numFmtId="0" fontId="10"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154">
    <xf numFmtId="0" fontId="0" fillId="0" borderId="0" xfId="0"/>
    <xf numFmtId="0" fontId="6" fillId="0" borderId="1" xfId="0" applyFont="1" applyBorder="1"/>
    <xf numFmtId="0" fontId="2" fillId="4" borderId="0" xfId="0" applyFont="1" applyFill="1"/>
    <xf numFmtId="0" fontId="3" fillId="0" borderId="0" xfId="0" applyFont="1"/>
    <xf numFmtId="0" fontId="0" fillId="0" borderId="2" xfId="0" applyBorder="1"/>
    <xf numFmtId="0" fontId="3" fillId="0" borderId="3" xfId="0" applyFont="1" applyBorder="1"/>
    <xf numFmtId="0" fontId="3" fillId="0" borderId="1" xfId="0" applyFont="1" applyBorder="1"/>
    <xf numFmtId="0" fontId="7" fillId="0" borderId="0" xfId="0" applyFont="1"/>
    <xf numFmtId="164" fontId="0" fillId="0" borderId="0" xfId="1" applyNumberFormat="1" applyFont="1"/>
    <xf numFmtId="165" fontId="6" fillId="0" borderId="1" xfId="1" applyNumberFormat="1" applyFont="1" applyBorder="1"/>
    <xf numFmtId="165" fontId="0" fillId="0" borderId="0" xfId="1" applyNumberFormat="1" applyFont="1"/>
    <xf numFmtId="165" fontId="2" fillId="4" borderId="0" xfId="1" applyNumberFormat="1" applyFont="1" applyFill="1"/>
    <xf numFmtId="165" fontId="3" fillId="0" borderId="0" xfId="1" applyNumberFormat="1" applyFont="1"/>
    <xf numFmtId="165" fontId="0" fillId="0" borderId="2" xfId="1" applyNumberFormat="1" applyFont="1" applyBorder="1"/>
    <xf numFmtId="165" fontId="3" fillId="0" borderId="3" xfId="1" applyNumberFormat="1" applyFont="1" applyBorder="1"/>
    <xf numFmtId="165" fontId="3" fillId="0" borderId="1" xfId="1" applyNumberFormat="1" applyFont="1" applyBorder="1"/>
    <xf numFmtId="165" fontId="7" fillId="0" borderId="0" xfId="1" applyNumberFormat="1" applyFont="1"/>
    <xf numFmtId="165" fontId="0" fillId="5" borderId="0" xfId="1" applyNumberFormat="1" applyFont="1" applyFill="1"/>
    <xf numFmtId="165" fontId="0" fillId="5" borderId="2" xfId="1" applyNumberFormat="1" applyFont="1" applyFill="1" applyBorder="1"/>
    <xf numFmtId="0" fontId="10" fillId="0" borderId="0" xfId="2"/>
    <xf numFmtId="9" fontId="0" fillId="0" borderId="0" xfId="0" applyNumberFormat="1"/>
    <xf numFmtId="0" fontId="0" fillId="0" borderId="0" xfId="0" applyAlignment="1">
      <alignment horizontal="right"/>
    </xf>
    <xf numFmtId="14" fontId="0" fillId="0" borderId="0" xfId="0" applyNumberFormat="1"/>
    <xf numFmtId="6" fontId="0" fillId="0" borderId="0" xfId="0" applyNumberFormat="1"/>
    <xf numFmtId="3" fontId="0" fillId="0" borderId="0" xfId="0" applyNumberFormat="1"/>
    <xf numFmtId="0" fontId="0" fillId="0" borderId="0" xfId="1" applyNumberFormat="1" applyFont="1"/>
    <xf numFmtId="164" fontId="0" fillId="5" borderId="0" xfId="1" applyNumberFormat="1" applyFont="1" applyFill="1"/>
    <xf numFmtId="14" fontId="0" fillId="5" borderId="0" xfId="0" applyNumberFormat="1" applyFill="1"/>
    <xf numFmtId="0" fontId="2" fillId="3" borderId="0" xfId="1" applyNumberFormat="1" applyFont="1" applyFill="1"/>
    <xf numFmtId="0" fontId="2" fillId="2" borderId="0" xfId="1" applyNumberFormat="1" applyFont="1" applyFill="1"/>
    <xf numFmtId="166" fontId="0" fillId="6" borderId="0" xfId="3" applyNumberFormat="1" applyFont="1" applyFill="1"/>
    <xf numFmtId="165" fontId="0" fillId="6" borderId="0" xfId="1" applyNumberFormat="1" applyFont="1" applyFill="1"/>
    <xf numFmtId="0" fontId="3" fillId="0" borderId="2" xfId="0" applyFont="1" applyBorder="1"/>
    <xf numFmtId="9" fontId="0" fillId="0" borderId="0" xfId="3" applyFont="1" applyAlignment="1">
      <alignment horizontal="center"/>
    </xf>
    <xf numFmtId="165" fontId="3" fillId="0" borderId="2" xfId="1" applyNumberFormat="1" applyFont="1" applyBorder="1"/>
    <xf numFmtId="165" fontId="0" fillId="0" borderId="0" xfId="0" applyNumberFormat="1"/>
    <xf numFmtId="0" fontId="2" fillId="2" borderId="4" xfId="0" applyFont="1" applyFill="1" applyBorder="1"/>
    <xf numFmtId="0" fontId="0" fillId="0" borderId="4" xfId="0" applyBorder="1"/>
    <xf numFmtId="0" fontId="0" fillId="0" borderId="4" xfId="0" quotePrefix="1" applyBorder="1"/>
    <xf numFmtId="165" fontId="0" fillId="6" borderId="2" xfId="1" applyNumberFormat="1" applyFont="1" applyFill="1" applyBorder="1"/>
    <xf numFmtId="165" fontId="0" fillId="0" borderId="2" xfId="0" applyNumberFormat="1" applyBorder="1"/>
    <xf numFmtId="43" fontId="0" fillId="0" borderId="0" xfId="1" applyFont="1"/>
    <xf numFmtId="167" fontId="0" fillId="0" borderId="0" xfId="1" applyNumberFormat="1" applyFont="1"/>
    <xf numFmtId="165" fontId="11" fillId="0" borderId="0" xfId="1" applyNumberFormat="1" applyFont="1"/>
    <xf numFmtId="44" fontId="0" fillId="0" borderId="0" xfId="4" applyFont="1"/>
    <xf numFmtId="22" fontId="0" fillId="0" borderId="0" xfId="0" applyNumberFormat="1"/>
    <xf numFmtId="0" fontId="13" fillId="0" borderId="0" xfId="0" applyFont="1"/>
    <xf numFmtId="166" fontId="0" fillId="5" borderId="0" xfId="3" applyNumberFormat="1" applyFont="1" applyFill="1"/>
    <xf numFmtId="165" fontId="0" fillId="0" borderId="0" xfId="1" applyNumberFormat="1" applyFont="1" applyFill="1"/>
    <xf numFmtId="0" fontId="2" fillId="7" borderId="0" xfId="0" applyFont="1" applyFill="1" applyAlignment="1">
      <alignment horizontal="center"/>
    </xf>
    <xf numFmtId="0" fontId="14" fillId="2" borderId="0" xfId="0" applyFont="1" applyFill="1" applyAlignment="1">
      <alignment horizontal="center" vertical="center"/>
    </xf>
    <xf numFmtId="0" fontId="0" fillId="8" borderId="0" xfId="0" applyFill="1"/>
    <xf numFmtId="0" fontId="3" fillId="5" borderId="1" xfId="0" applyFont="1" applyFill="1" applyBorder="1"/>
    <xf numFmtId="165" fontId="3" fillId="5" borderId="1" xfId="1" applyNumberFormat="1" applyFont="1" applyFill="1" applyBorder="1"/>
    <xf numFmtId="165" fontId="3" fillId="0" borderId="0" xfId="1" applyNumberFormat="1" applyFont="1" applyBorder="1"/>
    <xf numFmtId="0" fontId="16" fillId="0" borderId="0" xfId="0" applyFont="1"/>
    <xf numFmtId="0" fontId="3" fillId="0" borderId="7" xfId="0" applyFont="1" applyBorder="1"/>
    <xf numFmtId="165" fontId="3" fillId="0" borderId="7" xfId="1" applyNumberFormat="1" applyFont="1" applyBorder="1"/>
    <xf numFmtId="0" fontId="0" fillId="9" borderId="0" xfId="0" applyFill="1"/>
    <xf numFmtId="165" fontId="0" fillId="0" borderId="0" xfId="1" applyNumberFormat="1" applyFont="1" applyBorder="1"/>
    <xf numFmtId="165" fontId="0" fillId="9" borderId="0" xfId="1" applyNumberFormat="1" applyFont="1" applyFill="1" applyBorder="1"/>
    <xf numFmtId="0" fontId="3" fillId="9" borderId="0" xfId="0" applyFont="1" applyFill="1"/>
    <xf numFmtId="166" fontId="12" fillId="5" borderId="0" xfId="3" applyNumberFormat="1" applyFont="1" applyFill="1"/>
    <xf numFmtId="165" fontId="12" fillId="5" borderId="0" xfId="1" applyNumberFormat="1" applyFont="1" applyFill="1"/>
    <xf numFmtId="165" fontId="12" fillId="6" borderId="0" xfId="1" applyNumberFormat="1" applyFont="1" applyFill="1"/>
    <xf numFmtId="165" fontId="12" fillId="0" borderId="0" xfId="1" applyNumberFormat="1" applyFont="1"/>
    <xf numFmtId="165" fontId="12" fillId="0" borderId="0" xfId="1" applyNumberFormat="1" applyFont="1" applyFill="1"/>
    <xf numFmtId="0" fontId="12" fillId="0" borderId="0" xfId="0" applyFont="1"/>
    <xf numFmtId="166" fontId="16" fillId="5" borderId="0" xfId="3" applyNumberFormat="1" applyFont="1" applyFill="1"/>
    <xf numFmtId="14" fontId="16" fillId="0" borderId="0" xfId="0" applyNumberFormat="1" applyFont="1"/>
    <xf numFmtId="166" fontId="16" fillId="0" borderId="0" xfId="3" applyNumberFormat="1" applyFont="1"/>
    <xf numFmtId="8" fontId="16" fillId="0" borderId="0" xfId="0" applyNumberFormat="1" applyFont="1"/>
    <xf numFmtId="3" fontId="16" fillId="0" borderId="0" xfId="0" applyNumberFormat="1" applyFont="1"/>
    <xf numFmtId="165" fontId="0" fillId="5" borderId="0" xfId="1" applyNumberFormat="1" applyFont="1" applyFill="1" applyBorder="1"/>
    <xf numFmtId="0" fontId="0" fillId="0" borderId="8" xfId="0" applyBorder="1"/>
    <xf numFmtId="165" fontId="0" fillId="0" borderId="8" xfId="1" applyNumberFormat="1" applyFont="1" applyBorder="1"/>
    <xf numFmtId="43" fontId="0" fillId="0" borderId="0" xfId="0" applyNumberFormat="1"/>
    <xf numFmtId="0" fontId="17" fillId="0" borderId="0" xfId="0" applyFont="1"/>
    <xf numFmtId="166" fontId="0" fillId="0" borderId="0" xfId="3" applyNumberFormat="1" applyFont="1"/>
    <xf numFmtId="10" fontId="0" fillId="0" borderId="0" xfId="3" applyNumberFormat="1" applyFont="1"/>
    <xf numFmtId="0" fontId="0" fillId="0" borderId="0" xfId="0" applyAlignment="1">
      <alignment horizontal="center"/>
    </xf>
    <xf numFmtId="166" fontId="16" fillId="6" borderId="0" xfId="3" applyNumberFormat="1" applyFont="1" applyFill="1"/>
    <xf numFmtId="165" fontId="1" fillId="0" borderId="0" xfId="1" applyNumberFormat="1" applyFont="1"/>
    <xf numFmtId="164" fontId="16" fillId="6" borderId="0" xfId="1" applyNumberFormat="1" applyFont="1" applyFill="1"/>
    <xf numFmtId="168" fontId="0" fillId="0" borderId="0" xfId="1" applyNumberFormat="1" applyFont="1"/>
    <xf numFmtId="165" fontId="16" fillId="0" borderId="0" xfId="1" applyNumberFormat="1" applyFont="1"/>
    <xf numFmtId="169" fontId="0" fillId="0" borderId="0" xfId="0" applyNumberFormat="1"/>
    <xf numFmtId="165" fontId="12" fillId="5" borderId="0" xfId="1" applyNumberFormat="1" applyFont="1" applyFill="1" applyBorder="1"/>
    <xf numFmtId="165" fontId="19" fillId="0" borderId="7" xfId="1" applyNumberFormat="1" applyFont="1" applyBorder="1"/>
    <xf numFmtId="165" fontId="3" fillId="9" borderId="0" xfId="1" applyNumberFormat="1" applyFont="1" applyFill="1" applyBorder="1"/>
    <xf numFmtId="165" fontId="3" fillId="0" borderId="0" xfId="1" applyNumberFormat="1" applyFont="1" applyFill="1" applyBorder="1"/>
    <xf numFmtId="10" fontId="7" fillId="0" borderId="0" xfId="3" applyNumberFormat="1" applyFont="1"/>
    <xf numFmtId="10" fontId="3" fillId="0" borderId="0" xfId="3" applyNumberFormat="1" applyFont="1"/>
    <xf numFmtId="165" fontId="18" fillId="0" borderId="0" xfId="1" applyNumberFormat="1" applyFont="1"/>
    <xf numFmtId="165" fontId="16" fillId="0" borderId="0" xfId="1" applyNumberFormat="1" applyFont="1" applyBorder="1"/>
    <xf numFmtId="165" fontId="18" fillId="0" borderId="1" xfId="1" applyNumberFormat="1" applyFont="1" applyBorder="1"/>
    <xf numFmtId="165" fontId="18" fillId="5" borderId="1" xfId="1" applyNumberFormat="1" applyFont="1" applyFill="1" applyBorder="1"/>
    <xf numFmtId="165" fontId="18" fillId="0" borderId="0" xfId="1" applyNumberFormat="1" applyFont="1" applyFill="1" applyBorder="1"/>
    <xf numFmtId="10" fontId="20" fillId="0" borderId="0" xfId="3" applyNumberFormat="1" applyFont="1"/>
    <xf numFmtId="170" fontId="0" fillId="0" borderId="0" xfId="0" applyNumberFormat="1"/>
    <xf numFmtId="0" fontId="18" fillId="0" borderId="3" xfId="0" applyFont="1" applyBorder="1"/>
    <xf numFmtId="165" fontId="18" fillId="0" borderId="3" xfId="1" applyNumberFormat="1" applyFont="1" applyFill="1" applyBorder="1"/>
    <xf numFmtId="0" fontId="0" fillId="0" borderId="3" xfId="0" applyBorder="1"/>
    <xf numFmtId="165" fontId="0" fillId="0" borderId="3" xfId="1" applyNumberFormat="1" applyFont="1" applyBorder="1"/>
    <xf numFmtId="165" fontId="0" fillId="3" borderId="0" xfId="1" applyNumberFormat="1" applyFont="1" applyFill="1"/>
    <xf numFmtId="0" fontId="3" fillId="0" borderId="0" xfId="0" applyFont="1" applyAlignment="1">
      <alignment horizontal="right"/>
    </xf>
    <xf numFmtId="165" fontId="12" fillId="0" borderId="0" xfId="0" applyNumberFormat="1" applyFont="1"/>
    <xf numFmtId="165" fontId="21" fillId="0" borderId="0" xfId="1" applyNumberFormat="1" applyFont="1"/>
    <xf numFmtId="165" fontId="0" fillId="0" borderId="0" xfId="1" applyNumberFormat="1" applyFont="1" applyFill="1" applyBorder="1"/>
    <xf numFmtId="0" fontId="3" fillId="8" borderId="7" xfId="0" applyFont="1" applyFill="1" applyBorder="1"/>
    <xf numFmtId="165" fontId="3" fillId="8" borderId="7" xfId="1" applyNumberFormat="1" applyFont="1" applyFill="1" applyBorder="1"/>
    <xf numFmtId="165" fontId="16" fillId="0" borderId="0" xfId="1" applyNumberFormat="1" applyFont="1" applyFill="1" applyBorder="1"/>
    <xf numFmtId="165" fontId="19" fillId="0" borderId="0" xfId="1" applyNumberFormat="1" applyFont="1" applyBorder="1"/>
    <xf numFmtId="165" fontId="16" fillId="5" borderId="0" xfId="1" applyNumberFormat="1" applyFont="1" applyFill="1"/>
    <xf numFmtId="0" fontId="11" fillId="0" borderId="0" xfId="0" applyFont="1"/>
    <xf numFmtId="165" fontId="0" fillId="0" borderId="2" xfId="1" applyNumberFormat="1" applyFont="1" applyFill="1" applyBorder="1"/>
    <xf numFmtId="171" fontId="0" fillId="0" borderId="0" xfId="3" applyNumberFormat="1" applyFont="1"/>
    <xf numFmtId="0" fontId="18" fillId="11" borderId="0" xfId="0" applyFont="1" applyFill="1"/>
    <xf numFmtId="165" fontId="18" fillId="11" borderId="0" xfId="1" applyNumberFormat="1" applyFont="1" applyFill="1"/>
    <xf numFmtId="0" fontId="2" fillId="12" borderId="0" xfId="1" applyNumberFormat="1" applyFont="1" applyFill="1"/>
    <xf numFmtId="0" fontId="22" fillId="0" borderId="0" xfId="0" applyFont="1"/>
    <xf numFmtId="0" fontId="22" fillId="0" borderId="0" xfId="0" applyFont="1" applyAlignment="1">
      <alignment wrapText="1"/>
    </xf>
    <xf numFmtId="169" fontId="12" fillId="8" borderId="0" xfId="0" applyNumberFormat="1" applyFont="1" applyFill="1" applyAlignment="1">
      <alignment horizontal="right"/>
    </xf>
    <xf numFmtId="1" fontId="0" fillId="0" borderId="0" xfId="1" applyNumberFormat="1" applyFont="1"/>
    <xf numFmtId="0" fontId="0" fillId="0" borderId="1" xfId="0" applyBorder="1"/>
    <xf numFmtId="165" fontId="12" fillId="0" borderId="1" xfId="1" applyNumberFormat="1" applyFont="1" applyFill="1" applyBorder="1"/>
    <xf numFmtId="165" fontId="0" fillId="0" borderId="1" xfId="1" applyNumberFormat="1" applyFont="1" applyFill="1" applyBorder="1"/>
    <xf numFmtId="165" fontId="0" fillId="0" borderId="1" xfId="1" applyNumberFormat="1" applyFont="1" applyBorder="1"/>
    <xf numFmtId="165" fontId="0" fillId="8" borderId="0" xfId="1" applyNumberFormat="1" applyFont="1" applyFill="1"/>
    <xf numFmtId="0" fontId="0" fillId="13" borderId="0" xfId="0" applyFill="1"/>
    <xf numFmtId="0" fontId="23" fillId="10" borderId="0" xfId="0" applyFont="1" applyFill="1"/>
    <xf numFmtId="166" fontId="16" fillId="14" borderId="0" xfId="3" applyNumberFormat="1" applyFont="1" applyFill="1"/>
    <xf numFmtId="165" fontId="1" fillId="0" borderId="0" xfId="1" applyNumberFormat="1" applyFont="1" applyBorder="1"/>
    <xf numFmtId="0" fontId="0" fillId="10" borderId="0" xfId="0" applyFill="1"/>
    <xf numFmtId="165" fontId="12" fillId="14" borderId="0" xfId="1" applyNumberFormat="1" applyFont="1" applyFill="1"/>
    <xf numFmtId="164" fontId="16" fillId="5" borderId="0" xfId="1" applyNumberFormat="1" applyFont="1" applyFill="1"/>
    <xf numFmtId="172" fontId="0" fillId="5" borderId="0" xfId="1" applyNumberFormat="1" applyFont="1" applyFill="1"/>
    <xf numFmtId="171" fontId="16" fillId="0" borderId="0" xfId="0" applyNumberFormat="1" applyFont="1"/>
    <xf numFmtId="166" fontId="0" fillId="0" borderId="0" xfId="3" applyNumberFormat="1" applyFont="1" applyFill="1"/>
    <xf numFmtId="167" fontId="0" fillId="0" borderId="0" xfId="1" applyNumberFormat="1" applyFont="1" applyFill="1"/>
    <xf numFmtId="166" fontId="0" fillId="0" borderId="0" xfId="3" applyNumberFormat="1" applyFont="1" applyFill="1" applyAlignment="1">
      <alignment horizontal="center"/>
    </xf>
    <xf numFmtId="165" fontId="11" fillId="0" borderId="0" xfId="1" applyNumberFormat="1" applyFont="1" applyFill="1"/>
    <xf numFmtId="44" fontId="0" fillId="0" borderId="0" xfId="4" applyFont="1" applyFill="1"/>
    <xf numFmtId="44" fontId="0" fillId="6" borderId="0" xfId="4" applyFont="1" applyFill="1"/>
    <xf numFmtId="165" fontId="2" fillId="3" borderId="0" xfId="1" applyNumberFormat="1" applyFont="1" applyFill="1" applyAlignment="1">
      <alignment horizontal="center"/>
    </xf>
    <xf numFmtId="165" fontId="2" fillId="2" borderId="0" xfId="1" applyNumberFormat="1" applyFont="1" applyFill="1" applyAlignment="1">
      <alignment horizontal="center"/>
    </xf>
    <xf numFmtId="0" fontId="5" fillId="2" borderId="2" xfId="0" applyFont="1" applyFill="1" applyBorder="1" applyAlignment="1">
      <alignment horizontal="center"/>
    </xf>
    <xf numFmtId="0" fontId="15" fillId="6" borderId="5" xfId="0" applyFont="1" applyFill="1" applyBorder="1" applyAlignment="1">
      <alignment horizontal="center" vertical="center"/>
    </xf>
    <xf numFmtId="0" fontId="15" fillId="6" borderId="3" xfId="0" applyFont="1" applyFill="1" applyBorder="1" applyAlignment="1">
      <alignment horizontal="center" vertical="center"/>
    </xf>
    <xf numFmtId="0" fontId="15" fillId="6" borderId="6" xfId="0" applyFont="1" applyFill="1" applyBorder="1" applyAlignment="1">
      <alignment horizontal="center" vertical="center"/>
    </xf>
    <xf numFmtId="0" fontId="5" fillId="2" borderId="0" xfId="0" applyFont="1" applyFill="1" applyAlignment="1">
      <alignment horizontal="center"/>
    </xf>
    <xf numFmtId="0" fontId="0" fillId="0" borderId="0" xfId="0" applyNumberFormat="1"/>
    <xf numFmtId="167" fontId="12" fillId="8" borderId="0" xfId="1" applyNumberFormat="1" applyFont="1" applyFill="1"/>
    <xf numFmtId="10" fontId="12" fillId="8" borderId="0" xfId="3" applyNumberFormat="1" applyFont="1" applyFill="1"/>
  </cellXfs>
  <cellStyles count="5">
    <cellStyle name="Comma" xfId="1" builtinId="3"/>
    <cellStyle name="Currency" xfId="4" builtinId="4"/>
    <cellStyle name="Hyperlink" xfId="2" builtinId="8"/>
    <cellStyle name="Normal" xfId="0" builtinId="0"/>
    <cellStyle name="Percent" xfId="3" builtinId="5"/>
  </cellStyles>
  <dxfs count="357">
    <dxf>
      <numFmt numFmtId="165" formatCode="_(* #,##0_);_(* \(#,##0\);_(* &quot;-&quot;??_);_(@_)"/>
    </dxf>
    <dxf>
      <numFmt numFmtId="0" formatCode="General"/>
    </dxf>
    <dxf>
      <numFmt numFmtId="0" formatCode="General"/>
    </dxf>
    <dxf>
      <numFmt numFmtId="19" formatCode="m/d/yyyy"/>
    </dxf>
    <dxf>
      <numFmt numFmtId="19" formatCode="m/d/yyyy"/>
    </dxf>
    <dxf>
      <numFmt numFmtId="19" formatCode="m/d/yyyy"/>
    </dxf>
    <dxf>
      <numFmt numFmtId="19" formatCode="m/d/yyyy"/>
    </dxf>
    <dxf>
      <numFmt numFmtId="19" formatCode="m/d/yyyy"/>
    </dxf>
    <dxf>
      <numFmt numFmtId="19" formatCode="m/d/yyyy"/>
    </dxf>
    <dxf>
      <fill>
        <patternFill>
          <bgColor theme="9" tint="0.79998168889431442"/>
        </patternFill>
      </fill>
    </dxf>
    <dxf>
      <fill>
        <patternFill>
          <bgColor rgb="FFFFCCCC"/>
        </patternFill>
      </fill>
    </dxf>
    <dxf>
      <font>
        <color rgb="FF9C0006"/>
      </font>
      <fill>
        <patternFill>
          <bgColor rgb="FFFFC7CE"/>
        </patternFill>
      </fill>
    </dxf>
    <dxf>
      <font>
        <color rgb="FF006100"/>
      </font>
      <fill>
        <patternFill>
          <bgColor rgb="FFC6EFCE"/>
        </patternFill>
      </fill>
    </dxf>
    <dxf>
      <numFmt numFmtId="171" formatCode="0.000%"/>
    </dxf>
    <dxf>
      <numFmt numFmtId="171" formatCode="0.000%"/>
    </dxf>
    <dxf>
      <numFmt numFmtId="171" formatCode="0.000%"/>
    </dxf>
    <dxf>
      <numFmt numFmtId="171" formatCode="0.000%"/>
    </dxf>
    <dxf>
      <numFmt numFmtId="171" formatCode="0.000%"/>
    </dxf>
    <dxf>
      <numFmt numFmtId="19" formatCode="m/d/yyyy"/>
    </dxf>
    <dxf>
      <numFmt numFmtId="19" formatCode="m/d/yyyy"/>
    </dxf>
    <dxf>
      <numFmt numFmtId="19" formatCode="m/d/yyyy"/>
    </dxf>
    <dxf>
      <numFmt numFmtId="27" formatCode="m/d/yyyy\ h:mm"/>
    </dxf>
    <dxf>
      <numFmt numFmtId="27" formatCode="m/d/yyyy\ h:mm"/>
    </dxf>
    <dxf>
      <numFmt numFmtId="27" formatCode="m/d/yyyy\ h:mm"/>
    </dxf>
    <dxf>
      <numFmt numFmtId="165" formatCode="_(* #,##0_);_(* \(#,##0\);_(* &quot;-&quot;??_);_(@_)"/>
    </dxf>
    <dxf>
      <numFmt numFmtId="27" formatCode="m/d/yyyy\ h:mm"/>
    </dxf>
    <dxf>
      <numFmt numFmtId="166" formatCode="0.0%"/>
    </dxf>
    <dxf>
      <numFmt numFmtId="166" formatCode="0.0%"/>
    </dxf>
    <dxf>
      <numFmt numFmtId="165" formatCode="_(* #,##0_);_(* \(#,##0\);_(* &quot;-&quot;??_);_(@_)"/>
    </dxf>
    <dxf>
      <numFmt numFmtId="166" formatCode="0.0%"/>
    </dxf>
    <dxf>
      <numFmt numFmtId="166" formatCode="0.0%"/>
    </dxf>
    <dxf>
      <numFmt numFmtId="166" formatCode="0.0%"/>
    </dxf>
    <dxf>
      <numFmt numFmtId="166" formatCode="0.0%"/>
    </dxf>
    <dxf>
      <numFmt numFmtId="166" formatCode="0.0%"/>
    </dxf>
    <dxf>
      <numFmt numFmtId="19" formatCode="m/d/yyyy"/>
    </dxf>
    <dxf>
      <numFmt numFmtId="0" formatCode="General"/>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0" formatCode="General"/>
    </dxf>
    <dxf>
      <numFmt numFmtId="0" formatCode="General"/>
    </dxf>
    <dxf>
      <numFmt numFmtId="19" formatCode="m/d/yyyy"/>
    </dxf>
    <dxf>
      <numFmt numFmtId="0" formatCode="General"/>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9" formatCode="m/d/yyyy"/>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s>
  <tableStyles count="0" defaultTableStyle="TableStyleMedium2" defaultPivotStyle="PivotStyleLight16"/>
  <colors>
    <mruColors>
      <color rgb="FFFFCCCC"/>
      <color rgb="FF009999"/>
      <color rgb="FF0C78C2"/>
      <color rgb="FF0030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1219200</xdr:colOff>
      <xdr:row>1</xdr:row>
      <xdr:rowOff>158750</xdr:rowOff>
    </xdr:from>
    <xdr:to>
      <xdr:col>5</xdr:col>
      <xdr:colOff>171450</xdr:colOff>
      <xdr:row>9</xdr:row>
      <xdr:rowOff>101600</xdr:rowOff>
    </xdr:to>
    <xdr:sp macro="" textlink="">
      <xdr:nvSpPr>
        <xdr:cNvPr id="2" name="Rectangle: Folded Corner 1">
          <a:extLst>
            <a:ext uri="{FF2B5EF4-FFF2-40B4-BE49-F238E27FC236}">
              <a16:creationId xmlns:a16="http://schemas.microsoft.com/office/drawing/2014/main" id="{A3DE1741-C796-B8E7-ED82-BA158D21AC55}"/>
            </a:ext>
          </a:extLst>
        </xdr:cNvPr>
        <xdr:cNvSpPr/>
      </xdr:nvSpPr>
      <xdr:spPr>
        <a:xfrm>
          <a:off x="2609850" y="342900"/>
          <a:ext cx="1689100" cy="1416050"/>
        </a:xfrm>
        <a:prstGeom prst="foldedCorner">
          <a:avLst>
            <a:gd name="adj" fmla="val 11734"/>
          </a:avLst>
        </a:prstGeom>
        <a:solidFill>
          <a:schemeClr val="accent4">
            <a:lumMod val="40000"/>
            <a:lumOff val="60000"/>
          </a:schemeClr>
        </a:solidFill>
        <a:ln>
          <a:solidFill>
            <a:schemeClr val="bg2">
              <a:lumMod val="9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Treasuries are already reflected</a:t>
          </a:r>
          <a:r>
            <a:rPr lang="en-US" sz="1100" baseline="0">
              <a:solidFill>
                <a:sysClr val="windowText" lastClr="000000"/>
              </a:solidFill>
            </a:rPr>
            <a:t> as annual rate returns, so no need to normalize for yearly return.</a:t>
          </a:r>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0</xdr:row>
      <xdr:rowOff>0</xdr:rowOff>
    </xdr:from>
    <xdr:to>
      <xdr:col>9</xdr:col>
      <xdr:colOff>30124</xdr:colOff>
      <xdr:row>18</xdr:row>
      <xdr:rowOff>90374</xdr:rowOff>
    </xdr:to>
    <xdr:pic>
      <xdr:nvPicPr>
        <xdr:cNvPr id="2" name="Picture 1">
          <a:extLst>
            <a:ext uri="{FF2B5EF4-FFF2-40B4-BE49-F238E27FC236}">
              <a16:creationId xmlns:a16="http://schemas.microsoft.com/office/drawing/2014/main" id="{2EEB15A9-D2ED-48E1-97B1-A6613D8FA49C}"/>
            </a:ext>
          </a:extLst>
        </xdr:cNvPr>
        <xdr:cNvPicPr>
          <a:picLocks noChangeAspect="1"/>
        </xdr:cNvPicPr>
      </xdr:nvPicPr>
      <xdr:blipFill>
        <a:blip xmlns:r="http://schemas.openxmlformats.org/officeDocument/2006/relationships" r:embed="rId1"/>
        <a:stretch>
          <a:fillRect/>
        </a:stretch>
      </xdr:blipFill>
      <xdr:spPr>
        <a:xfrm>
          <a:off x="50800" y="0"/>
          <a:ext cx="5465724" cy="3405074"/>
        </a:xfrm>
        <a:prstGeom prst="rect">
          <a:avLst/>
        </a:prstGeom>
      </xdr:spPr>
    </xdr:pic>
    <xdr:clientData/>
  </xdr:twoCellAnchor>
  <xdr:twoCellAnchor editAs="oneCell">
    <xdr:from>
      <xdr:col>1</xdr:col>
      <xdr:colOff>44450</xdr:colOff>
      <xdr:row>5</xdr:row>
      <xdr:rowOff>101600</xdr:rowOff>
    </xdr:from>
    <xdr:to>
      <xdr:col>13</xdr:col>
      <xdr:colOff>338112</xdr:colOff>
      <xdr:row>16</xdr:row>
      <xdr:rowOff>125272</xdr:rowOff>
    </xdr:to>
    <xdr:pic>
      <xdr:nvPicPr>
        <xdr:cNvPr id="4" name="Picture 3">
          <a:extLst>
            <a:ext uri="{FF2B5EF4-FFF2-40B4-BE49-F238E27FC236}">
              <a16:creationId xmlns:a16="http://schemas.microsoft.com/office/drawing/2014/main" id="{641EFEF9-CF5C-4AAF-8B9B-EE9D0EBF693D}"/>
            </a:ext>
          </a:extLst>
        </xdr:cNvPr>
        <xdr:cNvPicPr>
          <a:picLocks noChangeAspect="1"/>
        </xdr:cNvPicPr>
      </xdr:nvPicPr>
      <xdr:blipFill>
        <a:blip xmlns:r="http://schemas.openxmlformats.org/officeDocument/2006/relationships" r:embed="rId2"/>
        <a:stretch>
          <a:fillRect/>
        </a:stretch>
      </xdr:blipFill>
      <xdr:spPr>
        <a:xfrm>
          <a:off x="654050" y="1022350"/>
          <a:ext cx="7608862" cy="2049322"/>
        </a:xfrm>
        <a:prstGeom prst="rect">
          <a:avLst/>
        </a:prstGeom>
      </xdr:spPr>
    </xdr:pic>
    <xdr:clientData/>
  </xdr:twoCellAnchor>
  <xdr:twoCellAnchor editAs="oneCell">
    <xdr:from>
      <xdr:col>3</xdr:col>
      <xdr:colOff>463550</xdr:colOff>
      <xdr:row>11</xdr:row>
      <xdr:rowOff>41479</xdr:rowOff>
    </xdr:from>
    <xdr:to>
      <xdr:col>13</xdr:col>
      <xdr:colOff>141238</xdr:colOff>
      <xdr:row>23</xdr:row>
      <xdr:rowOff>15183</xdr:rowOff>
    </xdr:to>
    <xdr:pic>
      <xdr:nvPicPr>
        <xdr:cNvPr id="3" name="Picture 2">
          <a:extLst>
            <a:ext uri="{FF2B5EF4-FFF2-40B4-BE49-F238E27FC236}">
              <a16:creationId xmlns:a16="http://schemas.microsoft.com/office/drawing/2014/main" id="{469883BB-79EF-4DE2-84AA-C2A5F6A9631F}"/>
            </a:ext>
          </a:extLst>
        </xdr:cNvPr>
        <xdr:cNvPicPr>
          <a:picLocks noChangeAspect="1"/>
        </xdr:cNvPicPr>
      </xdr:nvPicPr>
      <xdr:blipFill>
        <a:blip xmlns:r="http://schemas.openxmlformats.org/officeDocument/2006/relationships" r:embed="rId3"/>
        <a:stretch>
          <a:fillRect/>
        </a:stretch>
      </xdr:blipFill>
      <xdr:spPr>
        <a:xfrm>
          <a:off x="2292350" y="2067129"/>
          <a:ext cx="5773688" cy="2183504"/>
        </a:xfrm>
        <a:prstGeom prst="rect">
          <a:avLst/>
        </a:prstGeom>
      </xdr:spPr>
    </xdr:pic>
    <xdr:clientData/>
  </xdr:twoCellAnchor>
  <xdr:twoCellAnchor editAs="oneCell">
    <xdr:from>
      <xdr:col>5</xdr:col>
      <xdr:colOff>82550</xdr:colOff>
      <xdr:row>13</xdr:row>
      <xdr:rowOff>76200</xdr:rowOff>
    </xdr:from>
    <xdr:to>
      <xdr:col>16</xdr:col>
      <xdr:colOff>359367</xdr:colOff>
      <xdr:row>29</xdr:row>
      <xdr:rowOff>43762</xdr:rowOff>
    </xdr:to>
    <xdr:pic>
      <xdr:nvPicPr>
        <xdr:cNvPr id="5" name="Picture 4">
          <a:extLst>
            <a:ext uri="{FF2B5EF4-FFF2-40B4-BE49-F238E27FC236}">
              <a16:creationId xmlns:a16="http://schemas.microsoft.com/office/drawing/2014/main" id="{E4B35652-40FF-4D47-A602-490C8525FA28}"/>
            </a:ext>
          </a:extLst>
        </xdr:cNvPr>
        <xdr:cNvPicPr>
          <a:picLocks noChangeAspect="1"/>
        </xdr:cNvPicPr>
      </xdr:nvPicPr>
      <xdr:blipFill>
        <a:blip xmlns:r="http://schemas.openxmlformats.org/officeDocument/2006/relationships" r:embed="rId4"/>
        <a:stretch>
          <a:fillRect/>
        </a:stretch>
      </xdr:blipFill>
      <xdr:spPr>
        <a:xfrm>
          <a:off x="3130550" y="2470150"/>
          <a:ext cx="6982417" cy="2913962"/>
        </a:xfrm>
        <a:prstGeom prst="rect">
          <a:avLst/>
        </a:prstGeom>
      </xdr:spPr>
    </xdr:pic>
    <xdr:clientData/>
  </xdr:twoCellAnchor>
  <xdr:twoCellAnchor editAs="oneCell">
    <xdr:from>
      <xdr:col>6</xdr:col>
      <xdr:colOff>368300</xdr:colOff>
      <xdr:row>15</xdr:row>
      <xdr:rowOff>142185</xdr:rowOff>
    </xdr:from>
    <xdr:to>
      <xdr:col>18</xdr:col>
      <xdr:colOff>360286</xdr:colOff>
      <xdr:row>29</xdr:row>
      <xdr:rowOff>67763</xdr:rowOff>
    </xdr:to>
    <xdr:pic>
      <xdr:nvPicPr>
        <xdr:cNvPr id="6" name="Picture 5">
          <a:extLst>
            <a:ext uri="{FF2B5EF4-FFF2-40B4-BE49-F238E27FC236}">
              <a16:creationId xmlns:a16="http://schemas.microsoft.com/office/drawing/2014/main" id="{D5451A44-6DF1-4108-9303-E48CEE7A91A4}"/>
            </a:ext>
          </a:extLst>
        </xdr:cNvPr>
        <xdr:cNvPicPr>
          <a:picLocks noChangeAspect="1"/>
        </xdr:cNvPicPr>
      </xdr:nvPicPr>
      <xdr:blipFill>
        <a:blip xmlns:r="http://schemas.openxmlformats.org/officeDocument/2006/relationships" r:embed="rId5"/>
        <a:stretch>
          <a:fillRect/>
        </a:stretch>
      </xdr:blipFill>
      <xdr:spPr>
        <a:xfrm>
          <a:off x="4025900" y="2904435"/>
          <a:ext cx="7307186" cy="2503678"/>
        </a:xfrm>
        <a:prstGeom prst="rect">
          <a:avLst/>
        </a:prstGeom>
      </xdr:spPr>
    </xdr:pic>
    <xdr:clientData/>
  </xdr:twoCellAnchor>
  <xdr:twoCellAnchor editAs="oneCell">
    <xdr:from>
      <xdr:col>7</xdr:col>
      <xdr:colOff>431800</xdr:colOff>
      <xdr:row>19</xdr:row>
      <xdr:rowOff>19050</xdr:rowOff>
    </xdr:from>
    <xdr:to>
      <xdr:col>22</xdr:col>
      <xdr:colOff>190606</xdr:colOff>
      <xdr:row>45</xdr:row>
      <xdr:rowOff>149375</xdr:rowOff>
    </xdr:to>
    <xdr:pic>
      <xdr:nvPicPr>
        <xdr:cNvPr id="7" name="Picture 6">
          <a:extLst>
            <a:ext uri="{FF2B5EF4-FFF2-40B4-BE49-F238E27FC236}">
              <a16:creationId xmlns:a16="http://schemas.microsoft.com/office/drawing/2014/main" id="{6DA88D8E-15B4-4EED-8800-74424C9D0DBF}"/>
            </a:ext>
          </a:extLst>
        </xdr:cNvPr>
        <xdr:cNvPicPr>
          <a:picLocks noChangeAspect="1"/>
        </xdr:cNvPicPr>
      </xdr:nvPicPr>
      <xdr:blipFill>
        <a:blip xmlns:r="http://schemas.openxmlformats.org/officeDocument/2006/relationships" r:embed="rId6"/>
        <a:stretch>
          <a:fillRect/>
        </a:stretch>
      </xdr:blipFill>
      <xdr:spPr>
        <a:xfrm>
          <a:off x="4699000" y="3517900"/>
          <a:ext cx="8902806" cy="4918225"/>
        </a:xfrm>
        <a:prstGeom prst="rect">
          <a:avLst/>
        </a:prstGeom>
      </xdr:spPr>
    </xdr:pic>
    <xdr:clientData/>
  </xdr:twoCellAnchor>
  <xdr:twoCellAnchor editAs="oneCell">
    <xdr:from>
      <xdr:col>17</xdr:col>
      <xdr:colOff>0</xdr:colOff>
      <xdr:row>31</xdr:row>
      <xdr:rowOff>162770</xdr:rowOff>
    </xdr:from>
    <xdr:to>
      <xdr:col>29</xdr:col>
      <xdr:colOff>76483</xdr:colOff>
      <xdr:row>38</xdr:row>
      <xdr:rowOff>168953</xdr:rowOff>
    </xdr:to>
    <xdr:pic>
      <xdr:nvPicPr>
        <xdr:cNvPr id="8" name="Picture 7">
          <a:extLst>
            <a:ext uri="{FF2B5EF4-FFF2-40B4-BE49-F238E27FC236}">
              <a16:creationId xmlns:a16="http://schemas.microsoft.com/office/drawing/2014/main" id="{FD9EE252-A504-4C7D-94E8-B3E6CC939367}"/>
            </a:ext>
          </a:extLst>
        </xdr:cNvPr>
        <xdr:cNvPicPr>
          <a:picLocks noChangeAspect="1"/>
        </xdr:cNvPicPr>
      </xdr:nvPicPr>
      <xdr:blipFill>
        <a:blip xmlns:r="http://schemas.openxmlformats.org/officeDocument/2006/relationships" r:embed="rId7"/>
        <a:stretch>
          <a:fillRect/>
        </a:stretch>
      </xdr:blipFill>
      <xdr:spPr>
        <a:xfrm>
          <a:off x="10363200" y="5832050"/>
          <a:ext cx="7391683" cy="1286343"/>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795076A-FB03-45AA-81D0-944F0914ACEB}" autoFormatId="16" applyNumberFormats="0" applyBorderFormats="0" applyFontFormats="0" applyPatternFormats="0" applyAlignmentFormats="0" applyWidthHeightFormats="0">
  <queryTableRefresh nextId="319">
    <queryTableFields count="80">
      <queryTableField id="1" name="id" tableColumnId="1"/>
      <queryTableField id="2" name="asOfDate" tableColumnId="2"/>
      <queryTableField id="75" name="Year" tableColumnId="75"/>
      <queryTableField id="3" name="periodType" tableColumnId="3"/>
      <queryTableField id="4" name="currencyCode" tableColumnId="4"/>
      <queryTableField id="5" name="AverageDilutionEarnings" tableColumnId="5"/>
      <queryTableField id="6" name="BasicAverageShares" tableColumnId="6"/>
      <queryTableField id="7" name="BasicEPS" tableColumnId="7"/>
      <queryTableField id="8" name="CostOfRevenue" tableColumnId="8"/>
      <queryTableField id="9" name="DepreciationAmortizationDepletionIncomeStatement" tableColumnId="9"/>
      <queryTableField id="10" name="DepreciationAndAmortizationInIncomeStatement" tableColumnId="10"/>
      <queryTableField id="11" name="DilutedAverageShares" tableColumnId="11"/>
      <queryTableField id="12" name="DilutedEPS" tableColumnId="12"/>
      <queryTableField id="13" name="DilutedNIAvailtoComStockholders" tableColumnId="13"/>
      <queryTableField id="14" name="EBIT" tableColumnId="14"/>
      <queryTableField id="15" name="EBITDA" tableColumnId="15"/>
      <queryTableField id="16" name="EarningsFromEquityInterestNetOfTax" tableColumnId="16"/>
      <queryTableField id="17" name="GainOnSaleOfBusiness" tableColumnId="17"/>
      <queryTableField id="18" name="GainOnSaleOfSecurity" tableColumnId="18"/>
      <queryTableField id="19" name="GeneralAndAdministrativeExpense" tableColumnId="19"/>
      <queryTableField id="20" name="GrossProfit" tableColumnId="20"/>
      <queryTableField id="21" name="InterestExpense" tableColumnId="21"/>
      <queryTableField id="22" name="InterestExpenseNonOperating" tableColumnId="22"/>
      <queryTableField id="23" name="InterestIncome" tableColumnId="23"/>
      <queryTableField id="24" name="InterestIncomeNonOperating" tableColumnId="24"/>
      <queryTableField id="25" name="MinorityInterests" tableColumnId="25"/>
      <queryTableField id="26" name="NetIncome" tableColumnId="26"/>
      <queryTableField id="27" name="NetIncomeCommonStockholders" tableColumnId="27"/>
      <queryTableField id="28" name="NetIncomeContinuousOperations" tableColumnId="28"/>
      <queryTableField id="29" name="NetIncomeFromContinuingAndDiscontinuedOperation" tableColumnId="29"/>
      <queryTableField id="30" name="NetIncomeFromContinuingOperationNetMinorityInterest" tableColumnId="30"/>
      <queryTableField id="31" name="NetIncomeIncludingNoncontrollingInterests" tableColumnId="31"/>
      <queryTableField id="32" name="NetInterestIncome" tableColumnId="32"/>
      <queryTableField id="33" name="NetNonOperatingInterestIncomeExpense" tableColumnId="33"/>
      <queryTableField id="34" name="NormalizedEBITDA" tableColumnId="34"/>
      <queryTableField id="35" name="NormalizedIncome" tableColumnId="35"/>
      <queryTableField id="36" name="OperatingExpense" tableColumnId="36"/>
      <queryTableField id="37" name="OperatingIncome" tableColumnId="37"/>
      <queryTableField id="38" name="OperatingRevenue" tableColumnId="38"/>
      <queryTableField id="39" name="OtherGandA" tableColumnId="39"/>
      <queryTableField id="40" name="OtherIncomeExpense" tableColumnId="40"/>
      <queryTableField id="41" name="OtherNonOperatingIncomeExpenses" tableColumnId="41"/>
      <queryTableField id="42" name="OtherOperatingExpenses" tableColumnId="42"/>
      <queryTableField id="43" name="OtherunderPreferredStockDividend" tableColumnId="43"/>
      <queryTableField id="44" name="PretaxIncome" tableColumnId="44"/>
      <queryTableField id="45" name="ReconciledCostOfRevenue" tableColumnId="45"/>
      <queryTableField id="46" name="ReconciledDepreciation" tableColumnId="46"/>
      <queryTableField id="47" name="ResearchAndDevelopment" tableColumnId="47"/>
      <queryTableField id="48" name="SellingAndMarketingExpense" tableColumnId="48"/>
      <queryTableField id="49" name="SellingGeneralAndAdministration" tableColumnId="49"/>
      <queryTableField id="50" name="SpecialIncomeCharges" tableColumnId="50"/>
      <queryTableField id="51" name="TaxEffectOfUnusualItems" tableColumnId="51"/>
      <queryTableField id="52" name="TaxProvision" tableColumnId="52"/>
      <queryTableField id="53" name="TaxRateForCalcs" tableColumnId="53"/>
      <queryTableField id="54" name="TotalExpenses" tableColumnId="54"/>
      <queryTableField id="55" name="TotalOperatingIncomeAsReported" tableColumnId="55"/>
      <queryTableField id="56" name="TotalRevenue" tableColumnId="56"/>
      <queryTableField id="57" name="TotalUnusualItems" tableColumnId="57"/>
      <queryTableField id="58" name="TotalUnusualItemsExcludingGoodwill" tableColumnId="58"/>
      <queryTableField id="59" name="WriteOff" tableColumnId="59"/>
      <queryTableField id="60" name="NetIncomeDiscontinuousOperations" tableColumnId="60"/>
      <queryTableField id="286" name="SecuritiesAmortization" tableColumnId="81"/>
      <queryTableField id="81" name="TotalOtherFinanceCost" tableColumnId="78"/>
      <queryTableField id="61" name="EarningsFromEquityInterest" tableColumnId="61"/>
      <queryTableField id="62" name="ImpairmentOfCapitalAssets" tableColumnId="62"/>
      <queryTableField id="63" name="PreferredStockDividends" tableColumnId="63"/>
      <queryTableField id="64" name="Amortization" tableColumnId="64"/>
      <queryTableField id="65" name="AmortizationOfIntangiblesIncomeStatement" tableColumnId="65"/>
      <queryTableField id="66" name="OtherSpecialCharges" tableColumnId="66"/>
      <queryTableField id="67" name="OtherTaxes" tableColumnId="67"/>
      <queryTableField id="287" name="DepletionIncomeStatement" tableColumnId="82"/>
      <queryTableField id="230" name="DepreciationIncomeStatement" tableColumnId="76"/>
      <queryTableField id="68" name="RestructuringAndMergernAcquisition" tableColumnId="68"/>
      <queryTableField id="69" name="GainOnSaleOfPPE" tableColumnId="69"/>
      <queryTableField id="70" name="ProvisionForDoubtfulAccounts" tableColumnId="70"/>
      <queryTableField id="94" name="asOfYear" tableColumnId="79"/>
      <queryTableField id="71" name="SalariesAndWages" tableColumnId="71"/>
      <queryTableField id="72" name="RentAndLandingFees" tableColumnId="72"/>
      <queryTableField id="73" name="RentExpenseSupplemental" tableColumnId="73"/>
      <queryTableField id="74" name="Ticker" tableColumnId="7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9" connectionId="9" xr16:uid="{9EEBB807-2C9A-4427-B9B7-43AFF5738DF3}" autoFormatId="16" applyNumberFormats="0" applyBorderFormats="0" applyFontFormats="0" applyPatternFormats="0" applyAlignmentFormats="0" applyWidthHeightFormats="0">
  <queryTableRefresh nextId="4">
    <queryTableFields count="3">
      <queryTableField id="1" name="Ticker" tableColumnId="1"/>
      <queryTableField id="2" name="AvgReturn" tableColumnId="2"/>
      <queryTableField id="3" name="Yearly Average Return"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8" connectionId="8" xr16:uid="{59C94676-6847-4D38-B9A4-D52B1B5A3EE6}" autoFormatId="16" applyNumberFormats="0" applyBorderFormats="0" applyFontFormats="0" applyPatternFormats="0" applyAlignmentFormats="0" applyWidthHeightFormats="0">
  <queryTableRefresh nextId="53">
    <queryTableFields count="18">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11" name="dividends" tableColumnId="11"/>
      <queryTableField id="9" name="id" tableColumnId="9"/>
      <queryTableField id="10" name="Pull_Date" tableColumnId="10"/>
      <queryTableField id="12" name="splits" tableColumnId="12"/>
      <queryTableField id="13" name="change_in_price" tableColumnId="13"/>
      <queryTableField id="14" name="percent_return" tableColumnId="14"/>
      <queryTableField id="15" name="open_close_diff" tableColumnId="15"/>
      <queryTableField id="16" name="open_high_diff" tableColumnId="16"/>
      <queryTableField id="17" name="day_of_week" tableColumnId="17"/>
      <queryTableField id="18" name="price_date_year" tableColumnId="18"/>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7" connectionId="10" xr16:uid="{50366EC1-FCB6-46DD-B6AE-715C670F413A}" autoFormatId="16" applyNumberFormats="0" applyBorderFormats="0" applyFontFormats="0" applyPatternFormats="0" applyAlignmentFormats="0" applyWidthHeightFormats="0">
  <queryTableRefresh nextId="16">
    <queryTableFields count="15">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9" name="id" tableColumnId="9"/>
      <queryTableField id="10" name="Pull_Date" tableColumnId="10"/>
      <queryTableField id="11" name="percent_return" tableColumnId="11"/>
      <queryTableField id="12" name="open_close_diff" tableColumnId="12"/>
      <queryTableField id="13" name="open_high_diff" tableColumnId="13"/>
      <queryTableField id="14" name="day_of_week" tableColumnId="14"/>
      <queryTableField id="15" name="price_date_year" tableColumnId="15"/>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5" connectionId="6" xr16:uid="{524516A8-4794-4862-95D7-E04BF323F6E2}" autoFormatId="16" applyNumberFormats="0" applyBorderFormats="0" applyFontFormats="0" applyPatternFormats="0" applyAlignmentFormats="0" applyWidthHeightFormats="0">
  <queryTableRefresh nextId="16">
    <queryTableFields count="15">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9" name="id" tableColumnId="9"/>
      <queryTableField id="10" name="Pull_Date" tableColumnId="10"/>
      <queryTableField id="11" name="percent_return" tableColumnId="11"/>
      <queryTableField id="12" name="open_close_diff" tableColumnId="12"/>
      <queryTableField id="13" name="open_high_diff" tableColumnId="13"/>
      <queryTableField id="14" name="day_of_week" tableColumnId="14"/>
      <queryTableField id="15" name="price_date_year"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D52B8CD5-81BA-452A-8DEC-A243B48C8F49}" autoFormatId="16" applyNumberFormats="0" applyBorderFormats="0" applyFontFormats="0" applyPatternFormats="0" applyAlignmentFormats="0" applyWidthHeightFormats="0">
  <queryTableRefresh nextId="475">
    <queryTableFields count="131">
      <queryTableField id="1" name="id" tableColumnId="1"/>
      <queryTableField id="2" name="asOfDate" tableColumnId="2"/>
      <queryTableField id="128" name="Year" tableColumnId="128"/>
      <queryTableField id="3" name="periodType" tableColumnId="3"/>
      <queryTableField id="4" name="currencyCode" tableColumnId="4"/>
      <queryTableField id="5" name="AccountsPayable" tableColumnId="5"/>
      <queryTableField id="6" name="AccountsReceivable" tableColumnId="6"/>
      <queryTableField id="7" name="AccumulatedDepreciation" tableColumnId="7"/>
      <queryTableField id="8" name="AdditionalPaidInCapital" tableColumnId="8"/>
      <queryTableField id="9" name="AllowanceForDoubtfulAccountsReceivable" tableColumnId="9"/>
      <queryTableField id="10" name="AssetsHeldForSaleCurrent" tableColumnId="10"/>
      <queryTableField id="11" name="AvailableForSaleSecurities" tableColumnId="11"/>
      <queryTableField id="12" name="BuildingsAndImprovements" tableColumnId="12"/>
      <queryTableField id="13" name="CapitalLeaseObligations" tableColumnId="13"/>
      <queryTableField id="14" name="CapitalStock" tableColumnId="14"/>
      <queryTableField id="15" name="CashAndCashEquivalents" tableColumnId="15"/>
      <queryTableField id="16" name="CashCashEquivalentsAndShortTermInvestments" tableColumnId="16"/>
      <queryTableField id="17" name="CommonStock" tableColumnId="17"/>
      <queryTableField id="18" name="CommonStockEquity" tableColumnId="18"/>
      <queryTableField id="19" name="ConstructionInProgress" tableColumnId="19"/>
      <queryTableField id="20" name="CurrentAccruedExpenses" tableColumnId="20"/>
      <queryTableField id="21" name="CurrentAssets" tableColumnId="21"/>
      <queryTableField id="22" name="CurrentCapitalLeaseObligation" tableColumnId="22"/>
      <queryTableField id="23" name="CurrentDebt" tableColumnId="23"/>
      <queryTableField id="24" name="CurrentDebtAndCapitalLeaseObligation" tableColumnId="24"/>
      <queryTableField id="25" name="CurrentLiabilities" tableColumnId="25"/>
      <queryTableField id="26" name="CurrentProvisions" tableColumnId="26"/>
      <queryTableField id="27" name="GainsLossesNotAffectingRetainedEarnings" tableColumnId="27"/>
      <queryTableField id="28" name="Goodwill" tableColumnId="28"/>
      <queryTableField id="29" name="GoodwillAndOtherIntangibleAssets" tableColumnId="29"/>
      <queryTableField id="30" name="GrossAccountsReceivable" tableColumnId="30"/>
      <queryTableField id="31" name="GrossPPE" tableColumnId="31"/>
      <queryTableField id="32" name="HeldToMaturitySecurities" tableColumnId="32"/>
      <queryTableField id="33" name="IncomeTaxPayable" tableColumnId="33"/>
      <queryTableField id="34" name="InterestPayable" tableColumnId="34"/>
      <queryTableField id="35" name="InvestedCapital" tableColumnId="35"/>
      <queryTableField id="36" name="InvestmentinFinancialAssets" tableColumnId="36"/>
      <queryTableField id="37" name="InvestmentsAndAdvances" tableColumnId="37"/>
      <queryTableField id="38" name="LandAndImprovements" tableColumnId="38"/>
      <queryTableField id="39" name="Leases" tableColumnId="39"/>
      <queryTableField id="40" name="LongTermCapitalLeaseObligation" tableColumnId="40"/>
      <queryTableField id="41" name="LongTermDebt" tableColumnId="41"/>
      <queryTableField id="42" name="LongTermDebtAndCapitalLeaseObligation" tableColumnId="42"/>
      <queryTableField id="43" name="LongTermEquityInvestment" tableColumnId="43"/>
      <queryTableField id="44" name="LongTermProvisions" tableColumnId="44"/>
      <queryTableField id="45" name="MachineryFurnitureEquipment" tableColumnId="45"/>
      <queryTableField id="46" name="MinorityInterest" tableColumnId="46"/>
      <queryTableField id="47" name="NetDebt" tableColumnId="47"/>
      <queryTableField id="48" name="NetPPE" tableColumnId="48"/>
      <queryTableField id="49" name="NetTangibleAssets" tableColumnId="49"/>
      <queryTableField id="50" name="NonCurrentDeferredLiabilities" tableColumnId="50"/>
      <queryTableField id="51" name="NonCurrentDeferredTaxesLiabilities" tableColumnId="51"/>
      <queryTableField id="52" name="NonCurrentNoteReceivables" tableColumnId="52"/>
      <queryTableField id="53" name="OrdinarySharesNumber" tableColumnId="53"/>
      <queryTableField id="54" name="OtherCurrentAssets" tableColumnId="54"/>
      <queryTableField id="55" name="OtherCurrentBorrowings" tableColumnId="55"/>
      <queryTableField id="56" name="OtherCurrentLiabilities" tableColumnId="56"/>
      <queryTableField id="57" name="OtherEquityAdjustments" tableColumnId="57"/>
      <queryTableField id="58" name="OtherIntangibleAssets" tableColumnId="58"/>
      <queryTableField id="59" name="OtherNonCurrentAssets" tableColumnId="59"/>
      <queryTableField id="60" name="OtherNonCurrentLiabilities" tableColumnId="60"/>
      <queryTableField id="61" name="OtherPayable" tableColumnId="61"/>
      <queryTableField id="62" name="OtherProperties" tableColumnId="62"/>
      <queryTableField id="63" name="OtherReceivables" tableColumnId="63"/>
      <queryTableField id="64" name="OtherShortTermInvestments" tableColumnId="64"/>
      <queryTableField id="65" name="Payables" tableColumnId="65"/>
      <queryTableField id="66" name="PayablesAndAccruedExpenses" tableColumnId="66"/>
      <queryTableField id="67" name="PensionandOtherPostRetirementBenefitPlansCurrent" tableColumnId="67"/>
      <queryTableField id="68" name="PreferredSecuritiesOutsideStockEquity" tableColumnId="68"/>
      <queryTableField id="69" name="PrepaidAssets" tableColumnId="69"/>
      <queryTableField id="70" name="Properties" tableColumnId="70"/>
      <queryTableField id="71" name="Receivables" tableColumnId="71"/>
      <queryTableField id="72" name="RestrictedCash" tableColumnId="72"/>
      <queryTableField id="73" name="RetainedEarnings" tableColumnId="73"/>
      <queryTableField id="74" name="ShareIssued" tableColumnId="74"/>
      <queryTableField id="75" name="StockholdersEquity" tableColumnId="75"/>
      <queryTableField id="76" name="TangibleBookValue" tableColumnId="76"/>
      <queryTableField id="77" name="TotalAssets" tableColumnId="77"/>
      <queryTableField id="78" name="TotalCapitalization" tableColumnId="78"/>
      <queryTableField id="79" name="TotalDebt" tableColumnId="79"/>
      <queryTableField id="80" name="TotalEquityGrossMinorityInterest" tableColumnId="80"/>
      <queryTableField id="81" name="TotalLiabilitiesNetMinorityInterest" tableColumnId="81"/>
      <queryTableField id="82" name="TotalNonCurrentAssets" tableColumnId="82"/>
      <queryTableField id="83" name="TotalNonCurrentLiabilitiesNetMinorityInterest" tableColumnId="83"/>
      <queryTableField id="84" name="TotalTaxPayable" tableColumnId="84"/>
      <queryTableField id="85" name="TradeandOtherPayablesNonCurrent" tableColumnId="85"/>
      <queryTableField id="86" name="WorkingCapital" tableColumnId="86"/>
      <queryTableField id="87" name="CurrentDeferredLiabilities" tableColumnId="87"/>
      <queryTableField id="88" name="CurrentDeferredRevenue" tableColumnId="88"/>
      <queryTableField id="89" name="EmployeeBenefits" tableColumnId="89"/>
      <queryTableField id="90" name="FinishedGoods" tableColumnId="90"/>
      <queryTableField id="91" name="Inventory" tableColumnId="91"/>
      <queryTableField id="451" name="AccruedInterestReceivable" tableColumnId="132"/>
      <queryTableField id="92" name="NonCurrentDeferredAssets" tableColumnId="92"/>
      <queryTableField id="93" name="NonCurrentDeferredTaxesAssets" tableColumnId="93"/>
      <queryTableField id="94" name="NonCurrentPensionAndOtherPostretirementBenefitPlans" tableColumnId="94"/>
      <queryTableField id="95" name="RawMaterials" tableColumnId="95"/>
      <queryTableField id="96" name="WorkInProcess" tableColumnId="96"/>
      <queryTableField id="97" name="CashEquivalents" tableColumnId="97"/>
      <queryTableField id="98" name="CashFinancial" tableColumnId="98"/>
      <queryTableField id="99" name="HedgingAssetsCurrent" tableColumnId="99"/>
      <queryTableField id="100" name="NonCurrentDeferredRevenue" tableColumnId="100"/>
      <queryTableField id="101" name="CommercialPaper" tableColumnId="101"/>
      <queryTableField id="102" name="CurrentNotesPayable" tableColumnId="102"/>
      <queryTableField id="103" name="DividendsPayable" tableColumnId="103"/>
      <queryTableField id="104" name="ForeignCurrencyTranslationAdjustments" tableColumnId="104"/>
      <queryTableField id="429" name="LoansReceivable" tableColumnId="136"/>
      <queryTableField id="105" name="InvestmentsinAssociatesatCost" tableColumnId="105"/>
      <queryTableField id="106" name="LineOfCredit" tableColumnId="106"/>
      <queryTableField id="107" name="MinimumPensionLiabilities" tableColumnId="107"/>
      <queryTableField id="108" name="PreferredSharesNumber" tableColumnId="108"/>
      <queryTableField id="109" name="PreferredStock" tableColumnId="109"/>
      <queryTableField id="110" name="TreasurySharesNumber" tableColumnId="110"/>
      <queryTableField id="111" name="TreasuryStock" tableColumnId="111"/>
      <queryTableField id="112" name="UnrealizedGainLoss" tableColumnId="112"/>
      <queryTableField id="113" name="DefinedPensionBenefit" tableColumnId="113"/>
      <queryTableField id="114" name="NonCurrentAccountsReceivable" tableColumnId="114"/>
      <queryTableField id="115" name="OtherInventories" tableColumnId="115"/>
      <queryTableField id="116" name="OtherInvestments" tableColumnId="116"/>
      <queryTableField id="117" name="TaxesReceivable" tableColumnId="117"/>
      <queryTableField id="118" name="CurrentDeferredAssets" tableColumnId="118"/>
      <queryTableField id="119" name="DerivativeProductLiabilities" tableColumnId="119"/>
      <queryTableField id="120" name="FinancialAssets" tableColumnId="120"/>
      <queryTableField id="121" name="InvestmentsInOtherVenturesUnderEquityMethod" tableColumnId="121"/>
      <queryTableField id="122" name="LiabilitiesHeldforSaleNonCurrent" tableColumnId="122"/>
      <queryTableField id="218" name="asOfYear" tableColumnId="144"/>
      <queryTableField id="123" name="NonCurrentAccruedExpenses" tableColumnId="123"/>
      <queryTableField id="124" name="NonCurrentPrepaidAssets" tableColumnId="124"/>
      <queryTableField id="125" name="OtherEquityInterest" tableColumnId="125"/>
      <queryTableField id="126" name="InventoriesAdjustmentsAllowances" tableColumnId="126"/>
      <queryTableField id="127" name="Ticker" tableColumnId="12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D7FE9735-03D2-41BF-851B-EF337C0502DB}" autoFormatId="16" applyNumberFormats="0" applyBorderFormats="0" applyFontFormats="0" applyPatternFormats="0" applyAlignmentFormats="0" applyWidthHeightFormats="0">
  <queryTableRefresh nextId="667">
    <queryTableFields count="103">
      <queryTableField id="1" name="id" tableColumnId="1"/>
      <queryTableField id="2" name="asOfDate" tableColumnId="2"/>
      <queryTableField id="96" name="Year" tableColumnId="96"/>
      <queryTableField id="3" name="periodType" tableColumnId="3"/>
      <queryTableField id="4" name="currencyCode" tableColumnId="4"/>
      <queryTableField id="5" name="AssetImpairmentCharge" tableColumnId="5"/>
      <queryTableField id="6" name="BeginningCashPosition" tableColumnId="6"/>
      <queryTableField id="7" name="CapitalExpenditure" tableColumnId="7"/>
      <queryTableField id="8" name="CashFlowFromContinuingFinancingActivities" tableColumnId="8"/>
      <queryTableField id="9" name="CashFlowFromContinuingInvestingActivities" tableColumnId="9"/>
      <queryTableField id="10" name="CashFlowFromContinuingOperatingActivities" tableColumnId="10"/>
      <queryTableField id="11" name="ChangeInAccountPayable" tableColumnId="11"/>
      <queryTableField id="12" name="ChangeInAccruedExpense" tableColumnId="12"/>
      <queryTableField id="13" name="ChangeInCashSupplementalAsReported" tableColumnId="13"/>
      <queryTableField id="14" name="ChangeInOtherCurrentAssets" tableColumnId="14"/>
      <queryTableField id="15" name="ChangeInOtherCurrentLiabilities" tableColumnId="15"/>
      <queryTableField id="16" name="ChangeInOtherWorkingCapital" tableColumnId="16"/>
      <queryTableField id="17" name="ChangeInPayable" tableColumnId="17"/>
      <queryTableField id="18" name="ChangeInPayablesAndAccruedExpense" tableColumnId="18"/>
      <queryTableField id="19" name="ChangeInPrepaidAssets" tableColumnId="19"/>
      <queryTableField id="20" name="ChangeInReceivables" tableColumnId="20"/>
      <queryTableField id="21" name="ChangeInWorkingCapital" tableColumnId="21"/>
      <queryTableField id="22" name="ChangesInAccountReceivables" tableColumnId="22"/>
      <queryTableField id="23" name="ChangesInCash" tableColumnId="23"/>
      <queryTableField id="24" name="CommonStockIssuance" tableColumnId="24"/>
      <queryTableField id="25" name="CommonStockPayments" tableColumnId="25"/>
      <queryTableField id="26" name="DeferredIncomeTax" tableColumnId="26"/>
      <queryTableField id="27" name="DeferredTax" tableColumnId="27"/>
      <queryTableField id="28" name="DepreciationAmortizationDepletion" tableColumnId="28"/>
      <queryTableField id="29" name="DepreciationAndAmortization" tableColumnId="29"/>
      <queryTableField id="30" name="EarningsLossesFromEquityInvestments" tableColumnId="30"/>
      <queryTableField id="31" name="EffectOfExchangeRateChanges" tableColumnId="31"/>
      <queryTableField id="32" name="EndCashPosition" tableColumnId="32"/>
      <queryTableField id="33" name="FinancingCashFlow" tableColumnId="33"/>
      <queryTableField id="34" name="FreeCashFlow" tableColumnId="34"/>
      <queryTableField id="35" name="GainLossOnInvestmentSecurities" tableColumnId="35"/>
      <queryTableField id="36" name="GainLossOnSaleOfBusiness" tableColumnId="36"/>
      <queryTableField id="37" name="IncomeTaxPaidSupplementalData" tableColumnId="37"/>
      <queryTableField id="38" name="InterestPaidSupplementalData" tableColumnId="38"/>
      <queryTableField id="39" name="InvestingCashFlow" tableColumnId="39"/>
      <queryTableField id="40" name="IssuanceOfCapitalStock" tableColumnId="40"/>
      <queryTableField id="41" name="IssuanceOfDebt" tableColumnId="41"/>
      <queryTableField id="42" name="LongTermDebtIssuance" tableColumnId="42"/>
      <queryTableField id="43" name="LongTermDebtPayments" tableColumnId="43"/>
      <queryTableField id="44" name="NetBusinessPurchaseAndSale" tableColumnId="44"/>
      <queryTableField id="45" name="NetCommonStockIssuance" tableColumnId="45"/>
      <queryTableField id="46" name="NetForeignCurrencyExchangeGainLoss" tableColumnId="46"/>
      <queryTableField id="47" name="NetIncome" tableColumnId="47"/>
      <queryTableField id="48" name="NetIncomeFromContinuingOperations" tableColumnId="48"/>
      <queryTableField id="49" name="NetInvestmentPurchaseAndSale" tableColumnId="49"/>
      <queryTableField id="50" name="NetIssuancePaymentsOfDebt" tableColumnId="50"/>
      <queryTableField id="51" name="NetLongTermDebtIssuance" tableColumnId="51"/>
      <queryTableField id="52" name="NetOtherFinancingCharges" tableColumnId="52"/>
      <queryTableField id="53" name="NetOtherInvestingChanges" tableColumnId="53"/>
      <queryTableField id="54" name="NetPPEPurchaseAndSale" tableColumnId="54"/>
      <queryTableField id="55" name="NetPreferredStockIssuance" tableColumnId="55"/>
      <queryTableField id="56" name="OperatingCashFlow" tableColumnId="56"/>
      <queryTableField id="57" name="OperatingGainsLosses" tableColumnId="57"/>
      <queryTableField id="58" name="OtherCashAdjustmentOutsideChangeinCash" tableColumnId="58"/>
      <queryTableField id="59" name="OtherNonCashItems" tableColumnId="59"/>
      <queryTableField id="60" name="PreferredStockIssuance" tableColumnId="60"/>
      <queryTableField id="61" name="ProceedsFromStockOptionExercised" tableColumnId="61"/>
      <queryTableField id="62" name="PurchaseOfBusiness" tableColumnId="62"/>
      <queryTableField id="63" name="PurchaseOfInvestment" tableColumnId="63"/>
      <queryTableField id="64" name="PurchaseOfPPE" tableColumnId="64"/>
      <queryTableField id="65" name="RepaymentOfDebt" tableColumnId="65"/>
      <queryTableField id="66" name="RepurchaseOfCapitalStock" tableColumnId="66"/>
      <queryTableField id="67" name="SaleOfBusiness" tableColumnId="67"/>
      <queryTableField id="68" name="SaleOfInvestment" tableColumnId="68"/>
      <queryTableField id="69" name="SaleOfPPE" tableColumnId="69"/>
      <queryTableField id="70" name="StockBasedCompensation" tableColumnId="70"/>
      <queryTableField id="71" name="UnrealizedGainLossOnInvestmentSecurities" tableColumnId="71"/>
      <queryTableField id="72" name="AmortizationCashFlow" tableColumnId="72"/>
      <queryTableField id="73" name="AmortizationOfIntangibles" tableColumnId="73"/>
      <queryTableField id="74" name="CapitalExpenditureReported" tableColumnId="74"/>
      <queryTableField id="75" name="CashDividendsPaid" tableColumnId="75"/>
      <queryTableField id="76" name="ChangeInIncomeTaxPayable" tableColumnId="76"/>
      <queryTableField id="77" name="ChangeInInventory" tableColumnId="77"/>
      <queryTableField id="78" name="ChangeInTaxPayable" tableColumnId="78"/>
      <queryTableField id="79" name="CommonStockDividendPaid" tableColumnId="79"/>
      <queryTableField id="80" name="Depreciation" tableColumnId="80"/>
      <queryTableField id="81" name="GainLossOnSaleOfPPE" tableColumnId="81"/>
      <queryTableField id="637" name="CashFlowFromDiscontinuedOperation" tableColumnId="105"/>
      <queryTableField id="82" name="NetShortTermDebtIssuance" tableColumnId="82"/>
      <queryTableField id="83" name="PensionAndEmployeeBenefitExpense" tableColumnId="83"/>
      <queryTableField id="84" name="ShortTermDebtIssuance" tableColumnId="84"/>
      <queryTableField id="332" name="DividendReceivedCFO" tableColumnId="107"/>
      <queryTableField id="638" name="InterestPaidCFO" tableColumnId="106"/>
      <queryTableField id="639" name="InterestReceivedCFO" tableColumnId="108"/>
      <queryTableField id="85" name="ShortTermDebtPayments" tableColumnId="85"/>
      <queryTableField id="640" name="TaxesRefundPaid" tableColumnId="109"/>
      <queryTableField id="86" name="CashFromDiscontinuedFinancingActivities" tableColumnId="86"/>
      <queryTableField id="597" name="InterestReceivedCFI" tableColumnId="103"/>
      <queryTableField id="87" name="CashFromDiscontinuedInvestingActivities" tableColumnId="87"/>
      <queryTableField id="88" name="CashFromDiscontinuedOperatingActivities" tableColumnId="88"/>
      <queryTableField id="89" name="DividendsReceivedCFI" tableColumnId="89"/>
      <queryTableField id="90" name="PreferredStockDividendPaid" tableColumnId="90"/>
      <queryTableField id="91" name="PreferredStockPayments" tableColumnId="91"/>
      <queryTableField id="138" name="asOfYear" tableColumnId="110"/>
      <queryTableField id="92" name="ProvisionandWriteOffofAssets" tableColumnId="92"/>
      <queryTableField id="93" name="NetIntangiblesPurchaseAndSale" tableColumnId="93"/>
      <queryTableField id="94" name="PurchaseOfIntangibles" tableColumnId="94"/>
      <queryTableField id="95" name="Ticker" tableColumnId="9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22547689-D4EB-4E95-BEB0-BBA3C4F81E6F}" autoFormatId="16" applyNumberFormats="0" applyBorderFormats="0" applyFontFormats="0" applyPatternFormats="0" applyAlignmentFormats="0" applyWidthHeightFormats="0">
  <queryTableRefresh nextId="50">
    <queryTableFields count="48">
      <queryTableField id="1" name="id" tableColumnId="1"/>
      <queryTableField id="2" name="fullTimeEmployees" tableColumnId="2"/>
      <queryTableField id="3" name="website" tableColumnId="3"/>
      <queryTableField id="4" name="industry" tableColumnId="4"/>
      <queryTableField id="5" name="sector" tableColumnId="5"/>
      <queryTableField id="6" name="longBusinessSummary" tableColumnId="6"/>
      <queryTableField id="7" name="Date" tableColumnId="7"/>
      <queryTableField id="8" name="debtToEquity" tableColumnId="8"/>
      <queryTableField id="9" name="totalDebt" tableColumnId="9"/>
      <queryTableField id="10" name="ebitda" tableColumnId="10"/>
      <queryTableField id="11" name="operatingMargins" tableColumnId="11"/>
      <queryTableField id="12" name="revenueGrowth" tableColumnId="12"/>
      <queryTableField id="13" name="totalCashPerShare" tableColumnId="13"/>
      <queryTableField id="14" name="revenuePerShare" tableColumnId="14"/>
      <queryTableField id="15" name="totalCash" tableColumnId="15"/>
      <queryTableField id="16" name="returnOnAssets" tableColumnId="16"/>
      <queryTableField id="17" name="profitMargins" tableColumnId="17"/>
      <queryTableField id="18" name="grossProfits" tableColumnId="18"/>
      <queryTableField id="19" name="earningsGrowth" tableColumnId="19"/>
      <queryTableField id="20" name="freeCashflow" tableColumnId="20"/>
      <queryTableField id="21" name="returnOnEquity" tableColumnId="21"/>
      <queryTableField id="22" name="quickRatio" tableColumnId="22"/>
      <queryTableField id="23" name="currentRatio" tableColumnId="23"/>
      <queryTableField id="24" name="operatingCashflow" tableColumnId="24"/>
      <queryTableField id="48" name="targetMeanPrice" tableColumnId="48"/>
      <queryTableField id="25" name="previousClose" tableColumnId="25"/>
      <queryTableField id="26" name="dividendRate" tableColumnId="26"/>
      <queryTableField id="27" name="dividendYield" tableColumnId="27"/>
      <queryTableField id="28" name="exDividendDate" tableColumnId="28"/>
      <queryTableField id="29" name="fiveYearAvgDividendYield" tableColumnId="29"/>
      <queryTableField id="30" name="beta" tableColumnId="30"/>
      <queryTableField id="31" name="trailingPE" tableColumnId="31"/>
      <queryTableField id="32" name="forwardPE" tableColumnId="32"/>
      <queryTableField id="33" name="averageVolume10days" tableColumnId="33"/>
      <queryTableField id="34" name="fiftyTwoWeekLow" tableColumnId="34"/>
      <queryTableField id="35" name="fiftyTwoWeekHigh" tableColumnId="35"/>
      <queryTableField id="36" name="priceToSalesTrailing12Months" tableColumnId="36"/>
      <queryTableField id="37" name="trailingAnnualDividendRate" tableColumnId="37"/>
      <queryTableField id="38" name="trailingAnnualDividendYield" tableColumnId="38"/>
      <queryTableField id="39" name="marketCap" tableColumnId="39"/>
      <queryTableField id="40" name="sharesOutstanding" tableColumnId="40"/>
      <queryTableField id="41" name="bookValue" tableColumnId="41"/>
      <queryTableField id="42" name="priceToBook" tableColumnId="42"/>
      <queryTableField id="43" name="lastFiscalYearEnd" tableColumnId="43"/>
      <queryTableField id="44" name="nextFiscalYearEnd" tableColumnId="44"/>
      <queryTableField id="45" name="mostRecentQuarter" tableColumnId="45"/>
      <queryTableField id="46" name="pegRatio" tableColumnId="46"/>
      <queryTableField id="47" name="Ticker" tableColumnId="4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2" xr16:uid="{B5686E67-314D-4EF7-A556-2BB8B8499AA2}" autoFormatId="16" applyNumberFormats="0" applyBorderFormats="0" applyFontFormats="0" applyPatternFormats="0" applyAlignmentFormats="0" applyWidthHeightFormats="0">
  <queryTableRefresh nextId="2">
    <queryTableFields count="1">
      <queryTableField id="1" name="Ticker"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3" xr16:uid="{260DA0D6-9285-4A9E-8BC3-B7F40131760B}" autoFormatId="16" applyNumberFormats="0" applyBorderFormats="0" applyFontFormats="0" applyPatternFormats="0" applyAlignmentFormats="0" applyWidthHeightFormats="0">
  <queryTableRefresh nextId="6">
    <queryTableFields count="5">
      <queryTableField id="1" name="Ticker" tableColumnId="1"/>
      <queryTableField id="2" name="asOfDate" tableColumnId="2"/>
      <queryTableField id="3" name="asOfDate_Min" tableColumnId="3"/>
      <queryTableField id="4" name="asOfDate_Max" tableColumnId="4"/>
      <queryTableField id="5" name="Year"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23674D13-011C-444F-A907-11D21D989326}" autoFormatId="16" applyNumberFormats="0" applyBorderFormats="0" applyFontFormats="0" applyPatternFormats="0" applyAlignmentFormats="0" applyWidthHeightFormats="0">
  <queryTableRefresh nextId="2">
    <queryTableFields count="1">
      <queryTableField id="1" name="avgInflation" tableColumnId="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11" xr16:uid="{5AB1ED09-1E81-4CD6-BA01-109505E7246E}" autoFormatId="16" applyNumberFormats="0" applyBorderFormats="0" applyFontFormats="0" applyPatternFormats="0" applyAlignmentFormats="0" applyWidthHeightFormats="0">
  <queryTableRefresh nextId="4">
    <queryTableFields count="2">
      <queryTableField id="1" name="Ticker" tableColumnId="1"/>
      <queryTableField id="2" name="AvgReturn"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6" connectionId="7" xr16:uid="{D30B0C3E-1C4F-4FAC-BF11-2756A564A321}" autoFormatId="16" applyNumberFormats="0" applyBorderFormats="0" applyFontFormats="0" applyPatternFormats="0" applyAlignmentFormats="0" applyWidthHeightFormats="0">
  <queryTableRefresh nextId="5">
    <queryTableFields count="3">
      <queryTableField id="1" name="Ticker" tableColumnId="1"/>
      <queryTableField id="2" name="AvgReturn" tableColumnId="2"/>
      <queryTableField id="4" name="Yearly Average Return" tableColumnId="4"/>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20B4FC-A92E-4C19-8CED-84EDC2D48FD0}" name="Table7" displayName="Table7" ref="A1:C16" totalsRowShown="0">
  <autoFilter ref="A1:C16" xr:uid="{C220B4FC-A92E-4C19-8CED-84EDC2D48FD0}"/>
  <sortState xmlns:xlrd2="http://schemas.microsoft.com/office/spreadsheetml/2017/richdata2" ref="A2:C15">
    <sortCondition ref="A2:A15"/>
    <sortCondition ref="C2:C15"/>
  </sortState>
  <tableColumns count="3">
    <tableColumn id="1" xr3:uid="{112B079B-E411-4FD8-843D-7FE91ECF5F4D}" name="Version"/>
    <tableColumn id="2" xr3:uid="{8B94A2E0-7B56-41F0-80A8-4D444911805C}" name="Change Made"/>
    <tableColumn id="3" xr3:uid="{B43B9509-FEF2-47BF-953C-9BAFD6969207}" name="Statu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365579D-9862-40B8-8A03-541ACC176DC4}" name="PriceData_TNX_AvgRate" displayName="PriceData_TNX_AvgRate" ref="A1:B2" tableType="queryTable" totalsRowShown="0">
  <autoFilter ref="A1:B2" xr:uid="{F365579D-9862-40B8-8A03-541ACC176DC4}"/>
  <tableColumns count="2">
    <tableColumn id="1" xr3:uid="{8C3FBB6B-15BC-446F-B36D-9492B80905A1}" uniqueName="1" name="Ticker" queryTableFieldId="1" dataDxfId="341"/>
    <tableColumn id="2" xr3:uid="{EB65CE58-76AB-4221-BF81-3E949A8134B7}" uniqueName="2" name="AvgReturn" queryTableFieldId="2" dataDxfId="17" dataCellStyle="Percent"/>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D06DAF-448C-4009-9B15-07CFCD473134}" name="PriceData_GSPC_AvgRate" displayName="PriceData_GSPC_AvgRate" ref="A1:C2" tableType="queryTable" totalsRowShown="0">
  <autoFilter ref="A1:C2" xr:uid="{00D06DAF-448C-4009-9B15-07CFCD473134}"/>
  <tableColumns count="3">
    <tableColumn id="1" xr3:uid="{95B01681-1A2B-44F1-913A-EDE6BE697B1B}" uniqueName="1" name="Ticker" queryTableFieldId="1" dataDxfId="340"/>
    <tableColumn id="2" xr3:uid="{47C28AA4-9D08-45A2-8466-4412C70D8910}" uniqueName="2" name="AvgReturn" queryTableFieldId="2" dataDxfId="16" dataCellStyle="Percent"/>
    <tableColumn id="4" xr3:uid="{40F09CFD-F841-46AF-8C74-67B5625E5554}" uniqueName="4" name="Yearly Average Return" queryTableFieldId="4" dataDxfId="15" dataCellStyle="Percent"/>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29794AF-BD60-4CAB-8E89-E8B188B656C9}" name="PriceData_Ticker_AvgRate" displayName="PriceData_Ticker_AvgRate" ref="A1:C10" tableType="queryTable" totalsRowShown="0">
  <autoFilter ref="A1:C10" xr:uid="{629794AF-BD60-4CAB-8E89-E8B188B656C9}"/>
  <sortState xmlns:xlrd2="http://schemas.microsoft.com/office/spreadsheetml/2017/richdata2" ref="A2:C10">
    <sortCondition ref="A1:A10"/>
  </sortState>
  <tableColumns count="3">
    <tableColumn id="1" xr3:uid="{AB8A4B54-6FEA-4AE4-84F4-5128781E87DE}" uniqueName="1" name="Ticker" queryTableFieldId="1" dataDxfId="339"/>
    <tableColumn id="2" xr3:uid="{C6AF1529-F766-4811-82A9-BF2B2FCD5B84}" uniqueName="2" name="AvgReturn" queryTableFieldId="2" dataDxfId="14" dataCellStyle="Percent"/>
    <tableColumn id="3" xr3:uid="{70AE33BD-4908-4906-A18B-EC30AE22A38A}" uniqueName="3" name="Yearly Average Return" queryTableFieldId="3" dataDxfId="13" dataCellStyle="Percent"/>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C77C9E-B87D-43DA-862E-FC847C954ED2}" name="PriceData_Ticker" displayName="PriceData_Ticker" ref="A1:R411" tableType="queryTable" totalsRowShown="0">
  <autoFilter ref="A1:R411" xr:uid="{56C77C9E-B87D-43DA-862E-FC847C954ED2}">
    <filterColumn colId="0">
      <filters>
        <filter val="VLTO"/>
      </filters>
    </filterColumn>
  </autoFilter>
  <tableColumns count="18">
    <tableColumn id="1" xr3:uid="{35FBBFB3-9A1A-4B4E-B49E-95AA94B5B0D9}" uniqueName="1" name="Ticker" queryTableFieldId="1" dataDxfId="338"/>
    <tableColumn id="2" xr3:uid="{1E0BC823-5EA3-4186-8532-37FA306C5195}" uniqueName="2" name="price_date" queryTableFieldId="2" dataDxfId="8"/>
    <tableColumn id="3" xr3:uid="{74DF9E03-F29C-43C0-AADF-D1A267935FA1}" uniqueName="3" name="open" queryTableFieldId="3"/>
    <tableColumn id="4" xr3:uid="{573C41BC-6286-4470-8291-7583F76E3649}" uniqueName="4" name="high" queryTableFieldId="4"/>
    <tableColumn id="5" xr3:uid="{56DB6E30-1DF5-4583-972E-86A049713946}" uniqueName="5" name="low" queryTableFieldId="5"/>
    <tableColumn id="6" xr3:uid="{FFF2267D-6D6B-4CEF-9F04-ACB08421D2F9}" uniqueName="6" name="close" queryTableFieldId="6"/>
    <tableColumn id="7" xr3:uid="{9EDFE602-CB84-4319-8687-30BCDFDA30F0}" uniqueName="7" name="volume" queryTableFieldId="7"/>
    <tableColumn id="8" xr3:uid="{9A64D76E-18A6-4973-97F2-F2682AEB0841}" uniqueName="8" name="adjclose" queryTableFieldId="8"/>
    <tableColumn id="11" xr3:uid="{68FAB0EE-809F-4FE3-B4EF-D0EF690C7E0C}" uniqueName="11" name="dividends" queryTableFieldId="11"/>
    <tableColumn id="9" xr3:uid="{BA69500B-6E82-4F54-BFD9-C4CD7D140CEC}" uniqueName="9" name="id" queryTableFieldId="9" dataDxfId="337"/>
    <tableColumn id="10" xr3:uid="{7D3E080C-6433-4EA6-8D49-C343FF747A09}" uniqueName="10" name="Pull_Date" queryTableFieldId="10" dataDxfId="7"/>
    <tableColumn id="12" xr3:uid="{9CAEA129-F987-459C-BF10-A3ECAF1AB112}" uniqueName="12" name="splits" queryTableFieldId="12"/>
    <tableColumn id="13" xr3:uid="{58BA5805-D8B7-462F-A18B-3C876C7F3091}" uniqueName="13" name="change_in_price" queryTableFieldId="13"/>
    <tableColumn id="14" xr3:uid="{5B4AF425-30A0-40AA-B191-1787B234BF55}" uniqueName="14" name="percent_return" queryTableFieldId="14"/>
    <tableColumn id="15" xr3:uid="{B447A333-E92A-44C2-9E41-1D2E77C1283E}" uniqueName="15" name="open_close_diff" queryTableFieldId="15"/>
    <tableColumn id="16" xr3:uid="{DF3C07F7-547E-4A74-92D5-1A6FBA9E3B4C}" uniqueName="16" name="open_high_diff" queryTableFieldId="16"/>
    <tableColumn id="17" xr3:uid="{63A13637-4C58-4BF4-9FD5-F7EFD2C7FEA2}" uniqueName="17" name="day_of_week" queryTableFieldId="17" dataDxfId="330"/>
    <tableColumn id="18" xr3:uid="{3842E5A3-1394-438E-BF4D-421DB35821E3}" uniqueName="18" name="price_date_year" queryTableFieldId="18"/>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286AD66-B3E4-46A4-B4BB-312819BFA693}" name="PriceData_TNX" displayName="PriceData_TNX" ref="A1:O49" tableType="queryTable" totalsRowShown="0">
  <autoFilter ref="A1:O49" xr:uid="{5286AD66-B3E4-46A4-B4BB-312819BFA693}"/>
  <tableColumns count="15">
    <tableColumn id="1" xr3:uid="{F03AFBF2-8E71-40FC-8C35-57635D854FD3}" uniqueName="1" name="Ticker" queryTableFieldId="1" dataDxfId="336"/>
    <tableColumn id="2" xr3:uid="{C832C61D-CB86-4953-9818-DCED0626074B}" uniqueName="2" name="price_date" queryTableFieldId="2" dataDxfId="6"/>
    <tableColumn id="3" xr3:uid="{E20867D5-59CA-4D0D-B68D-19271EF57081}" uniqueName="3" name="open" queryTableFieldId="3"/>
    <tableColumn id="4" xr3:uid="{1ACABFDA-FC94-4DAF-99FE-10C64FBA1D29}" uniqueName="4" name="high" queryTableFieldId="4"/>
    <tableColumn id="5" xr3:uid="{CC568CB7-871E-43EC-8B99-91CE33B6885D}" uniqueName="5" name="low" queryTableFieldId="5"/>
    <tableColumn id="6" xr3:uid="{87B900E3-F990-49AC-A6B4-F2906ADCA596}" uniqueName="6" name="close" queryTableFieldId="6"/>
    <tableColumn id="7" xr3:uid="{892929FF-49B8-4F85-BB03-AFB8E77CABAB}" uniqueName="7" name="volume" queryTableFieldId="7"/>
    <tableColumn id="8" xr3:uid="{09E309C2-C17C-422A-BEB0-A1591277370D}" uniqueName="8" name="adjclose" queryTableFieldId="8"/>
    <tableColumn id="9" xr3:uid="{67797AB9-6B6F-4E77-B627-F35722D20E8F}" uniqueName="9" name="id" queryTableFieldId="9" dataDxfId="335"/>
    <tableColumn id="10" xr3:uid="{3C8C4FB1-FE11-43AD-89E5-0E3B1353CC1A}" uniqueName="10" name="Pull_Date" queryTableFieldId="10" dataDxfId="5"/>
    <tableColumn id="11" xr3:uid="{4ABB603A-6620-47A7-82DB-39555B755B34}" uniqueName="11" name="percent_return" queryTableFieldId="11"/>
    <tableColumn id="12" xr3:uid="{5EA9EEC5-A6CF-4C51-92D3-4C36054B0A39}" uniqueName="12" name="open_close_diff" queryTableFieldId="12"/>
    <tableColumn id="13" xr3:uid="{9E4381F7-0AAA-422D-BC33-ECFBF734D64F}" uniqueName="13" name="open_high_diff" queryTableFieldId="13"/>
    <tableColumn id="14" xr3:uid="{617D4392-2DB1-408E-8632-CAB906E8C00D}" uniqueName="14" name="day_of_week" queryTableFieldId="14" dataDxfId="334"/>
    <tableColumn id="15" xr3:uid="{E7844A20-052D-4980-AB96-E4C8B179657A}" uniqueName="15" name="price_date_year" queryTableFieldId="1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95596E-35ED-4B0B-AF5E-1C29388352FA}" name="PriceData_GSPC" displayName="PriceData_GSPC" ref="A1:O49" tableType="queryTable" totalsRowShown="0">
  <autoFilter ref="A1:O49" xr:uid="{5695596E-35ED-4B0B-AF5E-1C29388352FA}"/>
  <tableColumns count="15">
    <tableColumn id="1" xr3:uid="{476EC5B9-A384-45D0-AB38-988EC2FA4763}" uniqueName="1" name="Ticker" queryTableFieldId="1" dataDxfId="333"/>
    <tableColumn id="2" xr3:uid="{59C9CE97-E0C9-4F8F-8947-D10E81E32854}" uniqueName="2" name="price_date" queryTableFieldId="2" dataDxfId="4"/>
    <tableColumn id="3" xr3:uid="{C2150377-0143-452F-9765-DC42A50A10E4}" uniqueName="3" name="open" queryTableFieldId="3"/>
    <tableColumn id="4" xr3:uid="{EE55D843-75B7-427E-AE6B-FEF024555FBB}" uniqueName="4" name="high" queryTableFieldId="4"/>
    <tableColumn id="5" xr3:uid="{ACEDC5AA-B799-4F6E-8544-A0EFC6ED3E45}" uniqueName="5" name="low" queryTableFieldId="5"/>
    <tableColumn id="6" xr3:uid="{379C6F9E-2F99-4CC5-B9DE-76CE560516B0}" uniqueName="6" name="close" queryTableFieldId="6"/>
    <tableColumn id="7" xr3:uid="{16623B10-1C80-47CE-AF91-FFEBE632D9C7}" uniqueName="7" name="volume" queryTableFieldId="7"/>
    <tableColumn id="8" xr3:uid="{C49DBE65-3B38-4404-9785-99C0D4F0EFE2}" uniqueName="8" name="adjclose" queryTableFieldId="8"/>
    <tableColumn id="9" xr3:uid="{9B75DB78-580A-43A1-8FAA-32407C1E68ED}" uniqueName="9" name="id" queryTableFieldId="9" dataDxfId="332"/>
    <tableColumn id="10" xr3:uid="{FB90863A-225C-454D-A772-F435B90710A6}" uniqueName="10" name="Pull_Date" queryTableFieldId="10" dataDxfId="3"/>
    <tableColumn id="11" xr3:uid="{12E70A42-6A71-4DFA-9C56-D6E6755B9C90}" uniqueName="11" name="percent_return" queryTableFieldId="11"/>
    <tableColumn id="12" xr3:uid="{F647C59F-07C9-4CAB-BA79-F95C6D787522}" uniqueName="12" name="open_close_diff" queryTableFieldId="12"/>
    <tableColumn id="13" xr3:uid="{CF515FB3-B241-4B07-A277-CD1CE9F5788F}" uniqueName="13" name="open_high_diff" queryTableFieldId="13"/>
    <tableColumn id="14" xr3:uid="{B7C3F0C2-15BB-476F-84F0-3C296BF1FA04}" uniqueName="14" name="day_of_week" queryTableFieldId="14" dataDxfId="331"/>
    <tableColumn id="15" xr3:uid="{3852E20C-3595-45DF-A441-9F426EEEA405}" uniqueName="15" name="price_date_year"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D284A8-1370-4A2F-B382-6D9782DC6DA8}" name="Table8" displayName="Table8" ref="E1:F4" totalsRowShown="0">
  <autoFilter ref="E1:F4" xr:uid="{21D284A8-1370-4A2F-B382-6D9782DC6DA8}"/>
  <tableColumns count="2">
    <tableColumn id="1" xr3:uid="{7820A706-A586-4ABA-ADAE-5091AF7F78EA}" name="#" dataDxfId="356"/>
    <tableColumn id="2" xr3:uid="{879532C5-9FC3-416C-B1A0-596EC4E5F040}" name="Ide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E61F55-C9D6-474F-9932-7DF1D592F1B3}" name="IncomeStatement" displayName="IncomeStatement" ref="A1:CB74" tableType="queryTable" totalsRowShown="0">
  <autoFilter ref="A1:CB74" xr:uid="{96E61F55-C9D6-474F-9932-7DF1D592F1B3}">
    <filterColumn colId="0">
      <filters>
        <filter val="L20240826"/>
      </filters>
    </filterColumn>
    <filterColumn colId="3">
      <filters>
        <filter val="12M"/>
      </filters>
    </filterColumn>
  </autoFilter>
  <tableColumns count="80">
    <tableColumn id="1" xr3:uid="{17854FD5-DA44-4BBC-B637-C893F020EF95}" uniqueName="1" name="id" queryTableFieldId="1" dataDxfId="355"/>
    <tableColumn id="2" xr3:uid="{A31D2101-F390-4F70-BBAA-BDC4C684BAC3}" uniqueName="2" name="asOfDate" queryTableFieldId="2" dataDxfId="329"/>
    <tableColumn id="75" xr3:uid="{0BE83C99-E5E5-4E6F-8936-15373194439E}" uniqueName="75" name="Year" queryTableFieldId="75"/>
    <tableColumn id="3" xr3:uid="{FE7EAECF-9660-4115-9E1B-DE22802F35F7}" uniqueName="3" name="periodType" queryTableFieldId="3" dataDxfId="354"/>
    <tableColumn id="4" xr3:uid="{EED1BAC0-A38A-4B28-A7BA-33C9E570D384}" uniqueName="4" name="currencyCode" queryTableFieldId="4" dataDxfId="353"/>
    <tableColumn id="5" xr3:uid="{74AEDA20-0BBC-47DC-8932-457185418876}" uniqueName="5" name="AverageDilutionEarnings" queryTableFieldId="5" dataDxfId="328" dataCellStyle="Comma"/>
    <tableColumn id="6" xr3:uid="{81E828FF-AC8E-4DFD-AD74-0D9E3C221630}" uniqueName="6" name="BasicAverageShares" queryTableFieldId="6" dataDxfId="327" dataCellStyle="Comma"/>
    <tableColumn id="7" xr3:uid="{A6765C95-D5A4-4787-88DA-D17AFE7C2A7D}" uniqueName="7" name="BasicEPS" queryTableFieldId="7" dataDxfId="326" dataCellStyle="Comma"/>
    <tableColumn id="8" xr3:uid="{0162BF3A-125A-4E86-A784-C889C4F38CBD}" uniqueName="8" name="CostOfRevenue" queryTableFieldId="8" dataDxfId="325" dataCellStyle="Comma"/>
    <tableColumn id="9" xr3:uid="{EA42CB82-08EC-4452-AD7E-8B52D7DE3C57}" uniqueName="9" name="DepreciationAmortizationDepletionIncomeStatement" queryTableFieldId="9" dataDxfId="324" dataCellStyle="Comma"/>
    <tableColumn id="10" xr3:uid="{544FF0BA-B15C-42EF-9376-D8836A8B8ED0}" uniqueName="10" name="DepreciationAndAmortizationInIncomeStatement" queryTableFieldId="10" dataDxfId="323" dataCellStyle="Comma"/>
    <tableColumn id="11" xr3:uid="{8E85930D-BB84-451B-A83C-B8D97E41F737}" uniqueName="11" name="DilutedAverageShares" queryTableFieldId="11" dataDxfId="322" dataCellStyle="Comma"/>
    <tableColumn id="12" xr3:uid="{495157F7-2E56-4F82-93A5-743251DA51F7}" uniqueName="12" name="DilutedEPS" queryTableFieldId="12" dataDxfId="321" dataCellStyle="Comma"/>
    <tableColumn id="13" xr3:uid="{714D63CA-2983-4EC0-8454-63567C9D8860}" uniqueName="13" name="DilutedNIAvailtoComStockholders" queryTableFieldId="13" dataDxfId="320" dataCellStyle="Comma"/>
    <tableColumn id="14" xr3:uid="{C262F41E-BBB7-4B32-ACAD-882D22024DDB}" uniqueName="14" name="EBIT" queryTableFieldId="14" dataDxfId="319" dataCellStyle="Comma"/>
    <tableColumn id="15" xr3:uid="{38106D96-12D3-4C3D-9468-5CFADE77577A}" uniqueName="15" name="EBITDA" queryTableFieldId="15" dataDxfId="318" dataCellStyle="Comma"/>
    <tableColumn id="16" xr3:uid="{CAAED31E-D0BA-476E-AF24-327A274D8BFD}" uniqueName="16" name="EarningsFromEquityInterestNetOfTax" queryTableFieldId="16" dataDxfId="317" dataCellStyle="Comma"/>
    <tableColumn id="17" xr3:uid="{699059D6-2673-4242-9CE2-7F45EB12AB34}" uniqueName="17" name="GainOnSaleOfBusiness" queryTableFieldId="17" dataDxfId="316" dataCellStyle="Comma"/>
    <tableColumn id="18" xr3:uid="{97CF692C-E10A-44CF-BCEE-641FB14BD22F}" uniqueName="18" name="GainOnSaleOfSecurity" queryTableFieldId="18" dataDxfId="315" dataCellStyle="Comma"/>
    <tableColumn id="19" xr3:uid="{DE67067D-7ACD-406A-996A-3C9702233B39}" uniqueName="19" name="GeneralAndAdministrativeExpense" queryTableFieldId="19" dataDxfId="314" dataCellStyle="Comma"/>
    <tableColumn id="20" xr3:uid="{FD74E4FC-9814-47EF-8F69-E2F1E74A4014}" uniqueName="20" name="GrossProfit" queryTableFieldId="20" dataDxfId="313" dataCellStyle="Comma"/>
    <tableColumn id="21" xr3:uid="{316D7B18-7CE5-4A0C-BC82-A74582A65BFD}" uniqueName="21" name="InterestExpense" queryTableFieldId="21" dataDxfId="312" dataCellStyle="Comma"/>
    <tableColumn id="22" xr3:uid="{8A85C14F-BA03-4195-A0A8-AC962EF5CC8E}" uniqueName="22" name="InterestExpenseNonOperating" queryTableFieldId="22" dataDxfId="311" dataCellStyle="Comma"/>
    <tableColumn id="23" xr3:uid="{5FCCD228-BB7D-49A6-8318-580D7B569B31}" uniqueName="23" name="InterestIncome" queryTableFieldId="23" dataDxfId="310" dataCellStyle="Comma"/>
    <tableColumn id="24" xr3:uid="{BC2E2514-748B-4348-B055-8B8830E00F0F}" uniqueName="24" name="InterestIncomeNonOperating" queryTableFieldId="24" dataDxfId="309" dataCellStyle="Comma"/>
    <tableColumn id="25" xr3:uid="{71ED8086-C6F2-4472-9FE1-6D2A300A0A68}" uniqueName="25" name="MinorityInterests" queryTableFieldId="25" dataDxfId="308" dataCellStyle="Comma"/>
    <tableColumn id="26" xr3:uid="{CF5706E8-DA3B-4B85-AD9C-5EF45FAA1BBC}" uniqueName="26" name="NetIncome" queryTableFieldId="26" dataDxfId="307" dataCellStyle="Comma"/>
    <tableColumn id="27" xr3:uid="{14260D7D-2222-4A11-9558-45BC8E546D67}" uniqueName="27" name="NetIncomeCommonStockholders" queryTableFieldId="27" dataDxfId="306" dataCellStyle="Comma"/>
    <tableColumn id="28" xr3:uid="{67EFF183-BA7E-45B6-880B-8D7B5B558481}" uniqueName="28" name="NetIncomeContinuousOperations" queryTableFieldId="28" dataDxfId="305" dataCellStyle="Comma"/>
    <tableColumn id="29" xr3:uid="{B1F0D07A-CBD1-407E-886B-C9BB1E213A76}" uniqueName="29" name="NetIncomeFromContinuingAndDiscontinuedOperation" queryTableFieldId="29" dataDxfId="304" dataCellStyle="Comma"/>
    <tableColumn id="30" xr3:uid="{7C076902-BFC3-48A4-A004-5496088FFC1D}" uniqueName="30" name="NetIncomeFromContinuingOperationNetMinorityInterest" queryTableFieldId="30" dataDxfId="303" dataCellStyle="Comma"/>
    <tableColumn id="31" xr3:uid="{BC5C9E26-848F-42BF-A1ED-A9178351C71E}" uniqueName="31" name="NetIncomeIncludingNoncontrollingInterests" queryTableFieldId="31" dataDxfId="302" dataCellStyle="Comma"/>
    <tableColumn id="32" xr3:uid="{832A07CD-380D-454E-9193-A7B13E1329E4}" uniqueName="32" name="NetInterestIncome" queryTableFieldId="32" dataDxfId="301" dataCellStyle="Comma"/>
    <tableColumn id="33" xr3:uid="{326F97B8-CAAA-43DB-BAA6-988C0DCC8B17}" uniqueName="33" name="NetNonOperatingInterestIncomeExpense" queryTableFieldId="33" dataDxfId="300" dataCellStyle="Comma"/>
    <tableColumn id="34" xr3:uid="{D1CD8E56-E57E-4A7A-8012-69940D742B87}" uniqueName="34" name="NormalizedEBITDA" queryTableFieldId="34" dataDxfId="299" dataCellStyle="Comma"/>
    <tableColumn id="35" xr3:uid="{E5992184-22AD-4F6E-9185-DF2FB3759434}" uniqueName="35" name="NormalizedIncome" queryTableFieldId="35" dataDxfId="298" dataCellStyle="Comma"/>
    <tableColumn id="36" xr3:uid="{D073B15F-F677-49A8-8E36-843CAE9653C2}" uniqueName="36" name="OperatingExpense" queryTableFieldId="36" dataDxfId="297" dataCellStyle="Comma"/>
    <tableColumn id="37" xr3:uid="{9D3A348A-8564-49FD-9AC2-1399686DF6A4}" uniqueName="37" name="OperatingIncome" queryTableFieldId="37" dataDxfId="296" dataCellStyle="Comma"/>
    <tableColumn id="38" xr3:uid="{2C65600A-4FFF-4D31-AEA7-3A586C958442}" uniqueName="38" name="OperatingRevenue" queryTableFieldId="38" dataDxfId="295" dataCellStyle="Comma"/>
    <tableColumn id="39" xr3:uid="{0EDE01F4-1B2D-40E4-8806-580B41F76FE3}" uniqueName="39" name="OtherGandA" queryTableFieldId="39" dataDxfId="294" dataCellStyle="Comma"/>
    <tableColumn id="40" xr3:uid="{48879E45-9E3C-43C9-A5E4-B401FB1E8B61}" uniqueName="40" name="OtherIncomeExpense" queryTableFieldId="40" dataDxfId="293" dataCellStyle="Comma"/>
    <tableColumn id="41" xr3:uid="{8AD577D8-FAD6-4AE8-8982-95A11C2A3511}" uniqueName="41" name="OtherNonOperatingIncomeExpenses" queryTableFieldId="41" dataDxfId="292" dataCellStyle="Comma"/>
    <tableColumn id="42" xr3:uid="{C1287357-3406-4567-9830-FDB7BBE37FE3}" uniqueName="42" name="OtherOperatingExpenses" queryTableFieldId="42" dataDxfId="291" dataCellStyle="Comma"/>
    <tableColumn id="43" xr3:uid="{9581FC6F-7124-4C26-8F1D-23B0A64597FD}" uniqueName="43" name="OtherunderPreferredStockDividend" queryTableFieldId="43" dataDxfId="290" dataCellStyle="Comma"/>
    <tableColumn id="44" xr3:uid="{1A083BE6-BDA6-497B-836E-02AA73AFD669}" uniqueName="44" name="PretaxIncome" queryTableFieldId="44" dataDxfId="289" dataCellStyle="Comma"/>
    <tableColumn id="45" xr3:uid="{8657D94E-D4DC-4628-BA23-725F969C9D84}" uniqueName="45" name="ReconciledCostOfRevenue" queryTableFieldId="45" dataDxfId="288" dataCellStyle="Comma"/>
    <tableColumn id="46" xr3:uid="{0876F679-F31F-4F89-8579-D3564693B480}" uniqueName="46" name="ReconciledDepreciation" queryTableFieldId="46" dataDxfId="287" dataCellStyle="Comma"/>
    <tableColumn id="47" xr3:uid="{737DB7C7-E154-456F-87D8-1361A8022D63}" uniqueName="47" name="ResearchAndDevelopment" queryTableFieldId="47" dataDxfId="286" dataCellStyle="Comma"/>
    <tableColumn id="48" xr3:uid="{9B13C0E6-52D0-454C-9A3E-9DC8A68F07C0}" uniqueName="48" name="SellingAndMarketingExpense" queryTableFieldId="48" dataDxfId="285" dataCellStyle="Comma"/>
    <tableColumn id="49" xr3:uid="{4978A1D1-1BD9-49A9-B88A-2856444FF097}" uniqueName="49" name="SellingGeneralAndAdministration" queryTableFieldId="49" dataDxfId="284" dataCellStyle="Comma"/>
    <tableColumn id="50" xr3:uid="{D76E409A-98F8-4235-AE4C-20EB99ACB674}" uniqueName="50" name="SpecialIncomeCharges" queryTableFieldId="50" dataDxfId="283" dataCellStyle="Comma"/>
    <tableColumn id="51" xr3:uid="{F66B3855-C985-49A5-BB40-529B4C92BC7A}" uniqueName="51" name="TaxEffectOfUnusualItems" queryTableFieldId="51" dataDxfId="282" dataCellStyle="Comma"/>
    <tableColumn id="52" xr3:uid="{88F2F258-D1F1-42A3-A5D1-78C72A21843F}" uniqueName="52" name="TaxProvision" queryTableFieldId="52" dataDxfId="281" dataCellStyle="Comma"/>
    <tableColumn id="53" xr3:uid="{8EED3DD2-A136-41DC-9B8E-8460F0BE1521}" uniqueName="53" name="TaxRateForCalcs" queryTableFieldId="53" dataDxfId="280" dataCellStyle="Comma"/>
    <tableColumn id="54" xr3:uid="{BF361207-AF43-4B8D-AFD3-AE6F43E85F19}" uniqueName="54" name="TotalExpenses" queryTableFieldId="54" dataDxfId="279" dataCellStyle="Comma"/>
    <tableColumn id="55" xr3:uid="{57AC524C-0B13-4E67-9FD8-10B0CDDC43AB}" uniqueName="55" name="TotalOperatingIncomeAsReported" queryTableFieldId="55" dataDxfId="278" dataCellStyle="Comma"/>
    <tableColumn id="56" xr3:uid="{49D9ECB6-0498-4AE2-8229-42ABC41B1578}" uniqueName="56" name="TotalRevenue" queryTableFieldId="56" dataDxfId="277" dataCellStyle="Comma"/>
    <tableColumn id="57" xr3:uid="{ED3EBE08-BA8B-4A10-B654-32DA5428EFF6}" uniqueName="57" name="TotalUnusualItems" queryTableFieldId="57" dataDxfId="276" dataCellStyle="Comma"/>
    <tableColumn id="58" xr3:uid="{1E05DF99-61C1-47BB-905F-74250EC8B494}" uniqueName="58" name="TotalUnusualItemsExcludingGoodwill" queryTableFieldId="58" dataDxfId="275" dataCellStyle="Comma"/>
    <tableColumn id="59" xr3:uid="{81FF75E0-0AF2-48C4-9841-F98F83FA909A}" uniqueName="59" name="WriteOff" queryTableFieldId="59" dataDxfId="274" dataCellStyle="Comma"/>
    <tableColumn id="60" xr3:uid="{1C511495-0568-4CAE-AC19-DB16E328C12C}" uniqueName="60" name="NetIncomeDiscontinuousOperations" queryTableFieldId="60" dataDxfId="273" dataCellStyle="Comma"/>
    <tableColumn id="81" xr3:uid="{144C2250-81DC-4203-A5A1-74B5D26045E0}" uniqueName="81" name="SecuritiesAmortization" queryTableFieldId="286" dataCellStyle="Comma"/>
    <tableColumn id="78" xr3:uid="{4EDA061D-F616-4F4C-9C3A-6FB6CF9BFF35}" uniqueName="78" name="TotalOtherFinanceCost" queryTableFieldId="81" dataDxfId="272" dataCellStyle="Comma"/>
    <tableColumn id="61" xr3:uid="{2AE2FF8D-D67C-4CDC-B1E5-6DD7DD088EF9}" uniqueName="61" name="EarningsFromEquityInterest" queryTableFieldId="61" dataDxfId="271" dataCellStyle="Comma"/>
    <tableColumn id="62" xr3:uid="{0012014D-CA85-46D9-A066-428937D47E7F}" uniqueName="62" name="ImpairmentOfCapitalAssets" queryTableFieldId="62" dataDxfId="270" dataCellStyle="Comma"/>
    <tableColumn id="63" xr3:uid="{2DAA508E-B92C-426F-AF80-C50AB6B8649F}" uniqueName="63" name="PreferredStockDividends" queryTableFieldId="63" dataDxfId="269" dataCellStyle="Comma"/>
    <tableColumn id="64" xr3:uid="{9D8A887E-0AE1-4B17-A126-571351DE9966}" uniqueName="64" name="Amortization" queryTableFieldId="64" dataDxfId="268" dataCellStyle="Comma"/>
    <tableColumn id="65" xr3:uid="{38A61CCE-7A39-41DB-B111-3581E107EEA9}" uniqueName="65" name="AmortizationOfIntangiblesIncomeStatement" queryTableFieldId="65" dataDxfId="267" dataCellStyle="Comma"/>
    <tableColumn id="66" xr3:uid="{2BF617EF-DC94-40CF-882F-91A4150D4476}" uniqueName="66" name="OtherSpecialCharges" queryTableFieldId="66" dataDxfId="266" dataCellStyle="Comma"/>
    <tableColumn id="67" xr3:uid="{95B83D96-6BD5-438B-925F-5D0FC21C557A}" uniqueName="67" name="OtherTaxes" queryTableFieldId="67" dataDxfId="265" dataCellStyle="Comma"/>
    <tableColumn id="82" xr3:uid="{CC263E29-9990-4C11-8F63-9D53C169B4A4}" uniqueName="82" name="DepletionIncomeStatement" queryTableFieldId="287" dataCellStyle="Comma"/>
    <tableColumn id="76" xr3:uid="{869939F4-5519-4BBF-A4CE-9FEEC98B4200}" uniqueName="76" name="DepreciationIncomeStatement" queryTableFieldId="230" dataDxfId="264" dataCellStyle="Comma"/>
    <tableColumn id="68" xr3:uid="{94A7F6EE-AADA-45C1-9B84-779BE2F20636}" uniqueName="68" name="RestructuringAndMergernAcquisition" queryTableFieldId="68" dataDxfId="263" dataCellStyle="Comma"/>
    <tableColumn id="69" xr3:uid="{EBC1560D-2450-4001-A237-A0B68BC06556}" uniqueName="69" name="GainOnSaleOfPPE" queryTableFieldId="69" dataDxfId="262" dataCellStyle="Comma"/>
    <tableColumn id="70" xr3:uid="{756E3A56-235A-4E75-A3C9-4B223AE05B25}" uniqueName="70" name="ProvisionForDoubtfulAccounts" queryTableFieldId="70" dataDxfId="261" dataCellStyle="Comma"/>
    <tableColumn id="79" xr3:uid="{293494E8-5E53-411F-975A-1CB3E9FE36BF}" uniqueName="79" name="asOfYear" queryTableFieldId="94" dataDxfId="260" dataCellStyle="Comma"/>
    <tableColumn id="71" xr3:uid="{A3637E10-0C0A-4030-AB6C-5FFF6D9FFF6C}" uniqueName="71" name="SalariesAndWages" queryTableFieldId="71" dataDxfId="259" dataCellStyle="Comma"/>
    <tableColumn id="72" xr3:uid="{8FD72E85-CD81-4042-B1D8-1AED3141EC9C}" uniqueName="72" name="RentAndLandingFees" queryTableFieldId="72" dataDxfId="258" dataCellStyle="Comma"/>
    <tableColumn id="73" xr3:uid="{0923D9B2-1F71-4784-BB8B-F2B8DC2DC9B3}" uniqueName="73" name="RentExpenseSupplemental" queryTableFieldId="73" dataDxfId="257" dataCellStyle="Comma"/>
    <tableColumn id="74" xr3:uid="{01070C76-4E03-4DE5-9126-74865A675E46}" uniqueName="74" name="Ticker" queryTableFieldId="74" dataDxfId="35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0AAE30-54DE-4F69-9092-57C42745D75D}" name="BalanceSheet" displayName="BalanceSheet" ref="A1:EA43" tableType="queryTable" totalsRowShown="0">
  <autoFilter ref="A1:EA43" xr:uid="{4A0AAE30-54DE-4F69-9092-57C42745D75D}"/>
  <tableColumns count="131">
    <tableColumn id="1" xr3:uid="{383908E0-5C86-4DE7-8B3C-32159D5F2E68}" uniqueName="1" name="id" queryTableFieldId="1" dataDxfId="351"/>
    <tableColumn id="2" xr3:uid="{FE76E6C4-D38C-4ABE-A2BE-0197746D560A}" uniqueName="2" name="asOfDate" queryTableFieldId="2" dataDxfId="256"/>
    <tableColumn id="128" xr3:uid="{268DC9F9-27F1-4540-AA7B-9B42422C8E6F}" uniqueName="128" name="Year" queryTableFieldId="128"/>
    <tableColumn id="3" xr3:uid="{2E271D49-92D3-4E01-95FF-C930C77321DF}" uniqueName="3" name="periodType" queryTableFieldId="3" dataDxfId="350"/>
    <tableColumn id="4" xr3:uid="{78B17CD5-D105-4C8A-BE64-39D9582BE232}" uniqueName="4" name="currencyCode" queryTableFieldId="4" dataDxfId="349"/>
    <tableColumn id="5" xr3:uid="{D96ADEFC-64CD-4226-93CB-67F9F9A00732}" uniqueName="5" name="AccountsPayable" queryTableFieldId="5" dataDxfId="255" dataCellStyle="Comma"/>
    <tableColumn id="6" xr3:uid="{739130AE-A335-459A-BE4F-6C45F47DC0D0}" uniqueName="6" name="AccountsReceivable" queryTableFieldId="6" dataDxfId="254" dataCellStyle="Comma"/>
    <tableColumn id="7" xr3:uid="{F1A9FE73-65BC-472B-A6EB-78F3B4CB090C}" uniqueName="7" name="AccumulatedDepreciation" queryTableFieldId="7" dataDxfId="253" dataCellStyle="Comma"/>
    <tableColumn id="8" xr3:uid="{4F268656-DCF3-4147-B549-0A65361D25CC}" uniqueName="8" name="AdditionalPaidInCapital" queryTableFieldId="8" dataDxfId="252" dataCellStyle="Comma"/>
    <tableColumn id="9" xr3:uid="{8AD25D0D-1242-4D76-ADDD-E696357D49CD}" uniqueName="9" name="AllowanceForDoubtfulAccountsReceivable" queryTableFieldId="9" dataDxfId="251" dataCellStyle="Comma"/>
    <tableColumn id="10" xr3:uid="{6C926260-76DD-4F60-A21F-E47FB90B40BC}" uniqueName="10" name="AssetsHeldForSaleCurrent" queryTableFieldId="10" dataDxfId="250" dataCellStyle="Comma"/>
    <tableColumn id="11" xr3:uid="{FF3C59D0-DE82-4D02-A34A-2D3E0F9702D9}" uniqueName="11" name="AvailableForSaleSecurities" queryTableFieldId="11" dataDxfId="249" dataCellStyle="Comma"/>
    <tableColumn id="12" xr3:uid="{5DB039D3-A1B6-470A-BED2-B9D27697B596}" uniqueName="12" name="BuildingsAndImprovements" queryTableFieldId="12" dataDxfId="248" dataCellStyle="Comma"/>
    <tableColumn id="13" xr3:uid="{F471DAF1-C2E3-4219-897E-26506419EA0B}" uniqueName="13" name="CapitalLeaseObligations" queryTableFieldId="13" dataDxfId="247" dataCellStyle="Comma"/>
    <tableColumn id="14" xr3:uid="{42E8AA2A-F12F-43C7-AB53-2B9D26641A23}" uniqueName="14" name="CapitalStock" queryTableFieldId="14" dataDxfId="246" dataCellStyle="Comma"/>
    <tableColumn id="15" xr3:uid="{A8B4C8C1-98B7-4F7F-8716-49D5F970DA96}" uniqueName="15" name="CashAndCashEquivalents" queryTableFieldId="15" dataDxfId="245" dataCellStyle="Comma"/>
    <tableColumn id="16" xr3:uid="{22D177B8-61B2-425D-8D9D-47EFF8F141A6}" uniqueName="16" name="CashCashEquivalentsAndShortTermInvestments" queryTableFieldId="16" dataDxfId="244" dataCellStyle="Comma"/>
    <tableColumn id="17" xr3:uid="{E4ED69F4-72C9-4348-BBDF-95E09374641F}" uniqueName="17" name="CommonStock" queryTableFieldId="17" dataDxfId="243" dataCellStyle="Comma"/>
    <tableColumn id="18" xr3:uid="{86E0D939-3812-4496-95DA-580817E2E89F}" uniqueName="18" name="CommonStockEquity" queryTableFieldId="18" dataDxfId="242" dataCellStyle="Comma"/>
    <tableColumn id="19" xr3:uid="{1FE0BCE6-31AA-409A-9012-CEC13F6F536E}" uniqueName="19" name="ConstructionInProgress" queryTableFieldId="19" dataDxfId="241" dataCellStyle="Comma"/>
    <tableColumn id="20" xr3:uid="{1A41E694-3D91-40C0-83E0-C185562D70F1}" uniqueName="20" name="CurrentAccruedExpenses" queryTableFieldId="20" dataDxfId="240" dataCellStyle="Comma"/>
    <tableColumn id="21" xr3:uid="{423BAA8C-D2FB-4726-8195-2052CAECD96B}" uniqueName="21" name="CurrentAssets" queryTableFieldId="21" dataDxfId="239" dataCellStyle="Comma"/>
    <tableColumn id="22" xr3:uid="{3B778A1C-4E54-4CB2-B050-528682D18AD4}" uniqueName="22" name="CurrentCapitalLeaseObligation" queryTableFieldId="22" dataDxfId="238" dataCellStyle="Comma"/>
    <tableColumn id="23" xr3:uid="{70E82074-1D5E-4645-95DC-1C6619C78FB4}" uniqueName="23" name="CurrentDebt" queryTableFieldId="23" dataDxfId="237" dataCellStyle="Comma"/>
    <tableColumn id="24" xr3:uid="{2ECD8D16-C334-44F5-AAC6-234FE9E1C9A6}" uniqueName="24" name="CurrentDebtAndCapitalLeaseObligation" queryTableFieldId="24" dataDxfId="236" dataCellStyle="Comma"/>
    <tableColumn id="25" xr3:uid="{DFB0D430-E327-4DA3-9A20-1D9633725B45}" uniqueName="25" name="CurrentLiabilities" queryTableFieldId="25" dataDxfId="235" dataCellStyle="Comma"/>
    <tableColumn id="26" xr3:uid="{CC99F84C-BB3E-4260-AA8F-21D0C5E9AD89}" uniqueName="26" name="CurrentProvisions" queryTableFieldId="26" dataDxfId="234" dataCellStyle="Comma"/>
    <tableColumn id="27" xr3:uid="{D0693702-6389-451F-9466-0BDE1CF4BA2D}" uniqueName="27" name="GainsLossesNotAffectingRetainedEarnings" queryTableFieldId="27" dataDxfId="233" dataCellStyle="Comma"/>
    <tableColumn id="28" xr3:uid="{09D346AE-9FFC-4373-A83C-2A00BF714756}" uniqueName="28" name="Goodwill" queryTableFieldId="28" dataDxfId="232" dataCellStyle="Comma"/>
    <tableColumn id="29" xr3:uid="{8C0172A0-4313-4A71-9A52-F29DD72D6111}" uniqueName="29" name="GoodwillAndOtherIntangibleAssets" queryTableFieldId="29" dataDxfId="231" dataCellStyle="Comma"/>
    <tableColumn id="30" xr3:uid="{D68BA846-5AA3-43CF-867A-3CD0F735D82C}" uniqueName="30" name="GrossAccountsReceivable" queryTableFieldId="30" dataDxfId="230" dataCellStyle="Comma"/>
    <tableColumn id="31" xr3:uid="{B2E8F715-3C79-4BD9-B86B-11C1AA2BC520}" uniqueName="31" name="GrossPPE" queryTableFieldId="31" dataDxfId="229" dataCellStyle="Comma"/>
    <tableColumn id="32" xr3:uid="{6EB36139-CF58-4622-8241-665F107FF430}" uniqueName="32" name="HeldToMaturitySecurities" queryTableFieldId="32" dataDxfId="228" dataCellStyle="Comma"/>
    <tableColumn id="33" xr3:uid="{10269F05-9688-4E00-A0E0-BCD50FC5BCBA}" uniqueName="33" name="IncomeTaxPayable" queryTableFieldId="33" dataDxfId="227" dataCellStyle="Comma"/>
    <tableColumn id="34" xr3:uid="{C813BCA6-ED67-4909-940E-B6965CCA1F5E}" uniqueName="34" name="InterestPayable" queryTableFieldId="34" dataDxfId="226" dataCellStyle="Comma"/>
    <tableColumn id="35" xr3:uid="{5A467038-676F-4461-93C7-EA79C7060FE7}" uniqueName="35" name="InvestedCapital" queryTableFieldId="35" dataDxfId="225" dataCellStyle="Comma"/>
    <tableColumn id="36" xr3:uid="{179ACBB6-3AFB-4AA8-A305-2D239A23DD81}" uniqueName="36" name="InvestmentinFinancialAssets" queryTableFieldId="36" dataDxfId="224" dataCellStyle="Comma"/>
    <tableColumn id="37" xr3:uid="{0003EE80-7699-436B-B481-6C98662AEF45}" uniqueName="37" name="InvestmentsAndAdvances" queryTableFieldId="37" dataDxfId="223" dataCellStyle="Comma"/>
    <tableColumn id="38" xr3:uid="{1F4BB90F-C843-4337-BBDD-0AF28BAE78AD}" uniqueName="38" name="LandAndImprovements" queryTableFieldId="38" dataDxfId="222" dataCellStyle="Comma"/>
    <tableColumn id="39" xr3:uid="{B020CB3A-1151-42E1-A485-7CC7A15A3D5D}" uniqueName="39" name="Leases" queryTableFieldId="39" dataDxfId="221" dataCellStyle="Comma"/>
    <tableColumn id="40" xr3:uid="{19AE3BFB-7FC2-44C5-A6C0-EA4F94B74DDC}" uniqueName="40" name="LongTermCapitalLeaseObligation" queryTableFieldId="40" dataDxfId="220" dataCellStyle="Comma"/>
    <tableColumn id="41" xr3:uid="{AE04631C-E476-4769-A2C1-D35307BA95D5}" uniqueName="41" name="LongTermDebt" queryTableFieldId="41" dataDxfId="219" dataCellStyle="Comma"/>
    <tableColumn id="42" xr3:uid="{0DEE45DA-F244-4148-8F36-49A8D818B73F}" uniqueName="42" name="LongTermDebtAndCapitalLeaseObligation" queryTableFieldId="42" dataDxfId="218" dataCellStyle="Comma"/>
    <tableColumn id="43" xr3:uid="{42DC334B-C738-4440-966F-161364527851}" uniqueName="43" name="LongTermEquityInvestment" queryTableFieldId="43" dataDxfId="217" dataCellStyle="Comma"/>
    <tableColumn id="44" xr3:uid="{B9CC8145-C041-4285-A423-01A4E18CCD44}" uniqueName="44" name="LongTermProvisions" queryTableFieldId="44" dataDxfId="216" dataCellStyle="Comma"/>
    <tableColumn id="45" xr3:uid="{E1C0DE46-026D-424C-AFE1-2159E377DA5F}" uniqueName="45" name="MachineryFurnitureEquipment" queryTableFieldId="45" dataDxfId="215" dataCellStyle="Comma"/>
    <tableColumn id="46" xr3:uid="{2EFD1E92-3E48-465E-8DF8-86CD1A9A14CC}" uniqueName="46" name="MinorityInterest" queryTableFieldId="46" dataDxfId="214" dataCellStyle="Comma"/>
    <tableColumn id="47" xr3:uid="{6B26AC3F-BDF5-4D91-8015-C821990EFCAD}" uniqueName="47" name="NetDebt" queryTableFieldId="47" dataDxfId="213" dataCellStyle="Comma"/>
    <tableColumn id="48" xr3:uid="{1AE21F8C-7FCC-4D7D-9043-24394FED9E5C}" uniqueName="48" name="NetPPE" queryTableFieldId="48" dataDxfId="212" dataCellStyle="Comma"/>
    <tableColumn id="49" xr3:uid="{152E771F-3B10-42D7-A94F-E4025FEB331B}" uniqueName="49" name="NetTangibleAssets" queryTableFieldId="49" dataDxfId="211" dataCellStyle="Comma"/>
    <tableColumn id="50" xr3:uid="{268E826F-DA36-428B-8272-BAAE42C8FBCA}" uniqueName="50" name="NonCurrentDeferredLiabilities" queryTableFieldId="50" dataDxfId="210" dataCellStyle="Comma"/>
    <tableColumn id="51" xr3:uid="{6EF60AA9-9B73-4C10-BA14-7CC337B7D071}" uniqueName="51" name="NonCurrentDeferredTaxesLiabilities" queryTableFieldId="51" dataDxfId="209" dataCellStyle="Comma"/>
    <tableColumn id="52" xr3:uid="{E50ABCB3-1B34-4648-ADB1-A116078F6C5A}" uniqueName="52" name="NonCurrentNoteReceivables" queryTableFieldId="52" dataDxfId="208" dataCellStyle="Comma"/>
    <tableColumn id="53" xr3:uid="{27AF6432-3A49-4F2B-862D-0BCA7980BB81}" uniqueName="53" name="OrdinarySharesNumber" queryTableFieldId="53" dataDxfId="207" dataCellStyle="Comma"/>
    <tableColumn id="54" xr3:uid="{C5F587BE-EFB7-4583-82B1-B3D240E445D0}" uniqueName="54" name="OtherCurrentAssets" queryTableFieldId="54" dataDxfId="206" dataCellStyle="Comma"/>
    <tableColumn id="55" xr3:uid="{7A0BF615-00FF-473F-B527-6955593A2A86}" uniqueName="55" name="OtherCurrentBorrowings" queryTableFieldId="55" dataDxfId="205" dataCellStyle="Comma"/>
    <tableColumn id="56" xr3:uid="{EE124F8C-5E7C-4629-A8D4-D9CC453078DC}" uniqueName="56" name="OtherCurrentLiabilities" queryTableFieldId="56" dataDxfId="204" dataCellStyle="Comma"/>
    <tableColumn id="57" xr3:uid="{4908F086-486F-4A49-9B06-820004CC0375}" uniqueName="57" name="OtherEquityAdjustments" queryTableFieldId="57" dataDxfId="203" dataCellStyle="Comma"/>
    <tableColumn id="58" xr3:uid="{68C810E3-D7A5-4427-865E-6D63B9B12ABE}" uniqueName="58" name="OtherIntangibleAssets" queryTableFieldId="58" dataDxfId="202" dataCellStyle="Comma"/>
    <tableColumn id="59" xr3:uid="{F4AEE738-0DCA-4B6C-BA37-30589CF0B8AC}" uniqueName="59" name="OtherNonCurrentAssets" queryTableFieldId="59" dataDxfId="201" dataCellStyle="Comma"/>
    <tableColumn id="60" xr3:uid="{2B193244-E50D-48D9-992F-419DE35DEC67}" uniqueName="60" name="OtherNonCurrentLiabilities" queryTableFieldId="60" dataDxfId="200" dataCellStyle="Comma"/>
    <tableColumn id="61" xr3:uid="{6418AE7D-1E6F-4B4D-AB13-028C0049E630}" uniqueName="61" name="OtherPayable" queryTableFieldId="61" dataDxfId="199" dataCellStyle="Comma"/>
    <tableColumn id="62" xr3:uid="{D06A183D-B7A3-4693-BD22-F8F239104B81}" uniqueName="62" name="OtherProperties" queryTableFieldId="62" dataDxfId="198" dataCellStyle="Comma"/>
    <tableColumn id="63" xr3:uid="{F47B4742-3529-4884-9D26-BBF498F94AA2}" uniqueName="63" name="OtherReceivables" queryTableFieldId="63" dataDxfId="197" dataCellStyle="Comma"/>
    <tableColumn id="64" xr3:uid="{A18EA19B-09A4-460A-9DC6-87F32DEC6966}" uniqueName="64" name="OtherShortTermInvestments" queryTableFieldId="64" dataDxfId="196" dataCellStyle="Comma"/>
    <tableColumn id="65" xr3:uid="{A6257908-3749-46D2-90DE-7B4188104966}" uniqueName="65" name="Payables" queryTableFieldId="65" dataDxfId="195" dataCellStyle="Comma"/>
    <tableColumn id="66" xr3:uid="{A7C0025C-1ADA-40F6-BBE0-B446112F092E}" uniqueName="66" name="PayablesAndAccruedExpenses" queryTableFieldId="66" dataDxfId="194" dataCellStyle="Comma"/>
    <tableColumn id="67" xr3:uid="{48E05C2B-DBBA-4003-A712-FA665CA7E2D1}" uniqueName="67" name="PensionandOtherPostRetirementBenefitPlansCurrent" queryTableFieldId="67" dataDxfId="193" dataCellStyle="Comma"/>
    <tableColumn id="68" xr3:uid="{71B618F8-EE13-43FD-A496-82AEBCBFEC1F}" uniqueName="68" name="PreferredSecuritiesOutsideStockEquity" queryTableFieldId="68" dataDxfId="192" dataCellStyle="Comma"/>
    <tableColumn id="69" xr3:uid="{FC93D5F9-02EF-40A3-8A72-3F20FFA94F3F}" uniqueName="69" name="PrepaidAssets" queryTableFieldId="69" dataDxfId="191" dataCellStyle="Comma"/>
    <tableColumn id="70" xr3:uid="{27ED1D0E-25F8-4636-96B5-8CD7D27CDFC0}" uniqueName="70" name="Properties" queryTableFieldId="70" dataDxfId="190" dataCellStyle="Comma"/>
    <tableColumn id="71" xr3:uid="{91E19194-4C02-400D-94FF-36BFCA0C7B5E}" uniqueName="71" name="Receivables" queryTableFieldId="71" dataDxfId="189" dataCellStyle="Comma"/>
    <tableColumn id="72" xr3:uid="{0C8183E2-BC9C-429D-A356-0EDA809C8F6B}" uniqueName="72" name="RestrictedCash" queryTableFieldId="72" dataDxfId="188" dataCellStyle="Comma"/>
    <tableColumn id="73" xr3:uid="{EDCC3E21-7D8B-4630-99F6-4ED5D1E8A402}" uniqueName="73" name="RetainedEarnings" queryTableFieldId="73" dataDxfId="187" dataCellStyle="Comma"/>
    <tableColumn id="74" xr3:uid="{F5F76A68-C4FA-4E58-9A27-AB391F5E913C}" uniqueName="74" name="ShareIssued" queryTableFieldId="74" dataDxfId="186" dataCellStyle="Comma"/>
    <tableColumn id="75" xr3:uid="{53B6A974-CDB7-49EE-873F-31BA8078362A}" uniqueName="75" name="StockholdersEquity" queryTableFieldId="75" dataDxfId="185" dataCellStyle="Comma"/>
    <tableColumn id="76" xr3:uid="{5BCDF760-D06A-4132-8C27-2CC4D47A6434}" uniqueName="76" name="TangibleBookValue" queryTableFieldId="76" dataDxfId="184" dataCellStyle="Comma"/>
    <tableColumn id="77" xr3:uid="{0A9BA68E-3FB0-4105-B3D4-0BD8EBC46393}" uniqueName="77" name="TotalAssets" queryTableFieldId="77" dataDxfId="183" dataCellStyle="Comma"/>
    <tableColumn id="78" xr3:uid="{A78B749B-17B2-452A-B276-8EF171D359D4}" uniqueName="78" name="TotalCapitalization" queryTableFieldId="78" dataDxfId="182" dataCellStyle="Comma"/>
    <tableColumn id="79" xr3:uid="{ECC4B922-8C81-4FD8-B0E8-8E91D3DCCC47}" uniqueName="79" name="TotalDebt" queryTableFieldId="79" dataDxfId="181" dataCellStyle="Comma"/>
    <tableColumn id="80" xr3:uid="{60541088-3C2C-4190-9D56-501CAB8F06FD}" uniqueName="80" name="TotalEquityGrossMinorityInterest" queryTableFieldId="80" dataDxfId="180" dataCellStyle="Comma"/>
    <tableColumn id="81" xr3:uid="{BF7E39A7-A233-47CE-9CCF-CDF96B193D47}" uniqueName="81" name="TotalLiabilitiesNetMinorityInterest" queryTableFieldId="81" dataDxfId="179" dataCellStyle="Comma"/>
    <tableColumn id="82" xr3:uid="{73378F92-61A3-46F3-9E79-9A1850959F49}" uniqueName="82" name="TotalNonCurrentAssets" queryTableFieldId="82" dataDxfId="178" dataCellStyle="Comma"/>
    <tableColumn id="83" xr3:uid="{29289CD8-E464-42FD-AA0C-0AFAB9D118C7}" uniqueName="83" name="TotalNonCurrentLiabilitiesNetMinorityInterest" queryTableFieldId="83" dataDxfId="177" dataCellStyle="Comma"/>
    <tableColumn id="84" xr3:uid="{0B830C16-0BB0-44D1-871E-376D7EF5D343}" uniqueName="84" name="TotalTaxPayable" queryTableFieldId="84" dataDxfId="176" dataCellStyle="Comma"/>
    <tableColumn id="85" xr3:uid="{25D94377-1591-4115-80A5-33B157E23FBC}" uniqueName="85" name="TradeandOtherPayablesNonCurrent" queryTableFieldId="85" dataDxfId="175" dataCellStyle="Comma"/>
    <tableColumn id="86" xr3:uid="{6CD0F523-9432-4E89-B075-C395810DC62A}" uniqueName="86" name="WorkingCapital" queryTableFieldId="86" dataDxfId="174" dataCellStyle="Comma"/>
    <tableColumn id="87" xr3:uid="{A11BF10C-5F3C-4E67-8873-87212265AD94}" uniqueName="87" name="CurrentDeferredLiabilities" queryTableFieldId="87" dataDxfId="173" dataCellStyle="Comma"/>
    <tableColumn id="88" xr3:uid="{CEB2CB74-1A7D-47CC-8222-2B0B88E6E7FC}" uniqueName="88" name="CurrentDeferredRevenue" queryTableFieldId="88" dataDxfId="172" dataCellStyle="Comma"/>
    <tableColumn id="89" xr3:uid="{9D640CE1-0FCA-42D4-B218-60D0F37D4EA6}" uniqueName="89" name="EmployeeBenefits" queryTableFieldId="89" dataDxfId="171" dataCellStyle="Comma"/>
    <tableColumn id="90" xr3:uid="{B17F4F41-E651-46BB-8A1D-F26661B12878}" uniqueName="90" name="FinishedGoods" queryTableFieldId="90" dataDxfId="170" dataCellStyle="Comma"/>
    <tableColumn id="91" xr3:uid="{EAC22387-B9AE-4F5E-BC29-EC53C1839662}" uniqueName="91" name="Inventory" queryTableFieldId="91" dataDxfId="169" dataCellStyle="Comma"/>
    <tableColumn id="132" xr3:uid="{AC6CB10E-3043-4B5E-8A7D-F55CEBEE6E1E}" uniqueName="132" name="AccruedInterestReceivable" queryTableFieldId="451" dataCellStyle="Comma"/>
    <tableColumn id="92" xr3:uid="{0027253D-3B8E-4E31-A094-A27D41039BE9}" uniqueName="92" name="NonCurrentDeferredAssets" queryTableFieldId="92" dataDxfId="168" dataCellStyle="Comma"/>
    <tableColumn id="93" xr3:uid="{91D9E8D5-EF59-47D5-9FAE-39FEA5AFEAEC}" uniqueName="93" name="NonCurrentDeferredTaxesAssets" queryTableFieldId="93" dataDxfId="167" dataCellStyle="Comma"/>
    <tableColumn id="94" xr3:uid="{B60AFEC0-2EE6-4399-9570-DFD4D8F1170C}" uniqueName="94" name="NonCurrentPensionAndOtherPostretirementBenefitPlans" queryTableFieldId="94" dataDxfId="166" dataCellStyle="Comma"/>
    <tableColumn id="95" xr3:uid="{E80C3A48-D785-409C-A5EC-7B498BA5EE04}" uniqueName="95" name="RawMaterials" queryTableFieldId="95" dataDxfId="165" dataCellStyle="Comma"/>
    <tableColumn id="96" xr3:uid="{534AA247-30EC-4376-AF94-11868172DFE6}" uniqueName="96" name="WorkInProcess" queryTableFieldId="96" dataDxfId="164" dataCellStyle="Comma"/>
    <tableColumn id="97" xr3:uid="{46124FF4-21B2-4090-B3B8-AFA85E4912AE}" uniqueName="97" name="CashEquivalents" queryTableFieldId="97" dataDxfId="163" dataCellStyle="Comma"/>
    <tableColumn id="98" xr3:uid="{91853371-D8B5-48C4-BEE2-013A6CEA2A34}" uniqueName="98" name="CashFinancial" queryTableFieldId="98" dataDxfId="162" dataCellStyle="Comma"/>
    <tableColumn id="99" xr3:uid="{A37D914E-7FCD-4C91-8CB0-FFAD1610D187}" uniqueName="99" name="HedgingAssetsCurrent" queryTableFieldId="99" dataDxfId="161" dataCellStyle="Comma"/>
    <tableColumn id="100" xr3:uid="{527A63B0-09B1-4F45-A21C-B875B8F4D8A2}" uniqueName="100" name="NonCurrentDeferredRevenue" queryTableFieldId="100" dataDxfId="160" dataCellStyle="Comma"/>
    <tableColumn id="101" xr3:uid="{04B7A1CC-688B-4942-A455-03FBF48FEECC}" uniqueName="101" name="CommercialPaper" queryTableFieldId="101" dataDxfId="159" dataCellStyle="Comma"/>
    <tableColumn id="102" xr3:uid="{855FADA2-2B84-42C3-AA31-792FF45499D7}" uniqueName="102" name="CurrentNotesPayable" queryTableFieldId="102" dataDxfId="158" dataCellStyle="Comma"/>
    <tableColumn id="103" xr3:uid="{D79CB9D6-F60D-48EA-B2DE-0A93230955D7}" uniqueName="103" name="DividendsPayable" queryTableFieldId="103" dataDxfId="157" dataCellStyle="Comma"/>
    <tableColumn id="104" xr3:uid="{D6D06C67-6C94-4110-8519-5DDF460A2E89}" uniqueName="104" name="ForeignCurrencyTranslationAdjustments" queryTableFieldId="104" dataDxfId="156" dataCellStyle="Comma"/>
    <tableColumn id="136" xr3:uid="{43DEF2E6-9CE8-463E-9306-24381E191954}" uniqueName="136" name="LoansReceivable" queryTableFieldId="429" dataCellStyle="Comma"/>
    <tableColumn id="105" xr3:uid="{2112D982-EB06-412E-86AB-42CCAD0CDCC0}" uniqueName="105" name="InvestmentsinAssociatesatCost" queryTableFieldId="105" dataDxfId="155" dataCellStyle="Comma"/>
    <tableColumn id="106" xr3:uid="{DDE5FEEF-437B-4CAB-A96E-930D580A4081}" uniqueName="106" name="LineOfCredit" queryTableFieldId="106" dataDxfId="154" dataCellStyle="Comma"/>
    <tableColumn id="107" xr3:uid="{ECAABDFA-13DA-481F-BCB6-FCD5471A37E2}" uniqueName="107" name="MinimumPensionLiabilities" queryTableFieldId="107" dataDxfId="153" dataCellStyle="Comma"/>
    <tableColumn id="108" xr3:uid="{4F816C06-1972-4DD1-88F6-045DDD815737}" uniqueName="108" name="PreferredSharesNumber" queryTableFieldId="108" dataDxfId="152" dataCellStyle="Comma"/>
    <tableColumn id="109" xr3:uid="{192C10B5-0ADA-4A76-A798-E94A4F3E9CA6}" uniqueName="109" name="PreferredStock" queryTableFieldId="109" dataDxfId="151" dataCellStyle="Comma"/>
    <tableColumn id="110" xr3:uid="{1DD966AD-3B6B-4C89-BF68-1101B290D526}" uniqueName="110" name="TreasurySharesNumber" queryTableFieldId="110" dataDxfId="150" dataCellStyle="Comma"/>
    <tableColumn id="111" xr3:uid="{6F09F17F-8F9C-46DC-8ADA-40D91075E97A}" uniqueName="111" name="TreasuryStock" queryTableFieldId="111" dataDxfId="149" dataCellStyle="Comma"/>
    <tableColumn id="112" xr3:uid="{704FB385-77BB-435B-8623-02BCC0A20DC7}" uniqueName="112" name="UnrealizedGainLoss" queryTableFieldId="112" dataDxfId="148" dataCellStyle="Comma"/>
    <tableColumn id="113" xr3:uid="{104B34EB-01A2-4C87-AB83-608DFA198B2F}" uniqueName="113" name="DefinedPensionBenefit" queryTableFieldId="113" dataDxfId="147" dataCellStyle="Comma"/>
    <tableColumn id="114" xr3:uid="{4FE355A7-9D47-4DE8-9283-4ECE88502B29}" uniqueName="114" name="NonCurrentAccountsReceivable" queryTableFieldId="114" dataDxfId="146" dataCellStyle="Comma"/>
    <tableColumn id="115" xr3:uid="{41317E99-1BC8-4074-AF35-F9C9DCCC2642}" uniqueName="115" name="OtherInventories" queryTableFieldId="115" dataDxfId="145" dataCellStyle="Comma"/>
    <tableColumn id="116" xr3:uid="{C10044EE-1C97-47FD-A715-62B6AF568874}" uniqueName="116" name="OtherInvestments" queryTableFieldId="116" dataDxfId="144" dataCellStyle="Comma"/>
    <tableColumn id="117" xr3:uid="{ED0364C0-2215-4A4A-8A9B-01535D031D4B}" uniqueName="117" name="TaxesReceivable" queryTableFieldId="117" dataDxfId="143" dataCellStyle="Comma"/>
    <tableColumn id="118" xr3:uid="{0E97011D-5394-4E71-A9E4-A0E0C0A0C064}" uniqueName="118" name="CurrentDeferredAssets" queryTableFieldId="118" dataDxfId="142" dataCellStyle="Comma"/>
    <tableColumn id="119" xr3:uid="{E013E1D7-4C38-42C4-B871-56C635922350}" uniqueName="119" name="DerivativeProductLiabilities" queryTableFieldId="119" dataDxfId="141" dataCellStyle="Comma"/>
    <tableColumn id="120" xr3:uid="{4F8FF7BD-B8BC-41B4-9DAD-339364738E96}" uniqueName="120" name="FinancialAssets" queryTableFieldId="120" dataDxfId="140" dataCellStyle="Comma"/>
    <tableColumn id="121" xr3:uid="{A8F9B25C-3346-4B80-977E-10D222B27636}" uniqueName="121" name="InvestmentsInOtherVenturesUnderEquityMethod" queryTableFieldId="121" dataDxfId="139" dataCellStyle="Comma"/>
    <tableColumn id="122" xr3:uid="{67563250-9DB6-4F58-837E-5EFFE7BA83C8}" uniqueName="122" name="LiabilitiesHeldforSaleNonCurrent" queryTableFieldId="122" dataDxfId="138" dataCellStyle="Comma"/>
    <tableColumn id="144" xr3:uid="{817CA8DB-C8DB-49E0-AF9F-37D64D858B85}" uniqueName="144" name="asOfYear" queryTableFieldId="218" dataDxfId="137" dataCellStyle="Comma"/>
    <tableColumn id="123" xr3:uid="{A840766E-1F2C-4D1F-B016-330F1C69350A}" uniqueName="123" name="NonCurrentAccruedExpenses" queryTableFieldId="123" dataDxfId="136" dataCellStyle="Comma"/>
    <tableColumn id="124" xr3:uid="{F5D75B30-C285-493C-9B76-AD7B82D2C97E}" uniqueName="124" name="NonCurrentPrepaidAssets" queryTableFieldId="124" dataDxfId="135" dataCellStyle="Comma"/>
    <tableColumn id="125" xr3:uid="{FF203212-4EC8-4203-B32A-27B8794C1F3E}" uniqueName="125" name="OtherEquityInterest" queryTableFieldId="125" dataDxfId="134" dataCellStyle="Comma"/>
    <tableColumn id="126" xr3:uid="{401D0338-B441-40B5-A7EA-706EF07DE2AF}" uniqueName="126" name="InventoriesAdjustmentsAllowances" queryTableFieldId="126" dataDxfId="133" dataCellStyle="Comma"/>
    <tableColumn id="127" xr3:uid="{B883B980-6205-466A-98AC-51B5A07AD3C7}" uniqueName="127" name="Ticker" queryTableFieldId="127" dataDxfId="34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2826AA-B0CA-4588-885E-FA6A28C5B227}" name="CashFlow" displayName="CashFlow" ref="A1:CY57" tableType="queryTable" totalsRowShown="0">
  <autoFilter ref="A1:CY57" xr:uid="{FF2826AA-B0CA-4588-885E-FA6A28C5B227}"/>
  <tableColumns count="103">
    <tableColumn id="1" xr3:uid="{8B871FFD-99CF-4D73-8629-A95B95F037FA}" uniqueName="1" name="id" queryTableFieldId="1" dataDxfId="132"/>
    <tableColumn id="2" xr3:uid="{510B7206-BE54-45F7-A54A-7AC5CB9C8E74}" uniqueName="2" name="asOfDate" queryTableFieldId="2" dataDxfId="131"/>
    <tableColumn id="96" xr3:uid="{FF2DE0D8-527F-4D21-97BA-BE5937F5F517}" uniqueName="96" name="Year" queryTableFieldId="96"/>
    <tableColumn id="3" xr3:uid="{EC71A983-7408-46BC-8157-2261A0C4A4EB}" uniqueName="3" name="periodType" queryTableFieldId="3" dataDxfId="130"/>
    <tableColumn id="4" xr3:uid="{2F7CE576-BEC7-4AB2-A87E-0517CA54D039}" uniqueName="4" name="currencyCode" queryTableFieldId="4" dataDxfId="129"/>
    <tableColumn id="5" xr3:uid="{15A2AD42-6697-45DB-B56A-F3BAE90B5F64}" uniqueName="5" name="AssetImpairmentCharge" queryTableFieldId="5" dataDxfId="128" dataCellStyle="Comma"/>
    <tableColumn id="6" xr3:uid="{DA992776-E129-4093-BF96-6F95380FC920}" uniqueName="6" name="BeginningCashPosition" queryTableFieldId="6" dataDxfId="127" dataCellStyle="Comma"/>
    <tableColumn id="7" xr3:uid="{2541234D-9D2C-47D4-A0B8-8E77DCD8AE9A}" uniqueName="7" name="CapitalExpenditure" queryTableFieldId="7" dataDxfId="126" dataCellStyle="Comma"/>
    <tableColumn id="8" xr3:uid="{B62571A0-EEFD-48CD-BB1D-E9D844955F15}" uniqueName="8" name="CashFlowFromContinuingFinancingActivities" queryTableFieldId="8" dataDxfId="125" dataCellStyle="Comma"/>
    <tableColumn id="9" xr3:uid="{A2EF96D4-9626-4FD0-AE84-2357B1EBC26C}" uniqueName="9" name="CashFlowFromContinuingInvestingActivities" queryTableFieldId="9" dataDxfId="124" dataCellStyle="Comma"/>
    <tableColumn id="10" xr3:uid="{764E67C2-3698-4919-A43F-3670EC89FBB7}" uniqueName="10" name="CashFlowFromContinuingOperatingActivities" queryTableFieldId="10" dataDxfId="123" dataCellStyle="Comma"/>
    <tableColumn id="11" xr3:uid="{B40BFC36-932F-4BFF-8B3E-CF8F402AA482}" uniqueName="11" name="ChangeInAccountPayable" queryTableFieldId="11" dataDxfId="122" dataCellStyle="Comma"/>
    <tableColumn id="12" xr3:uid="{B3A0F674-0FC1-4176-B20B-E110AD2FF882}" uniqueName="12" name="ChangeInAccruedExpense" queryTableFieldId="12" dataDxfId="121" dataCellStyle="Comma"/>
    <tableColumn id="13" xr3:uid="{822D6D73-2FC3-46B1-B4A4-5228374F047F}" uniqueName="13" name="ChangeInCashSupplementalAsReported" queryTableFieldId="13" dataDxfId="120" dataCellStyle="Comma"/>
    <tableColumn id="14" xr3:uid="{86B7DC1B-7BFB-4293-B4B2-FEC1DC87D54D}" uniqueName="14" name="ChangeInOtherCurrentAssets" queryTableFieldId="14" dataDxfId="119" dataCellStyle="Comma"/>
    <tableColumn id="15" xr3:uid="{BA4ED4AA-6AD4-40D6-9EF9-D9BDCC2A3930}" uniqueName="15" name="ChangeInOtherCurrentLiabilities" queryTableFieldId="15" dataDxfId="118" dataCellStyle="Comma"/>
    <tableColumn id="16" xr3:uid="{0DEF3D12-9A42-47DC-97E1-DA5923B433CA}" uniqueName="16" name="ChangeInOtherWorkingCapital" queryTableFieldId="16" dataDxfId="117" dataCellStyle="Comma"/>
    <tableColumn id="17" xr3:uid="{ADF19EBF-8CA6-4ECA-8E4C-AD0F6EF52638}" uniqueName="17" name="ChangeInPayable" queryTableFieldId="17" dataDxfId="116" dataCellStyle="Comma"/>
    <tableColumn id="18" xr3:uid="{25728BA7-9C39-4D5D-971D-10F39E41AC2E}" uniqueName="18" name="ChangeInPayablesAndAccruedExpense" queryTableFieldId="18" dataDxfId="115" dataCellStyle="Comma"/>
    <tableColumn id="19" xr3:uid="{8392CC21-048B-46CA-AEC9-EDAF9666CAB5}" uniqueName="19" name="ChangeInPrepaidAssets" queryTableFieldId="19" dataDxfId="114" dataCellStyle="Comma"/>
    <tableColumn id="20" xr3:uid="{285379D0-299E-4226-A2F0-F672E7278E81}" uniqueName="20" name="ChangeInReceivables" queryTableFieldId="20" dataDxfId="113" dataCellStyle="Comma"/>
    <tableColumn id="21" xr3:uid="{EB5B9072-3C45-4E3D-9B69-B2D3FF692FEE}" uniqueName="21" name="ChangeInWorkingCapital" queryTableFieldId="21" dataDxfId="112" dataCellStyle="Comma"/>
    <tableColumn id="22" xr3:uid="{286DCA2D-07F1-4886-AAD4-5451D15A73F2}" uniqueName="22" name="ChangesInAccountReceivables" queryTableFieldId="22" dataDxfId="111" dataCellStyle="Comma"/>
    <tableColumn id="23" xr3:uid="{A8B0890B-72C1-4092-AC65-A0A7F3AB6E95}" uniqueName="23" name="ChangesInCash" queryTableFieldId="23" dataDxfId="110" dataCellStyle="Comma"/>
    <tableColumn id="24" xr3:uid="{5329B720-527C-477F-9E11-4F3789474608}" uniqueName="24" name="CommonStockIssuance" queryTableFieldId="24" dataDxfId="109" dataCellStyle="Comma"/>
    <tableColumn id="25" xr3:uid="{72DF4089-112C-477E-88EF-14914C2415CE}" uniqueName="25" name="CommonStockPayments" queryTableFieldId="25" dataDxfId="108" dataCellStyle="Comma"/>
    <tableColumn id="26" xr3:uid="{3936887A-3978-42D5-ABE7-FD745353409B}" uniqueName="26" name="DeferredIncomeTax" queryTableFieldId="26" dataDxfId="107" dataCellStyle="Comma"/>
    <tableColumn id="27" xr3:uid="{C778C993-3365-46CF-AE5D-F61981C2DF50}" uniqueName="27" name="DeferredTax" queryTableFieldId="27" dataDxfId="106" dataCellStyle="Comma"/>
    <tableColumn id="28" xr3:uid="{F88DD6D2-FA5C-4AA5-B469-38CC59CB9320}" uniqueName="28" name="DepreciationAmortizationDepletion" queryTableFieldId="28" dataDxfId="105" dataCellStyle="Comma"/>
    <tableColumn id="29" xr3:uid="{7EE015E8-5453-4FD8-85EF-010C23879BBD}" uniqueName="29" name="DepreciationAndAmortization" queryTableFieldId="29" dataDxfId="104" dataCellStyle="Comma"/>
    <tableColumn id="30" xr3:uid="{B302CF58-1085-47F1-B218-CD18E32782E4}" uniqueName="30" name="EarningsLossesFromEquityInvestments" queryTableFieldId="30" dataDxfId="103" dataCellStyle="Comma"/>
    <tableColumn id="31" xr3:uid="{E80D12C9-3FAE-4120-8DAC-2876BBB4817D}" uniqueName="31" name="EffectOfExchangeRateChanges" queryTableFieldId="31" dataDxfId="102" dataCellStyle="Comma"/>
    <tableColumn id="32" xr3:uid="{1F6640DB-090B-4918-AC1F-BDFB085BDE1C}" uniqueName="32" name="EndCashPosition" queryTableFieldId="32" dataDxfId="101" dataCellStyle="Comma"/>
    <tableColumn id="33" xr3:uid="{29A017C0-0C3B-4169-A883-B0331111B90E}" uniqueName="33" name="FinancingCashFlow" queryTableFieldId="33" dataDxfId="100" dataCellStyle="Comma"/>
    <tableColumn id="34" xr3:uid="{2B40506B-42F3-4090-AD7C-75284302D99A}" uniqueName="34" name="FreeCashFlow" queryTableFieldId="34" dataDxfId="99" dataCellStyle="Comma"/>
    <tableColumn id="35" xr3:uid="{BE84B275-65C2-4F37-BFCE-4143E9DE741F}" uniqueName="35" name="GainLossOnInvestmentSecurities" queryTableFieldId="35" dataDxfId="98" dataCellStyle="Comma"/>
    <tableColumn id="36" xr3:uid="{F53B1DBF-5109-4EE1-A139-90B631E32320}" uniqueName="36" name="GainLossOnSaleOfBusiness" queryTableFieldId="36" dataDxfId="97" dataCellStyle="Comma"/>
    <tableColumn id="37" xr3:uid="{E52C8D01-77B9-41E3-8B36-C2B7793D68D4}" uniqueName="37" name="IncomeTaxPaidSupplementalData" queryTableFieldId="37" dataDxfId="96" dataCellStyle="Comma"/>
    <tableColumn id="38" xr3:uid="{68F5F80E-4F73-450B-8562-5C96C027A69E}" uniqueName="38" name="InterestPaidSupplementalData" queryTableFieldId="38" dataDxfId="95" dataCellStyle="Comma"/>
    <tableColumn id="39" xr3:uid="{AF2EFA3A-596D-42D8-8D8F-C72DF8757BC8}" uniqueName="39" name="InvestingCashFlow" queryTableFieldId="39" dataDxfId="94" dataCellStyle="Comma"/>
    <tableColumn id="40" xr3:uid="{0C7F2614-1881-4808-A635-FAF4A3A95517}" uniqueName="40" name="IssuanceOfCapitalStock" queryTableFieldId="40" dataDxfId="93" dataCellStyle="Comma"/>
    <tableColumn id="41" xr3:uid="{0ABD42AB-0854-4919-ACE3-E488043D65E0}" uniqueName="41" name="IssuanceOfDebt" queryTableFieldId="41" dataDxfId="92" dataCellStyle="Comma"/>
    <tableColumn id="42" xr3:uid="{93D757CD-AC20-472D-A629-19FEF1459DE6}" uniqueName="42" name="LongTermDebtIssuance" queryTableFieldId="42" dataDxfId="91" dataCellStyle="Comma"/>
    <tableColumn id="43" xr3:uid="{7326C604-698D-40D5-A8E3-6F1F3A29B9C3}" uniqueName="43" name="LongTermDebtPayments" queryTableFieldId="43" dataDxfId="90" dataCellStyle="Comma"/>
    <tableColumn id="44" xr3:uid="{5A36D6EE-6C10-4B92-A4C9-0C1DFD2D8992}" uniqueName="44" name="NetBusinessPurchaseAndSale" queryTableFieldId="44" dataDxfId="89" dataCellStyle="Comma"/>
    <tableColumn id="45" xr3:uid="{F994966D-07C6-443C-9C90-62A48646F5D6}" uniqueName="45" name="NetCommonStockIssuance" queryTableFieldId="45" dataDxfId="88" dataCellStyle="Comma"/>
    <tableColumn id="46" xr3:uid="{196279F0-188E-40A9-BBD0-18203013A4DF}" uniqueName="46" name="NetForeignCurrencyExchangeGainLoss" queryTableFieldId="46" dataDxfId="87" dataCellStyle="Comma"/>
    <tableColumn id="47" xr3:uid="{B8097107-97EB-405D-8D4F-FF377F66295C}" uniqueName="47" name="NetIncome" queryTableFieldId="47" dataDxfId="86" dataCellStyle="Comma"/>
    <tableColumn id="48" xr3:uid="{0EDD0450-121D-48FC-8EA0-FC9DC34A7C7C}" uniqueName="48" name="NetIncomeFromContinuingOperations" queryTableFieldId="48" dataDxfId="85" dataCellStyle="Comma"/>
    <tableColumn id="49" xr3:uid="{6E19CA9F-34F7-4EA6-940B-49E3643C5555}" uniqueName="49" name="NetInvestmentPurchaseAndSale" queryTableFieldId="49" dataDxfId="84" dataCellStyle="Comma"/>
    <tableColumn id="50" xr3:uid="{E60EF7E5-F688-4C7E-8B1F-10FF92A76DDC}" uniqueName="50" name="NetIssuancePaymentsOfDebt" queryTableFieldId="50" dataDxfId="83" dataCellStyle="Comma"/>
    <tableColumn id="51" xr3:uid="{A7DEA2D4-15B8-4766-B7D4-236243BDEEB1}" uniqueName="51" name="NetLongTermDebtIssuance" queryTableFieldId="51" dataDxfId="82" dataCellStyle="Comma"/>
    <tableColumn id="52" xr3:uid="{F5BBA2EB-0A9E-4DE3-93E0-DF4AA6BCF4D0}" uniqueName="52" name="NetOtherFinancingCharges" queryTableFieldId="52" dataDxfId="81" dataCellStyle="Comma"/>
    <tableColumn id="53" xr3:uid="{5AD797A7-2B64-40D7-9422-A71F7659A96D}" uniqueName="53" name="NetOtherInvestingChanges" queryTableFieldId="53" dataDxfId="80" dataCellStyle="Comma"/>
    <tableColumn id="54" xr3:uid="{A9B2F33C-4F85-4478-B809-42054B95A3AD}" uniqueName="54" name="NetPPEPurchaseAndSale" queryTableFieldId="54" dataDxfId="79" dataCellStyle="Comma"/>
    <tableColumn id="55" xr3:uid="{5C2AE14C-EC95-4901-9A79-345EA75C5A61}" uniqueName="55" name="NetPreferredStockIssuance" queryTableFieldId="55" dataDxfId="78" dataCellStyle="Comma"/>
    <tableColumn id="56" xr3:uid="{E10B3276-FEAF-44F8-89E9-F8D66FF55D81}" uniqueName="56" name="OperatingCashFlow" queryTableFieldId="56" dataDxfId="77" dataCellStyle="Comma"/>
    <tableColumn id="57" xr3:uid="{F8E2F713-C99E-4998-9E62-802B4419EBBF}" uniqueName="57" name="OperatingGainsLosses" queryTableFieldId="57" dataDxfId="76" dataCellStyle="Comma"/>
    <tableColumn id="58" xr3:uid="{E5B38297-4D30-49F4-929C-D6C35BF56CBE}" uniqueName="58" name="OtherCashAdjustmentOutsideChangeinCash" queryTableFieldId="58" dataDxfId="75" dataCellStyle="Comma"/>
    <tableColumn id="59" xr3:uid="{2F50C140-64AF-46E0-824A-07FB3AA8EC52}" uniqueName="59" name="OtherNonCashItems" queryTableFieldId="59" dataDxfId="74" dataCellStyle="Comma"/>
    <tableColumn id="60" xr3:uid="{DB42474C-3D9A-4BCE-8FF4-0A079C95DFA5}" uniqueName="60" name="PreferredStockIssuance" queryTableFieldId="60" dataDxfId="73" dataCellStyle="Comma"/>
    <tableColumn id="61" xr3:uid="{795C54AE-29F4-4474-BF2B-8927D02EB9F4}" uniqueName="61" name="ProceedsFromStockOptionExercised" queryTableFieldId="61" dataDxfId="72" dataCellStyle="Comma"/>
    <tableColumn id="62" xr3:uid="{853F2737-EAF4-42E7-934E-1E9262F546DD}" uniqueName="62" name="PurchaseOfBusiness" queryTableFieldId="62" dataDxfId="71" dataCellStyle="Comma"/>
    <tableColumn id="63" xr3:uid="{8DFC3BDA-5912-4799-A5BF-5120834CFEA2}" uniqueName="63" name="PurchaseOfInvestment" queryTableFieldId="63" dataDxfId="70" dataCellStyle="Comma"/>
    <tableColumn id="64" xr3:uid="{7F844C34-849C-48C8-B23A-A565ADC3B55F}" uniqueName="64" name="PurchaseOfPPE" queryTableFieldId="64" dataDxfId="69" dataCellStyle="Comma"/>
    <tableColumn id="65" xr3:uid="{3F2E5621-85AB-49AB-B211-4CD39273277B}" uniqueName="65" name="RepaymentOfDebt" queryTableFieldId="65" dataDxfId="68" dataCellStyle="Comma"/>
    <tableColumn id="66" xr3:uid="{26D27BC5-D37E-41CA-8EE1-62AEB85EF3A5}" uniqueName="66" name="RepurchaseOfCapitalStock" queryTableFieldId="66" dataDxfId="67" dataCellStyle="Comma"/>
    <tableColumn id="67" xr3:uid="{D6D7E2CB-8075-4E18-8019-5630D91D0A12}" uniqueName="67" name="SaleOfBusiness" queryTableFieldId="67" dataDxfId="66" dataCellStyle="Comma"/>
    <tableColumn id="68" xr3:uid="{AE0DAD2F-30ED-41E7-89D7-15D642330AB1}" uniqueName="68" name="SaleOfInvestment" queryTableFieldId="68" dataDxfId="65" dataCellStyle="Comma"/>
    <tableColumn id="69" xr3:uid="{7E927533-62E0-4512-B49C-52EAD65A1ECB}" uniqueName="69" name="SaleOfPPE" queryTableFieldId="69" dataDxfId="64" dataCellStyle="Comma"/>
    <tableColumn id="70" xr3:uid="{98D8D2C9-A6B3-43AB-B705-EF1F117679CF}" uniqueName="70" name="StockBasedCompensation" queryTableFieldId="70" dataDxfId="63" dataCellStyle="Comma"/>
    <tableColumn id="71" xr3:uid="{68F76320-E08A-493A-AC3C-3C832FD1BE0A}" uniqueName="71" name="UnrealizedGainLossOnInvestmentSecurities" queryTableFieldId="71" dataDxfId="62" dataCellStyle="Comma"/>
    <tableColumn id="72" xr3:uid="{55A457A2-C2F4-4CEB-B941-B781DA2AF5CF}" uniqueName="72" name="AmortizationCashFlow" queryTableFieldId="72" dataDxfId="61" dataCellStyle="Comma"/>
    <tableColumn id="73" xr3:uid="{1295F989-A037-4D7C-9A79-A858FD040E5C}" uniqueName="73" name="AmortizationOfIntangibles" queryTableFieldId="73" dataDxfId="60" dataCellStyle="Comma"/>
    <tableColumn id="74" xr3:uid="{221A9CD7-599C-4A49-9B0E-EB32211E50B4}" uniqueName="74" name="CapitalExpenditureReported" queryTableFieldId="74" dataDxfId="59" dataCellStyle="Comma"/>
    <tableColumn id="75" xr3:uid="{17AED7A9-A6DC-4576-A393-5211B8EDC0A7}" uniqueName="75" name="CashDividendsPaid" queryTableFieldId="75" dataDxfId="58" dataCellStyle="Comma"/>
    <tableColumn id="76" xr3:uid="{14516081-C08B-43FB-A1E5-DE0D45497148}" uniqueName="76" name="ChangeInIncomeTaxPayable" queryTableFieldId="76" dataDxfId="57" dataCellStyle="Comma"/>
    <tableColumn id="77" xr3:uid="{E66EA05C-B533-4A6F-8E5D-B2BC97D5F875}" uniqueName="77" name="ChangeInInventory" queryTableFieldId="77" dataDxfId="56" dataCellStyle="Comma"/>
    <tableColumn id="78" xr3:uid="{6DEF7E22-F008-46E9-8DD7-C9CD343859A6}" uniqueName="78" name="ChangeInTaxPayable" queryTableFieldId="78" dataDxfId="55" dataCellStyle="Comma"/>
    <tableColumn id="79" xr3:uid="{3D397321-1E2C-468B-9F77-8D32ED4587E5}" uniqueName="79" name="CommonStockDividendPaid" queryTableFieldId="79" dataDxfId="54" dataCellStyle="Comma"/>
    <tableColumn id="80" xr3:uid="{6F5181A1-62A0-44ED-9902-9D6A18038CD8}" uniqueName="80" name="Depreciation" queryTableFieldId="80" dataDxfId="53" dataCellStyle="Comma"/>
    <tableColumn id="81" xr3:uid="{40716AF3-6E18-4CE9-9F4A-4E0FB72D7D08}" uniqueName="81" name="GainLossOnSaleOfPPE" queryTableFieldId="81" dataDxfId="52" dataCellStyle="Comma"/>
    <tableColumn id="105" xr3:uid="{1E465E4B-F8E1-4C0B-A4A9-B1134A4EE064}" uniqueName="105" name="CashFlowFromDiscontinuedOperation" queryTableFieldId="637" dataCellStyle="Comma"/>
    <tableColumn id="82" xr3:uid="{EFD71E46-72CE-4B8A-B0EE-C93E8D15042F}" uniqueName="82" name="NetShortTermDebtIssuance" queryTableFieldId="82" dataDxfId="51" dataCellStyle="Comma"/>
    <tableColumn id="83" xr3:uid="{D98F8E3C-4FC6-40AF-91FF-273273EBFC9A}" uniqueName="83" name="PensionAndEmployeeBenefitExpense" queryTableFieldId="83" dataDxfId="50" dataCellStyle="Comma"/>
    <tableColumn id="84" xr3:uid="{E7D44DC6-AB85-4178-B735-9D4B89CE72EF}" uniqueName="84" name="ShortTermDebtIssuance" queryTableFieldId="84" dataDxfId="49" dataCellStyle="Comma"/>
    <tableColumn id="107" xr3:uid="{91432B58-09A3-4D31-ADAD-72B16FC7AB47}" uniqueName="107" name="DividendReceivedCFO" queryTableFieldId="332" dataDxfId="48" dataCellStyle="Comma"/>
    <tableColumn id="106" xr3:uid="{02D475E4-9068-4C8B-819B-CE501EAAEC3A}" uniqueName="106" name="InterestPaidCFO" queryTableFieldId="638" dataCellStyle="Comma"/>
    <tableColumn id="108" xr3:uid="{F6E52323-9C36-470E-B9B1-96A71D91AF53}" uniqueName="108" name="InterestReceivedCFO" queryTableFieldId="639" dataCellStyle="Comma"/>
    <tableColumn id="85" xr3:uid="{0E1D80F4-5E6D-419E-9668-3062B1A5A88A}" uniqueName="85" name="ShortTermDebtPayments" queryTableFieldId="85" dataDxfId="47" dataCellStyle="Comma"/>
    <tableColumn id="109" xr3:uid="{6DA71A64-FD48-459F-B2A9-734A276FE091}" uniqueName="109" name="TaxesRefundPaid" queryTableFieldId="640" dataCellStyle="Comma"/>
    <tableColumn id="86" xr3:uid="{758BEDB2-9930-4101-9A68-20655F480011}" uniqueName="86" name="CashFromDiscontinuedFinancingActivities" queryTableFieldId="86" dataDxfId="46" dataCellStyle="Comma"/>
    <tableColumn id="103" xr3:uid="{C6B0641D-107F-437E-BA4A-09BE1BE2A9F7}" uniqueName="103" name="InterestReceivedCFI" queryTableFieldId="597" dataDxfId="45" dataCellStyle="Comma"/>
    <tableColumn id="87" xr3:uid="{F25C84C0-8187-41DB-AF48-C8B722980CC8}" uniqueName="87" name="CashFromDiscontinuedInvestingActivities" queryTableFieldId="87" dataDxfId="44" dataCellStyle="Comma"/>
    <tableColumn id="88" xr3:uid="{958C9FB9-D4FF-4669-993A-52233B200335}" uniqueName="88" name="CashFromDiscontinuedOperatingActivities" queryTableFieldId="88" dataDxfId="43" dataCellStyle="Comma"/>
    <tableColumn id="89" xr3:uid="{FA782042-D090-4518-A7C5-C05DBADF7EC9}" uniqueName="89" name="DividendsReceivedCFI" queryTableFieldId="89" dataDxfId="42" dataCellStyle="Comma"/>
    <tableColumn id="90" xr3:uid="{8CA48E9D-F191-4744-8278-C6626F90A394}" uniqueName="90" name="PreferredStockDividendPaid" queryTableFieldId="90" dataDxfId="41" dataCellStyle="Comma"/>
    <tableColumn id="91" xr3:uid="{F04B3958-EF7D-41D6-AF9B-FA13D369170C}" uniqueName="91" name="PreferredStockPayments" queryTableFieldId="91" dataDxfId="40" dataCellStyle="Comma"/>
    <tableColumn id="110" xr3:uid="{A9F6FB11-7C91-4080-93E3-45DBFB50EF42}" uniqueName="110" name="asOfYear" queryTableFieldId="138" dataDxfId="39" dataCellStyle="Comma"/>
    <tableColumn id="92" xr3:uid="{C6E273FC-B776-4DBB-9AC6-A8CD7FCAE795}" uniqueName="92" name="ProvisionandWriteOffofAssets" queryTableFieldId="92" dataDxfId="38" dataCellStyle="Comma"/>
    <tableColumn id="93" xr3:uid="{23EB33CC-2CFB-4EE6-92E8-9E1C9EB733FB}" uniqueName="93" name="NetIntangiblesPurchaseAndSale" queryTableFieldId="93" dataDxfId="37" dataCellStyle="Comma"/>
    <tableColumn id="94" xr3:uid="{8EF45EC5-E6C4-4E79-A5D5-28EC7BF0FFA3}" uniqueName="94" name="PurchaseOfIntangibles" queryTableFieldId="94" dataDxfId="36" dataCellStyle="Comma"/>
    <tableColumn id="95" xr3:uid="{82E0A9F2-D609-40B5-86C5-E53C524AB8B2}" uniqueName="95" name="Ticker" queryTableFieldId="95" dataDxfId="3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B8DD92-4909-48EC-94EC-7945C9860563}" name="MetaData" displayName="MetaData" ref="A1:AV10" tableType="queryTable" totalsRowShown="0">
  <autoFilter ref="A1:AV10" xr:uid="{5BB8DD92-4909-48EC-94EC-7945C9860563}"/>
  <tableColumns count="48">
    <tableColumn id="1" xr3:uid="{4DB8B83C-05C7-4090-84A5-F35C79D61969}" uniqueName="1" name="id" queryTableFieldId="1" dataDxfId="2"/>
    <tableColumn id="2" xr3:uid="{0B954B7D-8406-4E3E-9030-A24017993F34}" uniqueName="2" name="fullTimeEmployees" queryTableFieldId="2" dataDxfId="0" dataCellStyle="Comma"/>
    <tableColumn id="3" xr3:uid="{35895AED-878A-4506-B98D-05EDF898FA33}" uniqueName="3" name="website" queryTableFieldId="3" dataDxfId="1"/>
    <tableColumn id="4" xr3:uid="{C2CD21A8-4ADE-4B73-9BD1-825506C64399}" uniqueName="4" name="industry" queryTableFieldId="4" dataDxfId="347"/>
    <tableColumn id="5" xr3:uid="{944B54AD-7106-4217-8FA0-18CD8C892732}" uniqueName="5" name="sector" queryTableFieldId="5" dataDxfId="346"/>
    <tableColumn id="6" xr3:uid="{4A9D074F-7F51-44ED-A452-78B45D6C6655}" uniqueName="6" name="longBusinessSummary" queryTableFieldId="6" dataDxfId="345"/>
    <tableColumn id="7" xr3:uid="{436366D3-FB6B-47B7-A923-A3750537914B}" uniqueName="7" name="Date" queryTableFieldId="7" dataDxfId="34"/>
    <tableColumn id="8" xr3:uid="{008D9DBE-D75D-43FE-9E4D-85A282114375}" uniqueName="8" name="debtToEquity" queryTableFieldId="8"/>
    <tableColumn id="9" xr3:uid="{770CBF9A-BF21-4842-B192-1898BF155843}" uniqueName="9" name="totalDebt" queryTableFieldId="9"/>
    <tableColumn id="10" xr3:uid="{2FAA4D8B-2FC3-4276-BF61-F3F49D94C766}" uniqueName="10" name="ebitda" queryTableFieldId="10"/>
    <tableColumn id="11" xr3:uid="{7239576C-45C3-42DE-A83C-04CF80C48989}" uniqueName="11" name="operatingMargins" queryTableFieldId="11" dataDxfId="33" dataCellStyle="Percent"/>
    <tableColumn id="12" xr3:uid="{5399BCD7-CEF1-44BE-8634-8BD246F081F9}" uniqueName="12" name="revenueGrowth" queryTableFieldId="12" dataDxfId="32" dataCellStyle="Percent"/>
    <tableColumn id="13" xr3:uid="{90517785-D25B-4752-BF59-0D6D0926A1F3}" uniqueName="13" name="totalCashPerShare" queryTableFieldId="13"/>
    <tableColumn id="14" xr3:uid="{C82AFB3A-3006-4374-8517-B38FE0B1396C}" uniqueName="14" name="revenuePerShare" queryTableFieldId="14"/>
    <tableColumn id="15" xr3:uid="{4B1BC341-7075-4154-8910-4B2C433A40A3}" uniqueName="15" name="totalCash" queryTableFieldId="15"/>
    <tableColumn id="16" xr3:uid="{A3D866C4-552F-4893-A030-1CC9272449A9}" uniqueName="16" name="returnOnAssets" queryTableFieldId="16" dataDxfId="31" dataCellStyle="Percent"/>
    <tableColumn id="17" xr3:uid="{BB47794C-4BA6-4FFA-A3D3-959E1D762539}" uniqueName="17" name="profitMargins" queryTableFieldId="17" dataDxfId="30" dataCellStyle="Percent"/>
    <tableColumn id="18" xr3:uid="{F1AA8561-E4E3-4201-9F45-A34B6B6D844E}" uniqueName="18" name="grossProfits" queryTableFieldId="18"/>
    <tableColumn id="19" xr3:uid="{16FBA768-FEF2-44A8-86E7-AD7A5AD941AA}" uniqueName="19" name="earningsGrowth" queryTableFieldId="19" dataDxfId="29" dataCellStyle="Percent"/>
    <tableColumn id="20" xr3:uid="{DB504ACA-C1E1-4DCC-A717-02913DA86771}" uniqueName="20" name="freeCashflow" queryTableFieldId="20" dataDxfId="28" dataCellStyle="Comma"/>
    <tableColumn id="21" xr3:uid="{D0872EDA-DD38-4CB3-BC48-4B5435F59213}" uniqueName="21" name="returnOnEquity" queryTableFieldId="21" dataDxfId="27" dataCellStyle="Percent"/>
    <tableColumn id="22" xr3:uid="{72AF2A40-CA7B-498A-9BF9-76B36C0FE03A}" uniqueName="22" name="quickRatio" queryTableFieldId="22"/>
    <tableColumn id="23" xr3:uid="{F12773DC-B069-42C7-8170-274A7610A833}" uniqueName="23" name="currentRatio" queryTableFieldId="23"/>
    <tableColumn id="24" xr3:uid="{31F9C959-4728-4E51-BDD5-4CB63E390820}" uniqueName="24" name="operatingCashflow" queryTableFieldId="24"/>
    <tableColumn id="48" xr3:uid="{4C704E6B-6440-4546-907F-550D76214DCD}" uniqueName="48" name="targetMeanPrice" queryTableFieldId="48"/>
    <tableColumn id="25" xr3:uid="{2B823698-0948-4532-8F1C-03C7698A75E9}" uniqueName="25" name="previousClose" queryTableFieldId="25"/>
    <tableColumn id="26" xr3:uid="{3CB5D0D8-D9D2-4790-94E9-1A1FE870A28D}" uniqueName="26" name="dividendRate" queryTableFieldId="26"/>
    <tableColumn id="27" xr3:uid="{CD3BDABD-E19D-4219-96B4-4DC137DA6D59}" uniqueName="27" name="dividendYield" queryTableFieldId="27" dataDxfId="26" dataCellStyle="Percent"/>
    <tableColumn id="28" xr3:uid="{1E7369E7-B023-43E6-BE09-4F76789D993F}" uniqueName="28" name="exDividendDate" queryTableFieldId="28" dataDxfId="25"/>
    <tableColumn id="29" xr3:uid="{CE8D62D0-E411-4172-91FE-D6F748153A5D}" uniqueName="29" name="fiveYearAvgDividendYield" queryTableFieldId="29"/>
    <tableColumn id="30" xr3:uid="{13FC1B71-8713-4C5C-A24A-4BE4C35CED1C}" uniqueName="30" name="beta" queryTableFieldId="30"/>
    <tableColumn id="31" xr3:uid="{3BA590AB-AD52-4B74-927B-C63C513BF33A}" uniqueName="31" name="trailingPE" queryTableFieldId="31"/>
    <tableColumn id="32" xr3:uid="{B97567FF-A006-43BC-8944-D64A4A001494}" uniqueName="32" name="forwardPE" queryTableFieldId="32"/>
    <tableColumn id="33" xr3:uid="{8CCE4393-5A30-495F-97A3-A81E975A7DDC}" uniqueName="33" name="averageVolume10days" queryTableFieldId="33"/>
    <tableColumn id="34" xr3:uid="{5E775107-7420-4CD3-BF76-35FD9FED278B}" uniqueName="34" name="fiftyTwoWeekLow" queryTableFieldId="34"/>
    <tableColumn id="35" xr3:uid="{576C51BA-93E0-4E49-9EFE-0001916B532F}" uniqueName="35" name="fiftyTwoWeekHigh" queryTableFieldId="35"/>
    <tableColumn id="36" xr3:uid="{DE33DEC6-B7D6-4B03-9169-31FE0A470AEB}" uniqueName="36" name="priceToSalesTrailing12Months" queryTableFieldId="36"/>
    <tableColumn id="37" xr3:uid="{8CEF160B-8F8A-42D0-823C-6ED3E5B2CD7C}" uniqueName="37" name="trailingAnnualDividendRate" queryTableFieldId="37"/>
    <tableColumn id="38" xr3:uid="{D6916E75-8C27-45D1-9E5D-1F213E367BEF}" uniqueName="38" name="trailingAnnualDividendYield" queryTableFieldId="38"/>
    <tableColumn id="39" xr3:uid="{0E512277-80B2-48DF-B975-9F1025DB98FF}" uniqueName="39" name="marketCap" queryTableFieldId="39" dataDxfId="24" dataCellStyle="Comma"/>
    <tableColumn id="40" xr3:uid="{51F4EF60-F0CF-44A6-9E48-1EAF961F9ABC}" uniqueName="40" name="sharesOutstanding" queryTableFieldId="40"/>
    <tableColumn id="41" xr3:uid="{EB3DE234-15B3-4852-A6E6-57C4C41F6031}" uniqueName="41" name="bookValue" queryTableFieldId="41"/>
    <tableColumn id="42" xr3:uid="{D33388E6-AAE2-41E6-AE18-110EAF7EB958}" uniqueName="42" name="priceToBook" queryTableFieldId="42"/>
    <tableColumn id="43" xr3:uid="{8456416F-4D68-45EE-98D1-DBEA5A5A6FFC}" uniqueName="43" name="lastFiscalYearEnd" queryTableFieldId="43" dataDxfId="23"/>
    <tableColumn id="44" xr3:uid="{869C6A57-F8B3-4810-AEFB-7632B4FAA303}" uniqueName="44" name="nextFiscalYearEnd" queryTableFieldId="44" dataDxfId="22"/>
    <tableColumn id="45" xr3:uid="{CE07C36E-5EF3-4198-9E82-30514F1597F4}" uniqueName="45" name="mostRecentQuarter" queryTableFieldId="45" dataDxfId="21"/>
    <tableColumn id="46" xr3:uid="{36DADD0B-BE3B-440B-8652-4B744193EC68}" uniqueName="46" name="pegRatio" queryTableFieldId="46"/>
    <tableColumn id="47" xr3:uid="{8EDC8F4F-0D80-40AD-8A9C-93C04C900039}" uniqueName="47" name="Ticker" queryTableFieldId="47" dataDxfId="34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E63ABA-FEF5-4857-936C-5BE63AF1B607}" name="Tickers" displayName="Tickers" ref="A1:A10" tableType="queryTable" totalsRowShown="0">
  <autoFilter ref="A1:A10" xr:uid="{9EE63ABA-FEF5-4857-936C-5BE63AF1B607}"/>
  <tableColumns count="1">
    <tableColumn id="1" xr3:uid="{251449B9-A1CC-422E-857A-B9872C120818}" uniqueName="1" name="Ticker" queryTableFieldId="1" dataDxfId="343"/>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7B1C6C-3542-4085-8F25-42E51D8999C2}" name="TickerYears" displayName="TickerYears" ref="A1:E37" tableType="queryTable" totalsRowShown="0">
  <autoFilter ref="A1:E37" xr:uid="{F47B1C6C-3542-4085-8F25-42E51D8999C2}"/>
  <tableColumns count="5">
    <tableColumn id="1" xr3:uid="{2E6A0171-814B-4426-B3C6-418A76477222}" uniqueName="1" name="Ticker" queryTableFieldId="1" dataDxfId="342"/>
    <tableColumn id="2" xr3:uid="{F83708D1-E6A7-41FA-BF0C-1969F2DC3C26}" uniqueName="2" name="asOfDate" queryTableFieldId="2" dataDxfId="20"/>
    <tableColumn id="3" xr3:uid="{D3A18E6A-0B63-441F-87E0-CED7E3CE752E}" uniqueName="3" name="asOfDate_Min" queryTableFieldId="3" dataDxfId="19"/>
    <tableColumn id="4" xr3:uid="{CEE1390B-DFB1-4095-B569-4EA00C880A2B}" uniqueName="4" name="asOfDate_Max" queryTableFieldId="4" dataDxfId="18"/>
    <tableColumn id="5" xr3:uid="{B36730AF-0BCE-43ED-B5F4-D090E5018891}" uniqueName="5" name="Year" queryTableFieldId="5"/>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13AB2B1-635D-4765-B1EE-548442F1BE61}" name="AverageInflation" displayName="AverageInflation" ref="A1:A2" tableType="queryTable" totalsRowShown="0">
  <autoFilter ref="A1:A2" xr:uid="{F13AB2B1-635D-4765-B1EE-548442F1BE61}"/>
  <tableColumns count="1">
    <tableColumn id="1" xr3:uid="{23DBE8E0-C6AA-4335-A4A6-31833A876FC8}" uniqueName="1" name="avgInflation" queryTableField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youtube.com/watch?v=M8cuAJYYn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8185-8205-4431-89BB-AA57B4E26146}">
  <sheetPr>
    <tabColor rgb="FFC00000"/>
  </sheetPr>
  <dimension ref="A1:F17"/>
  <sheetViews>
    <sheetView showGridLines="0" zoomScale="115" zoomScaleNormal="115" workbookViewId="0">
      <selection activeCell="B16" sqref="B16"/>
    </sheetView>
  </sheetViews>
  <sheetFormatPr defaultRowHeight="14.5" x14ac:dyDescent="0.35"/>
  <cols>
    <col min="1" max="1" width="9.08984375" customWidth="1"/>
    <col min="2" max="2" width="81.26953125" bestFit="1" customWidth="1"/>
    <col min="3" max="3" width="10.54296875" bestFit="1" customWidth="1"/>
    <col min="4" max="4" width="2.453125" customWidth="1"/>
    <col min="6" max="6" width="89.453125" bestFit="1" customWidth="1"/>
  </cols>
  <sheetData>
    <row r="1" spans="1:6" x14ac:dyDescent="0.35">
      <c r="A1" t="s">
        <v>497</v>
      </c>
      <c r="B1" t="s">
        <v>498</v>
      </c>
      <c r="C1" t="s">
        <v>473</v>
      </c>
      <c r="E1" s="80" t="s">
        <v>505</v>
      </c>
      <c r="F1" t="s">
        <v>504</v>
      </c>
    </row>
    <row r="2" spans="1:6" x14ac:dyDescent="0.35">
      <c r="A2" t="s">
        <v>499</v>
      </c>
      <c r="B2" t="s">
        <v>500</v>
      </c>
      <c r="C2" t="s">
        <v>621</v>
      </c>
      <c r="E2" s="80">
        <v>1</v>
      </c>
      <c r="F2" t="s">
        <v>506</v>
      </c>
    </row>
    <row r="3" spans="1:6" x14ac:dyDescent="0.35">
      <c r="A3" t="s">
        <v>501</v>
      </c>
      <c r="B3" t="s">
        <v>502</v>
      </c>
      <c r="C3" t="s">
        <v>621</v>
      </c>
      <c r="E3" s="80">
        <v>2</v>
      </c>
      <c r="F3" t="s">
        <v>508</v>
      </c>
    </row>
    <row r="4" spans="1:6" x14ac:dyDescent="0.35">
      <c r="A4" t="s">
        <v>558</v>
      </c>
      <c r="B4" t="s">
        <v>559</v>
      </c>
      <c r="C4" t="s">
        <v>621</v>
      </c>
      <c r="E4" s="80">
        <f>E3+1</f>
        <v>3</v>
      </c>
      <c r="F4" t="s">
        <v>603</v>
      </c>
    </row>
    <row r="5" spans="1:6" x14ac:dyDescent="0.35">
      <c r="A5" t="s">
        <v>604</v>
      </c>
      <c r="B5" t="s">
        <v>605</v>
      </c>
      <c r="C5" t="s">
        <v>621</v>
      </c>
    </row>
    <row r="6" spans="1:6" x14ac:dyDescent="0.35">
      <c r="A6" t="s">
        <v>604</v>
      </c>
      <c r="B6" s="120" t="s">
        <v>560</v>
      </c>
      <c r="C6" t="s">
        <v>621</v>
      </c>
    </row>
    <row r="7" spans="1:6" x14ac:dyDescent="0.35">
      <c r="A7" t="s">
        <v>604</v>
      </c>
      <c r="B7" t="s">
        <v>567</v>
      </c>
      <c r="C7" t="s">
        <v>621</v>
      </c>
    </row>
    <row r="8" spans="1:6" ht="29" x14ac:dyDescent="0.35">
      <c r="A8" t="s">
        <v>604</v>
      </c>
      <c r="B8" s="121" t="s">
        <v>594</v>
      </c>
      <c r="C8" t="s">
        <v>621</v>
      </c>
    </row>
    <row r="9" spans="1:6" x14ac:dyDescent="0.35">
      <c r="A9" t="s">
        <v>609</v>
      </c>
      <c r="B9" t="s">
        <v>610</v>
      </c>
      <c r="C9" t="s">
        <v>621</v>
      </c>
    </row>
    <row r="10" spans="1:6" x14ac:dyDescent="0.35">
      <c r="A10" t="s">
        <v>615</v>
      </c>
      <c r="B10" t="s">
        <v>616</v>
      </c>
      <c r="C10" t="s">
        <v>621</v>
      </c>
    </row>
    <row r="11" spans="1:6" x14ac:dyDescent="0.35">
      <c r="A11" t="s">
        <v>617</v>
      </c>
      <c r="B11" t="s">
        <v>622</v>
      </c>
      <c r="C11" t="s">
        <v>621</v>
      </c>
    </row>
    <row r="12" spans="1:6" x14ac:dyDescent="0.35">
      <c r="A12" t="s">
        <v>627</v>
      </c>
      <c r="B12" t="s">
        <v>626</v>
      </c>
      <c r="C12" t="s">
        <v>621</v>
      </c>
    </row>
    <row r="13" spans="1:6" x14ac:dyDescent="0.35">
      <c r="B13" t="s">
        <v>618</v>
      </c>
    </row>
    <row r="14" spans="1:6" x14ac:dyDescent="0.35">
      <c r="B14" t="s">
        <v>620</v>
      </c>
    </row>
    <row r="15" spans="1:6" x14ac:dyDescent="0.35">
      <c r="B15" t="s">
        <v>624</v>
      </c>
    </row>
    <row r="16" spans="1:6" x14ac:dyDescent="0.35">
      <c r="A16" t="s">
        <v>627</v>
      </c>
      <c r="B16" t="s">
        <v>630</v>
      </c>
    </row>
    <row r="17" spans="3:3" x14ac:dyDescent="0.35">
      <c r="C17" s="129"/>
    </row>
  </sheetData>
  <phoneticPr fontId="4" type="noConversion"/>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31B1-D31F-4339-9F63-17171E22E4BB}">
  <sheetPr>
    <tabColor theme="6" tint="0.79998168889431442"/>
  </sheetPr>
  <dimension ref="A1:A2"/>
  <sheetViews>
    <sheetView showGridLines="0" workbookViewId="0">
      <selection activeCell="F7" sqref="F7"/>
    </sheetView>
  </sheetViews>
  <sheetFormatPr defaultRowHeight="14.5" x14ac:dyDescent="0.35"/>
  <cols>
    <col min="1" max="1" width="13" bestFit="1" customWidth="1"/>
  </cols>
  <sheetData>
    <row r="1" spans="1:1" x14ac:dyDescent="0.35">
      <c r="A1" t="s">
        <v>601</v>
      </c>
    </row>
    <row r="2" spans="1:1" x14ac:dyDescent="0.35">
      <c r="A2">
        <v>2.9327393646170048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94A6A-71A7-4B0E-AFBC-751849AAD4D7}">
  <sheetPr>
    <tabColor theme="6" tint="0.79998168889431442"/>
  </sheetPr>
  <dimension ref="A1:B2"/>
  <sheetViews>
    <sheetView showGridLines="0" workbookViewId="0"/>
  </sheetViews>
  <sheetFormatPr defaultRowHeight="14.5" x14ac:dyDescent="0.35"/>
  <cols>
    <col min="1" max="1" width="8.08984375" bestFit="1" customWidth="1"/>
    <col min="2" max="2" width="11.81640625" bestFit="1" customWidth="1"/>
    <col min="3" max="3" width="21.7265625" bestFit="1" customWidth="1"/>
  </cols>
  <sheetData>
    <row r="1" spans="1:2" x14ac:dyDescent="0.35">
      <c r="A1" t="s">
        <v>211</v>
      </c>
      <c r="B1" t="s">
        <v>590</v>
      </c>
    </row>
    <row r="2" spans="1:2" x14ac:dyDescent="0.35">
      <c r="A2" t="s">
        <v>592</v>
      </c>
      <c r="B2" s="116">
        <v>3.0808086940557311E-2</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D2D53-4DE6-4179-93E0-64760EB7F878}">
  <sheetPr>
    <tabColor theme="6" tint="0.79998168889431442"/>
  </sheetPr>
  <dimension ref="A1:C2"/>
  <sheetViews>
    <sheetView showGridLines="0" workbookViewId="0"/>
  </sheetViews>
  <sheetFormatPr defaultRowHeight="14.5" x14ac:dyDescent="0.35"/>
  <cols>
    <col min="1" max="1" width="8.08984375" bestFit="1" customWidth="1"/>
    <col min="2" max="2" width="11.81640625" bestFit="1" customWidth="1"/>
    <col min="3" max="3" width="21.7265625" bestFit="1" customWidth="1"/>
  </cols>
  <sheetData>
    <row r="1" spans="1:3" x14ac:dyDescent="0.35">
      <c r="A1" t="s">
        <v>211</v>
      </c>
      <c r="B1" t="s">
        <v>590</v>
      </c>
      <c r="C1" t="s">
        <v>591</v>
      </c>
    </row>
    <row r="2" spans="1:3" x14ac:dyDescent="0.35">
      <c r="A2" t="s">
        <v>582</v>
      </c>
      <c r="B2" s="116">
        <v>9.9774689760302598E-3</v>
      </c>
      <c r="C2" s="116">
        <v>0.12652342133612526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EC25-09EF-4998-9499-515440487AB8}">
  <sheetPr>
    <tabColor theme="6" tint="0.79998168889431442"/>
  </sheetPr>
  <dimension ref="A1:C10"/>
  <sheetViews>
    <sheetView showGridLines="0" workbookViewId="0">
      <selection activeCell="C3" sqref="C3"/>
    </sheetView>
  </sheetViews>
  <sheetFormatPr defaultRowHeight="14.5" x14ac:dyDescent="0.35"/>
  <cols>
    <col min="1" max="1" width="8.08984375" bestFit="1" customWidth="1"/>
    <col min="2" max="2" width="11.81640625" bestFit="1" customWidth="1"/>
    <col min="3" max="3" width="21.7265625" bestFit="1" customWidth="1"/>
  </cols>
  <sheetData>
    <row r="1" spans="1:3" x14ac:dyDescent="0.35">
      <c r="A1" t="s">
        <v>211</v>
      </c>
      <c r="B1" t="s">
        <v>590</v>
      </c>
      <c r="C1" t="s">
        <v>591</v>
      </c>
    </row>
    <row r="2" spans="1:3" x14ac:dyDescent="0.35">
      <c r="A2" t="s">
        <v>662</v>
      </c>
      <c r="B2" s="116">
        <v>2.3135286358605955E-3</v>
      </c>
      <c r="C2" s="116">
        <v>2.8118341489577592E-2</v>
      </c>
    </row>
    <row r="3" spans="1:3" x14ac:dyDescent="0.35">
      <c r="A3" t="s">
        <v>652</v>
      </c>
      <c r="B3" s="116">
        <v>1.6323389622938077E-3</v>
      </c>
      <c r="C3" s="116">
        <v>1.9764886955006444E-2</v>
      </c>
    </row>
    <row r="4" spans="1:3" x14ac:dyDescent="0.35">
      <c r="A4" t="s">
        <v>660</v>
      </c>
      <c r="B4" s="116">
        <v>-6.6622879780888801E-3</v>
      </c>
      <c r="C4" s="116">
        <v>-7.7082066315871223E-2</v>
      </c>
    </row>
    <row r="5" spans="1:3" x14ac:dyDescent="0.35">
      <c r="A5" t="s">
        <v>654</v>
      </c>
      <c r="B5" s="116">
        <v>9.7189890560514247E-3</v>
      </c>
      <c r="C5" s="116">
        <v>0.12306860171812128</v>
      </c>
    </row>
    <row r="6" spans="1:3" x14ac:dyDescent="0.35">
      <c r="A6" t="s">
        <v>650</v>
      </c>
      <c r="B6" s="116">
        <v>1.6175090460578558E-2</v>
      </c>
      <c r="C6" s="116">
        <v>0.21233470561403678</v>
      </c>
    </row>
    <row r="7" spans="1:3" x14ac:dyDescent="0.35">
      <c r="A7" t="s">
        <v>658</v>
      </c>
      <c r="B7" s="116">
        <v>1.4551112057999093E-2</v>
      </c>
      <c r="C7" s="116">
        <v>0.18928837790194608</v>
      </c>
    </row>
    <row r="8" spans="1:3" x14ac:dyDescent="0.35">
      <c r="A8" t="s">
        <v>656</v>
      </c>
      <c r="B8" s="116">
        <v>-2.9746975708963355E-3</v>
      </c>
      <c r="C8" s="116">
        <v>-3.5118100750745174E-2</v>
      </c>
    </row>
    <row r="9" spans="1:3" x14ac:dyDescent="0.35">
      <c r="A9" t="s">
        <v>646</v>
      </c>
      <c r="B9" s="116">
        <v>6.4854396585507734E-2</v>
      </c>
      <c r="C9" s="116">
        <v>1.1256058676431557</v>
      </c>
    </row>
    <row r="10" spans="1:3" x14ac:dyDescent="0.35">
      <c r="A10" t="s">
        <v>648</v>
      </c>
      <c r="B10" s="116">
        <v>4.8043459659879995E-3</v>
      </c>
      <c r="C10" s="116">
        <v>5.9200208586964953E-2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EA85-0E4C-4B18-B1A1-C9B01FB75FBE}">
  <sheetPr>
    <tabColor theme="6" tint="0.79998168889431442"/>
  </sheetPr>
  <dimension ref="A1:R411"/>
  <sheetViews>
    <sheetView workbookViewId="0">
      <selection activeCell="M426" sqref="M426"/>
    </sheetView>
  </sheetViews>
  <sheetFormatPr defaultRowHeight="14.5" x14ac:dyDescent="0.35"/>
  <cols>
    <col min="1" max="1" width="8.08984375" bestFit="1" customWidth="1"/>
    <col min="2" max="2" width="12" bestFit="1" customWidth="1"/>
    <col min="3" max="6" width="11.81640625" bestFit="1" customWidth="1"/>
    <col min="7" max="7" width="10.81640625" bestFit="1" customWidth="1"/>
    <col min="8" max="8" width="11.81640625" bestFit="1" customWidth="1"/>
    <col min="9" max="9" width="11.08984375" bestFit="1" customWidth="1"/>
    <col min="10" max="10" width="13.453125" bestFit="1" customWidth="1"/>
    <col min="11" max="11" width="11.1796875" bestFit="1" customWidth="1"/>
    <col min="12" max="12" width="7.453125" bestFit="1" customWidth="1"/>
    <col min="13" max="13" width="16.7265625" bestFit="1" customWidth="1"/>
    <col min="14" max="14" width="16" bestFit="1" customWidth="1"/>
    <col min="15" max="15" width="16.453125" bestFit="1" customWidth="1"/>
    <col min="16" max="16" width="15.81640625" bestFit="1" customWidth="1"/>
    <col min="17" max="17" width="14.26953125" bestFit="1" customWidth="1"/>
    <col min="18" max="18" width="16.7265625" bestFit="1" customWidth="1"/>
  </cols>
  <sheetData>
    <row r="1" spans="1:18" x14ac:dyDescent="0.35">
      <c r="A1" t="s">
        <v>211</v>
      </c>
      <c r="B1" t="s">
        <v>569</v>
      </c>
      <c r="C1" t="s">
        <v>570</v>
      </c>
      <c r="D1" t="s">
        <v>571</v>
      </c>
      <c r="E1" t="s">
        <v>572</v>
      </c>
      <c r="F1" t="s">
        <v>573</v>
      </c>
      <c r="G1" t="s">
        <v>574</v>
      </c>
      <c r="H1" t="s">
        <v>575</v>
      </c>
      <c r="I1" t="s">
        <v>595</v>
      </c>
      <c r="J1" t="s">
        <v>139</v>
      </c>
      <c r="K1" t="s">
        <v>576</v>
      </c>
      <c r="L1" t="s">
        <v>596</v>
      </c>
      <c r="M1" t="s">
        <v>597</v>
      </c>
      <c r="N1" t="s">
        <v>577</v>
      </c>
      <c r="O1" t="s">
        <v>578</v>
      </c>
      <c r="P1" t="s">
        <v>579</v>
      </c>
      <c r="Q1" t="s">
        <v>580</v>
      </c>
      <c r="R1" t="s">
        <v>581</v>
      </c>
    </row>
    <row r="2" spans="1:18" x14ac:dyDescent="0.35">
      <c r="A2" t="s">
        <v>646</v>
      </c>
      <c r="B2" s="22">
        <v>45231</v>
      </c>
      <c r="C2">
        <v>68.160003662109375</v>
      </c>
      <c r="D2">
        <v>77.620002746582031</v>
      </c>
      <c r="E2">
        <v>66.69000244140625</v>
      </c>
      <c r="F2">
        <v>77.25</v>
      </c>
      <c r="G2">
        <v>52446100</v>
      </c>
      <c r="H2">
        <v>77.017578125</v>
      </c>
      <c r="I2">
        <v>0</v>
      </c>
      <c r="J2" t="s">
        <v>645</v>
      </c>
      <c r="K2" s="22">
        <v>45530</v>
      </c>
      <c r="O2">
        <v>9.089996337890625</v>
      </c>
      <c r="P2">
        <v>9.4599990844726563</v>
      </c>
      <c r="Q2" t="s">
        <v>583</v>
      </c>
      <c r="R2">
        <v>2023</v>
      </c>
    </row>
    <row r="3" spans="1:18" x14ac:dyDescent="0.35">
      <c r="A3" t="s">
        <v>646</v>
      </c>
      <c r="B3" s="22">
        <v>45261</v>
      </c>
      <c r="C3">
        <v>77.169998168945313</v>
      </c>
      <c r="D3">
        <v>83.885002136230469</v>
      </c>
      <c r="E3">
        <v>74.269996643066406</v>
      </c>
      <c r="F3">
        <v>82.260002136230469</v>
      </c>
      <c r="G3">
        <v>38682700</v>
      </c>
      <c r="H3">
        <v>82.012504577636719</v>
      </c>
      <c r="I3">
        <v>0.09</v>
      </c>
      <c r="J3" t="s">
        <v>645</v>
      </c>
      <c r="K3" s="22">
        <v>45530</v>
      </c>
      <c r="M3">
        <v>4.9949264526367188</v>
      </c>
      <c r="N3">
        <v>6.4854396585507734E-2</v>
      </c>
      <c r="O3">
        <v>5.0900039672851563</v>
      </c>
      <c r="P3">
        <v>6.7150039672851563</v>
      </c>
      <c r="Q3" t="s">
        <v>586</v>
      </c>
      <c r="R3">
        <v>2023</v>
      </c>
    </row>
    <row r="4" spans="1:18" hidden="1" x14ac:dyDescent="0.35">
      <c r="A4" t="s">
        <v>648</v>
      </c>
      <c r="B4" s="22">
        <v>44197</v>
      </c>
      <c r="C4">
        <v>48.099998474121087</v>
      </c>
      <c r="D4">
        <v>49.976665496826172</v>
      </c>
      <c r="E4">
        <v>46.783332824707031</v>
      </c>
      <c r="F4">
        <v>46.830001831054688</v>
      </c>
      <c r="G4">
        <v>450488700</v>
      </c>
      <c r="H4">
        <v>44.270122528076172</v>
      </c>
      <c r="I4">
        <v>0</v>
      </c>
      <c r="J4" t="s">
        <v>647</v>
      </c>
      <c r="K4" s="22">
        <v>45530</v>
      </c>
      <c r="O4">
        <v>-1.269996643066406</v>
      </c>
      <c r="P4">
        <v>1.8766670227050779</v>
      </c>
      <c r="Q4" t="s">
        <v>586</v>
      </c>
      <c r="R4">
        <v>2021</v>
      </c>
    </row>
    <row r="5" spans="1:18" hidden="1" x14ac:dyDescent="0.35">
      <c r="A5" t="s">
        <v>648</v>
      </c>
      <c r="B5" s="22">
        <v>44228</v>
      </c>
      <c r="C5">
        <v>46.970001220703118</v>
      </c>
      <c r="D5">
        <v>49.166667938232422</v>
      </c>
      <c r="E5">
        <v>43.286666870117188</v>
      </c>
      <c r="F5">
        <v>43.306667327880859</v>
      </c>
      <c r="G5">
        <v>554999400</v>
      </c>
      <c r="H5">
        <v>40.939395904541023</v>
      </c>
      <c r="I5">
        <v>0</v>
      </c>
      <c r="J5" t="s">
        <v>647</v>
      </c>
      <c r="K5" s="22">
        <v>45530</v>
      </c>
      <c r="M5">
        <v>-3.3307266235351558</v>
      </c>
      <c r="N5">
        <v>-7.5236693688048861E-2</v>
      </c>
      <c r="O5">
        <v>-3.6633338928222661</v>
      </c>
      <c r="P5">
        <v>2.1966667175292969</v>
      </c>
      <c r="Q5" t="s">
        <v>587</v>
      </c>
      <c r="R5">
        <v>2021</v>
      </c>
    </row>
    <row r="6" spans="1:18" hidden="1" x14ac:dyDescent="0.35">
      <c r="A6" t="s">
        <v>648</v>
      </c>
      <c r="B6" s="22">
        <v>44256</v>
      </c>
      <c r="C6">
        <v>43.860000610351563</v>
      </c>
      <c r="D6">
        <v>45.863334655761719</v>
      </c>
      <c r="E6">
        <v>42.093334197998047</v>
      </c>
      <c r="F6">
        <v>45.276668548583977</v>
      </c>
      <c r="G6">
        <v>739644300</v>
      </c>
      <c r="H6">
        <v>42.801712036132813</v>
      </c>
      <c r="I6">
        <v>0.183333</v>
      </c>
      <c r="J6" t="s">
        <v>647</v>
      </c>
      <c r="K6" s="22">
        <v>45530</v>
      </c>
      <c r="M6">
        <v>1.8623161315917971</v>
      </c>
      <c r="N6">
        <v>4.5489559512579707E-2</v>
      </c>
      <c r="O6">
        <v>1.4166679382324221</v>
      </c>
      <c r="P6">
        <v>2.0033340454101558</v>
      </c>
      <c r="Q6" t="s">
        <v>587</v>
      </c>
      <c r="R6">
        <v>2021</v>
      </c>
    </row>
    <row r="7" spans="1:18" hidden="1" x14ac:dyDescent="0.35">
      <c r="A7" t="s">
        <v>648</v>
      </c>
      <c r="B7" s="22">
        <v>44287</v>
      </c>
      <c r="C7">
        <v>45.313331604003913</v>
      </c>
      <c r="D7">
        <v>47.256668090820313</v>
      </c>
      <c r="E7">
        <v>45.110000610351563</v>
      </c>
      <c r="F7">
        <v>46.636665344238281</v>
      </c>
      <c r="G7">
        <v>459365700</v>
      </c>
      <c r="H7">
        <v>44.271434783935547</v>
      </c>
      <c r="I7">
        <v>0</v>
      </c>
      <c r="J7" t="s">
        <v>647</v>
      </c>
      <c r="K7" s="22">
        <v>45530</v>
      </c>
      <c r="M7">
        <v>1.4697227478027339</v>
      </c>
      <c r="N7">
        <v>3.0037474912602221E-2</v>
      </c>
      <c r="O7">
        <v>1.323333740234375</v>
      </c>
      <c r="P7">
        <v>1.943336486816406</v>
      </c>
      <c r="Q7" t="s">
        <v>589</v>
      </c>
      <c r="R7">
        <v>2021</v>
      </c>
    </row>
    <row r="8" spans="1:18" hidden="1" x14ac:dyDescent="0.35">
      <c r="A8" t="s">
        <v>648</v>
      </c>
      <c r="B8" s="22">
        <v>44317</v>
      </c>
      <c r="C8">
        <v>46.560001373291023</v>
      </c>
      <c r="D8">
        <v>48.193332672119141</v>
      </c>
      <c r="E8">
        <v>45.253334045410163</v>
      </c>
      <c r="F8">
        <v>47.343334197998047</v>
      </c>
      <c r="G8">
        <v>524333400</v>
      </c>
      <c r="H8">
        <v>44.942268371582031</v>
      </c>
      <c r="I8">
        <v>0.183333</v>
      </c>
      <c r="J8" t="s">
        <v>647</v>
      </c>
      <c r="K8" s="22">
        <v>45530</v>
      </c>
      <c r="M8">
        <v>0.67083358764648438</v>
      </c>
      <c r="N8">
        <v>1.515264542487427E-2</v>
      </c>
      <c r="O8">
        <v>0.78333282470703125</v>
      </c>
      <c r="P8">
        <v>1.633331298828125</v>
      </c>
      <c r="Q8" t="s">
        <v>584</v>
      </c>
      <c r="R8">
        <v>2021</v>
      </c>
    </row>
    <row r="9" spans="1:18" hidden="1" x14ac:dyDescent="0.35">
      <c r="A9" t="s">
        <v>648</v>
      </c>
      <c r="B9" s="22">
        <v>44348</v>
      </c>
      <c r="C9">
        <v>47.403331756591797</v>
      </c>
      <c r="D9">
        <v>47.599998474121087</v>
      </c>
      <c r="E9">
        <v>44.799999237060547</v>
      </c>
      <c r="F9">
        <v>47.006668090820313</v>
      </c>
      <c r="G9">
        <v>507321000</v>
      </c>
      <c r="H9">
        <v>44.797916412353523</v>
      </c>
      <c r="I9">
        <v>0</v>
      </c>
      <c r="J9" t="s">
        <v>647</v>
      </c>
      <c r="K9" s="22">
        <v>45530</v>
      </c>
      <c r="M9">
        <v>-0.1443519592285156</v>
      </c>
      <c r="N9">
        <v>-7.1111617481298683E-3</v>
      </c>
      <c r="O9">
        <v>-0.39666366577148438</v>
      </c>
      <c r="P9">
        <v>0.1966667175292969</v>
      </c>
      <c r="Q9" t="s">
        <v>588</v>
      </c>
      <c r="R9">
        <v>2021</v>
      </c>
    </row>
    <row r="10" spans="1:18" hidden="1" x14ac:dyDescent="0.35">
      <c r="A10" t="s">
        <v>648</v>
      </c>
      <c r="B10" s="22">
        <v>44378</v>
      </c>
      <c r="C10">
        <v>46.803333282470703</v>
      </c>
      <c r="D10">
        <v>47.953334808349609</v>
      </c>
      <c r="E10">
        <v>46.073333740234382</v>
      </c>
      <c r="F10">
        <v>47.516666412353523</v>
      </c>
      <c r="G10">
        <v>395649300</v>
      </c>
      <c r="H10">
        <v>45.283950805664063</v>
      </c>
      <c r="I10">
        <v>0</v>
      </c>
      <c r="J10" t="s">
        <v>647</v>
      </c>
      <c r="K10" s="22">
        <v>45530</v>
      </c>
      <c r="M10">
        <v>0.48603439331054688</v>
      </c>
      <c r="N10">
        <v>1.084948885438664E-2</v>
      </c>
      <c r="O10">
        <v>0.7133331298828125</v>
      </c>
      <c r="P10">
        <v>1.150001525878906</v>
      </c>
      <c r="Q10" t="s">
        <v>589</v>
      </c>
      <c r="R10">
        <v>2021</v>
      </c>
    </row>
    <row r="11" spans="1:18" hidden="1" x14ac:dyDescent="0.35">
      <c r="A11" t="s">
        <v>648</v>
      </c>
      <c r="B11" s="22">
        <v>44409</v>
      </c>
      <c r="C11">
        <v>47.610000610351563</v>
      </c>
      <c r="D11">
        <v>50.856666564941413</v>
      </c>
      <c r="E11">
        <v>47.223331451416023</v>
      </c>
      <c r="F11">
        <v>49.366668701171882</v>
      </c>
      <c r="G11">
        <v>544199400</v>
      </c>
      <c r="H11">
        <v>47.047027587890618</v>
      </c>
      <c r="I11">
        <v>0.183333</v>
      </c>
      <c r="J11" t="s">
        <v>647</v>
      </c>
      <c r="K11" s="22">
        <v>45530</v>
      </c>
      <c r="M11">
        <v>1.7630767822265621</v>
      </c>
      <c r="N11">
        <v>3.8933755848187923E-2</v>
      </c>
      <c r="O11">
        <v>1.7566680908203121</v>
      </c>
      <c r="P11">
        <v>3.2466659545898442</v>
      </c>
      <c r="Q11" t="s">
        <v>585</v>
      </c>
      <c r="R11">
        <v>2021</v>
      </c>
    </row>
    <row r="12" spans="1:18" hidden="1" x14ac:dyDescent="0.35">
      <c r="A12" t="s">
        <v>648</v>
      </c>
      <c r="B12" s="22">
        <v>44440</v>
      </c>
      <c r="C12">
        <v>49.186668395996087</v>
      </c>
      <c r="D12">
        <v>49.883331298828118</v>
      </c>
      <c r="E12">
        <v>46.416667938232422</v>
      </c>
      <c r="F12">
        <v>46.459999084472663</v>
      </c>
      <c r="G12">
        <v>453765600</v>
      </c>
      <c r="H12">
        <v>44.439868927001953</v>
      </c>
      <c r="I12">
        <v>0</v>
      </c>
      <c r="J12" t="s">
        <v>647</v>
      </c>
      <c r="K12" s="22">
        <v>45530</v>
      </c>
      <c r="M12">
        <v>-2.6071586608886719</v>
      </c>
      <c r="N12">
        <v>-5.8879193050152427E-2</v>
      </c>
      <c r="O12">
        <v>-2.7266693115234379</v>
      </c>
      <c r="P12">
        <v>0.69666290283203125</v>
      </c>
      <c r="Q12" t="s">
        <v>583</v>
      </c>
      <c r="R12">
        <v>2021</v>
      </c>
    </row>
    <row r="13" spans="1:18" hidden="1" x14ac:dyDescent="0.35">
      <c r="A13" t="s">
        <v>648</v>
      </c>
      <c r="B13" s="22">
        <v>44470</v>
      </c>
      <c r="C13">
        <v>46.419998168945313</v>
      </c>
      <c r="D13">
        <v>50.183334350585938</v>
      </c>
      <c r="E13">
        <v>44.903331756591797</v>
      </c>
      <c r="F13">
        <v>49.806667327880859</v>
      </c>
      <c r="G13">
        <v>413998800</v>
      </c>
      <c r="H13">
        <v>47.641017913818359</v>
      </c>
      <c r="I13">
        <v>0</v>
      </c>
      <c r="J13" t="s">
        <v>647</v>
      </c>
      <c r="K13" s="22">
        <v>45530</v>
      </c>
      <c r="M13">
        <v>3.2011489868164058</v>
      </c>
      <c r="N13">
        <v>7.2033325642631985E-2</v>
      </c>
      <c r="O13">
        <v>3.3866691589355469</v>
      </c>
      <c r="P13">
        <v>3.763336181640625</v>
      </c>
      <c r="Q13" t="s">
        <v>586</v>
      </c>
      <c r="R13">
        <v>2021</v>
      </c>
    </row>
    <row r="14" spans="1:18" hidden="1" x14ac:dyDescent="0.35">
      <c r="A14" t="s">
        <v>648</v>
      </c>
      <c r="B14" s="22">
        <v>44501</v>
      </c>
      <c r="C14">
        <v>49.993331909179688</v>
      </c>
      <c r="D14">
        <v>50.666667938232422</v>
      </c>
      <c r="E14">
        <v>46.669998168945313</v>
      </c>
      <c r="F14">
        <v>46.876667022705078</v>
      </c>
      <c r="G14">
        <v>534258600</v>
      </c>
      <c r="H14">
        <v>44.838413238525391</v>
      </c>
      <c r="I14">
        <v>0</v>
      </c>
      <c r="J14" t="s">
        <v>647</v>
      </c>
      <c r="K14" s="22">
        <v>45530</v>
      </c>
      <c r="M14">
        <v>-2.8026046752929692</v>
      </c>
      <c r="N14">
        <v>-5.8827471548886789E-2</v>
      </c>
      <c r="O14">
        <v>-3.1166648864746089</v>
      </c>
      <c r="P14">
        <v>0.67333602905273438</v>
      </c>
      <c r="Q14" t="s">
        <v>587</v>
      </c>
      <c r="R14">
        <v>2021</v>
      </c>
    </row>
    <row r="15" spans="1:18" hidden="1" x14ac:dyDescent="0.35">
      <c r="A15" t="s">
        <v>648</v>
      </c>
      <c r="B15" s="22">
        <v>44531</v>
      </c>
      <c r="C15">
        <v>46.836666107177727</v>
      </c>
      <c r="D15">
        <v>48.843334197998047</v>
      </c>
      <c r="E15">
        <v>45.080001831054688</v>
      </c>
      <c r="F15">
        <v>48.229999542236328</v>
      </c>
      <c r="G15">
        <v>716247600</v>
      </c>
      <c r="H15">
        <v>46.132904052734382</v>
      </c>
      <c r="I15">
        <v>0.183333</v>
      </c>
      <c r="J15" t="s">
        <v>647</v>
      </c>
      <c r="K15" s="22">
        <v>45530</v>
      </c>
      <c r="M15">
        <v>1.2944908142089839</v>
      </c>
      <c r="N15">
        <v>2.887006703944528E-2</v>
      </c>
      <c r="O15">
        <v>1.393333435058594</v>
      </c>
      <c r="P15">
        <v>2.0066680908203121</v>
      </c>
      <c r="Q15" t="s">
        <v>583</v>
      </c>
      <c r="R15">
        <v>2021</v>
      </c>
    </row>
    <row r="16" spans="1:18" hidden="1" x14ac:dyDescent="0.35">
      <c r="A16" t="s">
        <v>648</v>
      </c>
      <c r="B16" s="22">
        <v>44562</v>
      </c>
      <c r="C16">
        <v>48</v>
      </c>
      <c r="D16">
        <v>48.876667022705078</v>
      </c>
      <c r="E16">
        <v>44.650001525878913</v>
      </c>
      <c r="F16">
        <v>46.60333251953125</v>
      </c>
      <c r="G16">
        <v>497216100</v>
      </c>
      <c r="H16">
        <v>44.756450653076172</v>
      </c>
      <c r="I16">
        <v>0</v>
      </c>
      <c r="J16" t="s">
        <v>647</v>
      </c>
      <c r="K16" s="22">
        <v>45530</v>
      </c>
      <c r="M16">
        <v>-1.3764533996582029</v>
      </c>
      <c r="N16">
        <v>-3.3727286712506799E-2</v>
      </c>
      <c r="O16">
        <v>-1.39666748046875</v>
      </c>
      <c r="P16">
        <v>0.87666702270507813</v>
      </c>
      <c r="Q16" t="s">
        <v>584</v>
      </c>
      <c r="R16">
        <v>2022</v>
      </c>
    </row>
    <row r="17" spans="1:18" hidden="1" x14ac:dyDescent="0.35">
      <c r="A17" t="s">
        <v>648</v>
      </c>
      <c r="B17" s="22">
        <v>44593</v>
      </c>
      <c r="C17">
        <v>46.403331756591797</v>
      </c>
      <c r="D17">
        <v>47.330001831054688</v>
      </c>
      <c r="E17">
        <v>44.003334045410163</v>
      </c>
      <c r="F17">
        <v>45.053333282470703</v>
      </c>
      <c r="G17">
        <v>487764300</v>
      </c>
      <c r="H17">
        <v>43.267879486083977</v>
      </c>
      <c r="I17">
        <v>0</v>
      </c>
      <c r="J17" t="s">
        <v>647</v>
      </c>
      <c r="K17" s="22">
        <v>45530</v>
      </c>
      <c r="M17">
        <v>-1.4885711669921879</v>
      </c>
      <c r="N17">
        <v>-3.3259407713191913E-2</v>
      </c>
      <c r="O17">
        <v>-1.349998474121094</v>
      </c>
      <c r="P17">
        <v>0.92667007446289063</v>
      </c>
      <c r="Q17" t="s">
        <v>588</v>
      </c>
      <c r="R17">
        <v>2022</v>
      </c>
    </row>
    <row r="18" spans="1:18" hidden="1" x14ac:dyDescent="0.35">
      <c r="A18" t="s">
        <v>648</v>
      </c>
      <c r="B18" s="22">
        <v>44621</v>
      </c>
      <c r="C18">
        <v>45.290000915527337</v>
      </c>
      <c r="D18">
        <v>50.180000305175781</v>
      </c>
      <c r="E18">
        <v>45.006668090820313</v>
      </c>
      <c r="F18">
        <v>49.639999389648438</v>
      </c>
      <c r="G18">
        <v>557647500</v>
      </c>
      <c r="H18">
        <v>47.672775268554688</v>
      </c>
      <c r="I18">
        <v>0.186667</v>
      </c>
      <c r="J18" t="s">
        <v>647</v>
      </c>
      <c r="K18" s="22">
        <v>45530</v>
      </c>
      <c r="M18">
        <v>4.4048957824707031</v>
      </c>
      <c r="N18">
        <v>0.1018052555272821</v>
      </c>
      <c r="O18">
        <v>4.3499984741210938</v>
      </c>
      <c r="P18">
        <v>4.8899993896484384</v>
      </c>
      <c r="Q18" t="s">
        <v>588</v>
      </c>
      <c r="R18">
        <v>2022</v>
      </c>
    </row>
    <row r="19" spans="1:18" hidden="1" x14ac:dyDescent="0.35">
      <c r="A19" t="s">
        <v>648</v>
      </c>
      <c r="B19" s="22">
        <v>44652</v>
      </c>
      <c r="C19">
        <v>49.886665344238281</v>
      </c>
      <c r="D19">
        <v>53.590000152587891</v>
      </c>
      <c r="E19">
        <v>49.613334655761719</v>
      </c>
      <c r="F19">
        <v>50.996665954589837</v>
      </c>
      <c r="G19">
        <v>427213500</v>
      </c>
      <c r="H19">
        <v>49.165096282958977</v>
      </c>
      <c r="I19">
        <v>0</v>
      </c>
      <c r="J19" t="s">
        <v>647</v>
      </c>
      <c r="K19" s="22">
        <v>45530</v>
      </c>
      <c r="M19">
        <v>1.4923210144042971</v>
      </c>
      <c r="N19">
        <v>2.73301084130213E-2</v>
      </c>
      <c r="O19">
        <v>1.1100006103515621</v>
      </c>
      <c r="P19">
        <v>3.7033348083496089</v>
      </c>
      <c r="Q19" t="s">
        <v>586</v>
      </c>
      <c r="R19">
        <v>2022</v>
      </c>
    </row>
    <row r="20" spans="1:18" hidden="1" x14ac:dyDescent="0.35">
      <c r="A20" t="s">
        <v>648</v>
      </c>
      <c r="B20" s="22">
        <v>44682</v>
      </c>
      <c r="C20">
        <v>51.653331756591797</v>
      </c>
      <c r="D20">
        <v>51.663333892822273</v>
      </c>
      <c r="E20">
        <v>39.090000152587891</v>
      </c>
      <c r="F20">
        <v>42.876667022705078</v>
      </c>
      <c r="G20">
        <v>816439800</v>
      </c>
      <c r="H20">
        <v>41.336734771728523</v>
      </c>
      <c r="I20">
        <v>0.186667</v>
      </c>
      <c r="J20" t="s">
        <v>647</v>
      </c>
      <c r="K20" s="22">
        <v>45530</v>
      </c>
      <c r="M20">
        <v>-7.8283615112304688</v>
      </c>
      <c r="N20">
        <v>-0.1592260744872076</v>
      </c>
      <c r="O20">
        <v>-8.7766647338867188</v>
      </c>
      <c r="P20">
        <v>1.000213623046875E-2</v>
      </c>
      <c r="Q20" t="s">
        <v>585</v>
      </c>
      <c r="R20">
        <v>2022</v>
      </c>
    </row>
    <row r="21" spans="1:18" hidden="1" x14ac:dyDescent="0.35">
      <c r="A21" t="s">
        <v>648</v>
      </c>
      <c r="B21" s="22">
        <v>44713</v>
      </c>
      <c r="C21">
        <v>42.833332061767578</v>
      </c>
      <c r="D21">
        <v>42.973331451416023</v>
      </c>
      <c r="E21">
        <v>39.299999237060547</v>
      </c>
      <c r="F21">
        <v>40.526668548583977</v>
      </c>
      <c r="G21">
        <v>512761800</v>
      </c>
      <c r="H21">
        <v>39.213161468505859</v>
      </c>
      <c r="I21">
        <v>0</v>
      </c>
      <c r="J21" t="s">
        <v>647</v>
      </c>
      <c r="K21" s="22">
        <v>45530</v>
      </c>
      <c r="M21">
        <v>-2.1235733032226558</v>
      </c>
      <c r="N21">
        <v>-5.4808329035385787E-2</v>
      </c>
      <c r="O21">
        <v>-2.3066635131835942</v>
      </c>
      <c r="P21">
        <v>0.1399993896484375</v>
      </c>
      <c r="Q21" t="s">
        <v>583</v>
      </c>
      <c r="R21">
        <v>2022</v>
      </c>
    </row>
    <row r="22" spans="1:18" hidden="1" x14ac:dyDescent="0.35">
      <c r="A22" t="s">
        <v>648</v>
      </c>
      <c r="B22" s="22">
        <v>44743</v>
      </c>
      <c r="C22">
        <v>40.64666748046875</v>
      </c>
      <c r="D22">
        <v>44.463333129882813</v>
      </c>
      <c r="E22">
        <v>40.020000457763672</v>
      </c>
      <c r="F22">
        <v>44.016666412353523</v>
      </c>
      <c r="G22">
        <v>472936800</v>
      </c>
      <c r="H22">
        <v>42.590045928955078</v>
      </c>
      <c r="I22">
        <v>0</v>
      </c>
      <c r="J22" t="s">
        <v>647</v>
      </c>
      <c r="K22" s="22">
        <v>45530</v>
      </c>
      <c r="M22">
        <v>3.3768844604492192</v>
      </c>
      <c r="N22">
        <v>8.6116080811963869E-2</v>
      </c>
      <c r="O22">
        <v>3.3699989318847661</v>
      </c>
      <c r="P22">
        <v>3.8166656494140621</v>
      </c>
      <c r="Q22" t="s">
        <v>586</v>
      </c>
      <c r="R22">
        <v>2022</v>
      </c>
    </row>
    <row r="23" spans="1:18" hidden="1" x14ac:dyDescent="0.35">
      <c r="A23" t="s">
        <v>648</v>
      </c>
      <c r="B23" s="22">
        <v>44774</v>
      </c>
      <c r="C23">
        <v>43.686668395996087</v>
      </c>
      <c r="D23">
        <v>47.573333740234382</v>
      </c>
      <c r="E23">
        <v>41.706668853759773</v>
      </c>
      <c r="F23">
        <v>44.183334350585938</v>
      </c>
      <c r="G23">
        <v>623681700</v>
      </c>
      <c r="H23">
        <v>42.751308441162109</v>
      </c>
      <c r="I23">
        <v>0.186667</v>
      </c>
      <c r="J23" t="s">
        <v>647</v>
      </c>
      <c r="K23" s="22">
        <v>45530</v>
      </c>
      <c r="M23">
        <v>0.16126251220703119</v>
      </c>
      <c r="N23">
        <v>3.786473438743831E-3</v>
      </c>
      <c r="O23">
        <v>0.49666595458984381</v>
      </c>
      <c r="P23">
        <v>3.8866653442382808</v>
      </c>
      <c r="Q23" t="s">
        <v>587</v>
      </c>
      <c r="R23">
        <v>2022</v>
      </c>
    </row>
    <row r="24" spans="1:18" hidden="1" x14ac:dyDescent="0.35">
      <c r="A24" t="s">
        <v>648</v>
      </c>
      <c r="B24" s="22">
        <v>44805</v>
      </c>
      <c r="C24">
        <v>44.180000305175781</v>
      </c>
      <c r="D24">
        <v>46.083332061767578</v>
      </c>
      <c r="E24">
        <v>42.756668090820313</v>
      </c>
      <c r="F24">
        <v>43.233333587646477</v>
      </c>
      <c r="G24">
        <v>416526900</v>
      </c>
      <c r="H24">
        <v>42.014286041259773</v>
      </c>
      <c r="I24">
        <v>0</v>
      </c>
      <c r="J24" t="s">
        <v>647</v>
      </c>
      <c r="K24" s="22">
        <v>45530</v>
      </c>
      <c r="M24">
        <v>-0.73702239990234375</v>
      </c>
      <c r="N24">
        <v>-2.1501337029056881E-2</v>
      </c>
      <c r="O24">
        <v>-0.94666671752929688</v>
      </c>
      <c r="P24">
        <v>1.9033317565917971</v>
      </c>
      <c r="Q24" t="s">
        <v>589</v>
      </c>
      <c r="R24">
        <v>2022</v>
      </c>
    </row>
    <row r="25" spans="1:18" hidden="1" x14ac:dyDescent="0.35">
      <c r="A25" t="s">
        <v>648</v>
      </c>
      <c r="B25" s="22">
        <v>44835</v>
      </c>
      <c r="C25">
        <v>43.413333892822273</v>
      </c>
      <c r="D25">
        <v>47.689998626708977</v>
      </c>
      <c r="E25">
        <v>42.689998626708977</v>
      </c>
      <c r="F25">
        <v>47.443332672119141</v>
      </c>
      <c r="G25">
        <v>350685000</v>
      </c>
      <c r="H25">
        <v>46.105571746826172</v>
      </c>
      <c r="I25">
        <v>0</v>
      </c>
      <c r="J25" t="s">
        <v>647</v>
      </c>
      <c r="K25" s="22">
        <v>45530</v>
      </c>
      <c r="M25">
        <v>4.0912857055664063</v>
      </c>
      <c r="N25">
        <v>9.7378544172120662E-2</v>
      </c>
      <c r="O25">
        <v>4.029998779296875</v>
      </c>
      <c r="P25">
        <v>4.2766647338867188</v>
      </c>
      <c r="Q25" t="s">
        <v>584</v>
      </c>
      <c r="R25">
        <v>2022</v>
      </c>
    </row>
    <row r="26" spans="1:18" hidden="1" x14ac:dyDescent="0.35">
      <c r="A26" t="s">
        <v>648</v>
      </c>
      <c r="B26" s="22">
        <v>44866</v>
      </c>
      <c r="C26">
        <v>47.656665802001953</v>
      </c>
      <c r="D26">
        <v>51.546665191650391</v>
      </c>
      <c r="E26">
        <v>46.090000152587891</v>
      </c>
      <c r="F26">
        <v>50.806667327880859</v>
      </c>
      <c r="G26">
        <v>454982100</v>
      </c>
      <c r="H26">
        <v>49.374069213867188</v>
      </c>
      <c r="I26">
        <v>0</v>
      </c>
      <c r="J26" t="s">
        <v>647</v>
      </c>
      <c r="K26" s="22">
        <v>45530</v>
      </c>
      <c r="M26">
        <v>3.2684974670410161</v>
      </c>
      <c r="N26">
        <v>7.0891618828839986E-2</v>
      </c>
      <c r="O26">
        <v>3.1500015258789058</v>
      </c>
      <c r="P26">
        <v>3.8899993896484379</v>
      </c>
      <c r="Q26" t="s">
        <v>588</v>
      </c>
      <c r="R26">
        <v>2022</v>
      </c>
    </row>
    <row r="27" spans="1:18" hidden="1" x14ac:dyDescent="0.35">
      <c r="A27" t="s">
        <v>648</v>
      </c>
      <c r="B27" s="22">
        <v>44896</v>
      </c>
      <c r="C27">
        <v>50.683334350585938</v>
      </c>
      <c r="D27">
        <v>51.203334808349609</v>
      </c>
      <c r="E27">
        <v>46.936668395996087</v>
      </c>
      <c r="F27">
        <v>47.263332366943359</v>
      </c>
      <c r="G27">
        <v>382125300</v>
      </c>
      <c r="H27">
        <v>45.930652618408203</v>
      </c>
      <c r="I27">
        <v>0.186667</v>
      </c>
      <c r="J27" t="s">
        <v>647</v>
      </c>
      <c r="K27" s="22">
        <v>45530</v>
      </c>
      <c r="M27">
        <v>-3.4434165954589839</v>
      </c>
      <c r="N27">
        <v>-6.9741534867276078E-2</v>
      </c>
      <c r="O27">
        <v>-3.4200019836425781</v>
      </c>
      <c r="P27">
        <v>0.52000045776367188</v>
      </c>
      <c r="Q27" t="s">
        <v>589</v>
      </c>
      <c r="R27">
        <v>2022</v>
      </c>
    </row>
    <row r="28" spans="1:18" hidden="1" x14ac:dyDescent="0.35">
      <c r="A28" t="s">
        <v>648</v>
      </c>
      <c r="B28" s="22">
        <v>44927</v>
      </c>
      <c r="C28">
        <v>47.516666412353523</v>
      </c>
      <c r="D28">
        <v>49.286666870117188</v>
      </c>
      <c r="E28">
        <v>46.056667327880859</v>
      </c>
      <c r="F28">
        <v>47.956668853759773</v>
      </c>
      <c r="G28">
        <v>324054600</v>
      </c>
      <c r="H28">
        <v>46.780128479003913</v>
      </c>
      <c r="I28">
        <v>0</v>
      </c>
      <c r="J28" t="s">
        <v>647</v>
      </c>
      <c r="K28" s="22">
        <v>45530</v>
      </c>
      <c r="M28">
        <v>0.84947586059570313</v>
      </c>
      <c r="N28">
        <v>1.466964879736943E-2</v>
      </c>
      <c r="O28">
        <v>0.44000244140625</v>
      </c>
      <c r="P28">
        <v>1.7700004577636721</v>
      </c>
      <c r="Q28" t="s">
        <v>585</v>
      </c>
      <c r="R28">
        <v>2023</v>
      </c>
    </row>
    <row r="29" spans="1:18" hidden="1" x14ac:dyDescent="0.35">
      <c r="A29" t="s">
        <v>648</v>
      </c>
      <c r="B29" s="22">
        <v>44958</v>
      </c>
      <c r="C29">
        <v>47.886665344238281</v>
      </c>
      <c r="D29">
        <v>49.446666717529297</v>
      </c>
      <c r="E29">
        <v>46.229999542236328</v>
      </c>
      <c r="F29">
        <v>47.376667022705078</v>
      </c>
      <c r="G29">
        <v>368553300</v>
      </c>
      <c r="H29">
        <v>46.21435546875</v>
      </c>
      <c r="I29">
        <v>0</v>
      </c>
      <c r="J29" t="s">
        <v>647</v>
      </c>
      <c r="K29" s="22">
        <v>45530</v>
      </c>
      <c r="M29">
        <v>-0.56577301025390625</v>
      </c>
      <c r="N29">
        <v>-1.209428938493118E-2</v>
      </c>
      <c r="O29">
        <v>-0.50999832153320313</v>
      </c>
      <c r="P29">
        <v>1.5600013732910161</v>
      </c>
      <c r="Q29" t="s">
        <v>583</v>
      </c>
      <c r="R29">
        <v>2023</v>
      </c>
    </row>
    <row r="30" spans="1:18" hidden="1" x14ac:dyDescent="0.35">
      <c r="A30" t="s">
        <v>648</v>
      </c>
      <c r="B30" s="22">
        <v>44986</v>
      </c>
      <c r="C30">
        <v>47.020000457763672</v>
      </c>
      <c r="D30">
        <v>49.479999542236328</v>
      </c>
      <c r="E30">
        <v>45.363334655761719</v>
      </c>
      <c r="F30">
        <v>49.150001525878913</v>
      </c>
      <c r="G30">
        <v>524648700</v>
      </c>
      <c r="H30">
        <v>47.944179534912109</v>
      </c>
      <c r="I30">
        <v>0.19</v>
      </c>
      <c r="J30" t="s">
        <v>647</v>
      </c>
      <c r="K30" s="22">
        <v>45530</v>
      </c>
      <c r="M30">
        <v>1.7298240661621089</v>
      </c>
      <c r="N30">
        <v>3.7430545764731933E-2</v>
      </c>
      <c r="O30">
        <v>2.1300010681152339</v>
      </c>
      <c r="P30">
        <v>2.4599990844726558</v>
      </c>
      <c r="Q30" t="s">
        <v>583</v>
      </c>
      <c r="R30">
        <v>2023</v>
      </c>
    </row>
    <row r="31" spans="1:18" hidden="1" x14ac:dyDescent="0.35">
      <c r="A31" t="s">
        <v>648</v>
      </c>
      <c r="B31" s="22">
        <v>45017</v>
      </c>
      <c r="C31">
        <v>49.243331909179688</v>
      </c>
      <c r="D31">
        <v>51.25</v>
      </c>
      <c r="E31">
        <v>49.006668090820313</v>
      </c>
      <c r="F31">
        <v>50.323333740234382</v>
      </c>
      <c r="G31">
        <v>301894800</v>
      </c>
      <c r="H31">
        <v>49.289920806884773</v>
      </c>
      <c r="I31">
        <v>0</v>
      </c>
      <c r="J31" t="s">
        <v>647</v>
      </c>
      <c r="K31" s="22">
        <v>45530</v>
      </c>
      <c r="M31">
        <v>1.345741271972656</v>
      </c>
      <c r="N31">
        <v>2.3872475644536321E-2</v>
      </c>
      <c r="O31">
        <v>1.0800018310546879</v>
      </c>
      <c r="P31">
        <v>2.0066680908203121</v>
      </c>
      <c r="Q31" t="s">
        <v>584</v>
      </c>
      <c r="R31">
        <v>2023</v>
      </c>
    </row>
    <row r="32" spans="1:18" hidden="1" x14ac:dyDescent="0.35">
      <c r="A32" t="s">
        <v>648</v>
      </c>
      <c r="B32" s="22">
        <v>45047</v>
      </c>
      <c r="C32">
        <v>50.346668243408203</v>
      </c>
      <c r="D32">
        <v>51.450000762939453</v>
      </c>
      <c r="E32">
        <v>48.336666107177727</v>
      </c>
      <c r="F32">
        <v>48.956668853759773</v>
      </c>
      <c r="G32">
        <v>406453500</v>
      </c>
      <c r="H32">
        <v>47.951324462890618</v>
      </c>
      <c r="I32">
        <v>0.19</v>
      </c>
      <c r="J32" t="s">
        <v>647</v>
      </c>
      <c r="K32" s="22">
        <v>45530</v>
      </c>
      <c r="M32">
        <v>-1.3385963439941411</v>
      </c>
      <c r="N32">
        <v>-2.71576778583319E-2</v>
      </c>
      <c r="O32">
        <v>-1.3899993896484379</v>
      </c>
      <c r="P32">
        <v>1.10333251953125</v>
      </c>
      <c r="Q32" t="s">
        <v>587</v>
      </c>
      <c r="R32">
        <v>2023</v>
      </c>
    </row>
    <row r="33" spans="1:18" hidden="1" x14ac:dyDescent="0.35">
      <c r="A33" t="s">
        <v>648</v>
      </c>
      <c r="B33" s="22">
        <v>45078</v>
      </c>
      <c r="C33">
        <v>48.736667633056641</v>
      </c>
      <c r="D33">
        <v>52.743331909179688</v>
      </c>
      <c r="E33">
        <v>48.64666748046875</v>
      </c>
      <c r="F33">
        <v>52.393333435058587</v>
      </c>
      <c r="G33">
        <v>390332400</v>
      </c>
      <c r="H33">
        <v>51.512359619140618</v>
      </c>
      <c r="I33">
        <v>0</v>
      </c>
      <c r="J33" t="s">
        <v>647</v>
      </c>
      <c r="K33" s="22">
        <v>45530</v>
      </c>
      <c r="M33">
        <v>3.56103515625</v>
      </c>
      <c r="N33">
        <v>7.0198088672344339E-2</v>
      </c>
      <c r="O33">
        <v>3.6566658020019531</v>
      </c>
      <c r="P33">
        <v>4.0066642761230469</v>
      </c>
      <c r="Q33" t="s">
        <v>589</v>
      </c>
      <c r="R33">
        <v>2023</v>
      </c>
    </row>
    <row r="34" spans="1:18" hidden="1" x14ac:dyDescent="0.35">
      <c r="A34" t="s">
        <v>648</v>
      </c>
      <c r="B34" s="22">
        <v>45108</v>
      </c>
      <c r="C34">
        <v>52.270000457763672</v>
      </c>
      <c r="D34">
        <v>53.64666748046875</v>
      </c>
      <c r="E34">
        <v>51.150001525878913</v>
      </c>
      <c r="F34">
        <v>53.286666870117188</v>
      </c>
      <c r="G34">
        <v>272185500</v>
      </c>
      <c r="H34">
        <v>52.390674591064453</v>
      </c>
      <c r="I34">
        <v>0</v>
      </c>
      <c r="J34" t="s">
        <v>647</v>
      </c>
      <c r="K34" s="22">
        <v>45530</v>
      </c>
      <c r="M34">
        <v>0.87831497192382813</v>
      </c>
      <c r="N34">
        <v>1.7050517241203659E-2</v>
      </c>
      <c r="O34">
        <v>1.0166664123535161</v>
      </c>
      <c r="P34">
        <v>1.3766670227050779</v>
      </c>
      <c r="Q34" t="s">
        <v>584</v>
      </c>
      <c r="R34">
        <v>2023</v>
      </c>
    </row>
    <row r="35" spans="1:18" hidden="1" x14ac:dyDescent="0.35">
      <c r="A35" t="s">
        <v>648</v>
      </c>
      <c r="B35" s="22">
        <v>45139</v>
      </c>
      <c r="C35">
        <v>53.316665649414063</v>
      </c>
      <c r="D35">
        <v>54.330001831054688</v>
      </c>
      <c r="E35">
        <v>51.673332214355469</v>
      </c>
      <c r="F35">
        <v>54.203334808349609</v>
      </c>
      <c r="G35">
        <v>391674900</v>
      </c>
      <c r="H35">
        <v>53.291919708251953</v>
      </c>
      <c r="I35">
        <v>0.19</v>
      </c>
      <c r="J35" t="s">
        <v>647</v>
      </c>
      <c r="K35" s="22">
        <v>45530</v>
      </c>
      <c r="M35">
        <v>0.9012451171875</v>
      </c>
      <c r="N35">
        <v>1.720257603026187E-2</v>
      </c>
      <c r="O35">
        <v>0.88666915893554688</v>
      </c>
      <c r="P35">
        <v>1.013336181640625</v>
      </c>
      <c r="Q35" t="s">
        <v>588</v>
      </c>
      <c r="R35">
        <v>2023</v>
      </c>
    </row>
    <row r="36" spans="1:18" hidden="1" x14ac:dyDescent="0.35">
      <c r="A36" t="s">
        <v>648</v>
      </c>
      <c r="B36" s="22">
        <v>45170</v>
      </c>
      <c r="C36">
        <v>54.290000915527337</v>
      </c>
      <c r="D36">
        <v>55.283332824707031</v>
      </c>
      <c r="E36">
        <v>53.063331604003913</v>
      </c>
      <c r="F36">
        <v>53.310001373291023</v>
      </c>
      <c r="G36">
        <v>331229700</v>
      </c>
      <c r="H36">
        <v>52.599941253662109</v>
      </c>
      <c r="I36">
        <v>0</v>
      </c>
      <c r="J36" t="s">
        <v>647</v>
      </c>
      <c r="K36" s="22">
        <v>45530</v>
      </c>
      <c r="M36">
        <v>-0.69197845458984375</v>
      </c>
      <c r="N36">
        <v>-1.648115264895067E-2</v>
      </c>
      <c r="O36">
        <v>-0.97999954223632813</v>
      </c>
      <c r="P36">
        <v>0.9933319091796875</v>
      </c>
      <c r="Q36" t="s">
        <v>586</v>
      </c>
      <c r="R36">
        <v>2023</v>
      </c>
    </row>
    <row r="37" spans="1:18" hidden="1" x14ac:dyDescent="0.35">
      <c r="A37" t="s">
        <v>648</v>
      </c>
      <c r="B37" s="22">
        <v>45200</v>
      </c>
      <c r="C37">
        <v>53.163333892822273</v>
      </c>
      <c r="D37">
        <v>54.776668548583977</v>
      </c>
      <c r="E37">
        <v>50.549999237060547</v>
      </c>
      <c r="F37">
        <v>54.470001220703118</v>
      </c>
      <c r="G37">
        <v>344001900</v>
      </c>
      <c r="H37">
        <v>53.744487762451172</v>
      </c>
      <c r="I37">
        <v>0</v>
      </c>
      <c r="J37" t="s">
        <v>647</v>
      </c>
      <c r="K37" s="22">
        <v>45530</v>
      </c>
      <c r="M37">
        <v>1.1445465087890621</v>
      </c>
      <c r="N37">
        <v>2.175951636709739E-2</v>
      </c>
      <c r="O37">
        <v>1.3066673278808589</v>
      </c>
      <c r="P37">
        <v>1.613334655761719</v>
      </c>
      <c r="Q37" t="s">
        <v>585</v>
      </c>
      <c r="R37">
        <v>2023</v>
      </c>
    </row>
    <row r="38" spans="1:18" hidden="1" x14ac:dyDescent="0.35">
      <c r="A38" t="s">
        <v>648</v>
      </c>
      <c r="B38" s="22">
        <v>45231</v>
      </c>
      <c r="C38">
        <v>54.736667633056641</v>
      </c>
      <c r="D38">
        <v>56.64666748046875</v>
      </c>
      <c r="E38">
        <v>51.376667022705078</v>
      </c>
      <c r="F38">
        <v>51.89666748046875</v>
      </c>
      <c r="G38">
        <v>536482200</v>
      </c>
      <c r="H38">
        <v>51.205432891845703</v>
      </c>
      <c r="I38">
        <v>0</v>
      </c>
      <c r="J38" t="s">
        <v>647</v>
      </c>
      <c r="K38" s="22">
        <v>45530</v>
      </c>
      <c r="M38">
        <v>-2.5390548706054692</v>
      </c>
      <c r="N38">
        <v>-4.7243137186791413E-2</v>
      </c>
      <c r="O38">
        <v>-2.8400001525878911</v>
      </c>
      <c r="P38">
        <v>1.9099998474121089</v>
      </c>
      <c r="Q38" t="s">
        <v>583</v>
      </c>
      <c r="R38">
        <v>2023</v>
      </c>
    </row>
    <row r="39" spans="1:18" hidden="1" x14ac:dyDescent="0.35">
      <c r="A39" t="s">
        <v>648</v>
      </c>
      <c r="B39" s="22">
        <v>45261</v>
      </c>
      <c r="C39">
        <v>51.793331146240227</v>
      </c>
      <c r="D39">
        <v>52.776668548583977</v>
      </c>
      <c r="E39">
        <v>49.846668243408203</v>
      </c>
      <c r="F39">
        <v>52.549999237060547</v>
      </c>
      <c r="G39">
        <v>543923100</v>
      </c>
      <c r="H39">
        <v>51.850059509277337</v>
      </c>
      <c r="I39">
        <v>0.19</v>
      </c>
      <c r="J39" t="s">
        <v>647</v>
      </c>
      <c r="K39" s="22">
        <v>45530</v>
      </c>
      <c r="M39">
        <v>0.64462661743164063</v>
      </c>
      <c r="N39">
        <v>1.258908882420395E-2</v>
      </c>
      <c r="O39">
        <v>0.7566680908203125</v>
      </c>
      <c r="P39">
        <v>0.98333740234375</v>
      </c>
      <c r="Q39" t="s">
        <v>586</v>
      </c>
      <c r="R39">
        <v>2023</v>
      </c>
    </row>
    <row r="40" spans="1:18" hidden="1" x14ac:dyDescent="0.35">
      <c r="A40" t="s">
        <v>650</v>
      </c>
      <c r="B40" s="22">
        <v>44197</v>
      </c>
      <c r="C40">
        <v>222.5299987792969</v>
      </c>
      <c r="D40">
        <v>242.63999938964841</v>
      </c>
      <c r="E40">
        <v>211.94000244140619</v>
      </c>
      <c r="F40">
        <v>231.96000671386719</v>
      </c>
      <c r="G40">
        <v>648076400</v>
      </c>
      <c r="H40">
        <v>224.66554260253909</v>
      </c>
      <c r="I40">
        <v>0</v>
      </c>
      <c r="J40" t="s">
        <v>649</v>
      </c>
      <c r="K40" s="22">
        <v>45530</v>
      </c>
      <c r="O40">
        <v>9.4300079345703125</v>
      </c>
      <c r="P40">
        <v>20.110000610351559</v>
      </c>
      <c r="Q40" t="s">
        <v>586</v>
      </c>
      <c r="R40">
        <v>2021</v>
      </c>
    </row>
    <row r="41" spans="1:18" hidden="1" x14ac:dyDescent="0.35">
      <c r="A41" t="s">
        <v>650</v>
      </c>
      <c r="B41" s="22">
        <v>44228</v>
      </c>
      <c r="C41">
        <v>235.05999755859381</v>
      </c>
      <c r="D41">
        <v>246.1300048828125</v>
      </c>
      <c r="E41">
        <v>227.8800048828125</v>
      </c>
      <c r="F41">
        <v>232.3800048828125</v>
      </c>
      <c r="G41">
        <v>490962200</v>
      </c>
      <c r="H41">
        <v>225.07232666015619</v>
      </c>
      <c r="I41">
        <v>0.56000000000000005</v>
      </c>
      <c r="J41" t="s">
        <v>649</v>
      </c>
      <c r="K41" s="22">
        <v>45530</v>
      </c>
      <c r="M41">
        <v>0.4067840576171875</v>
      </c>
      <c r="N41">
        <v>1.8106490635836361E-3</v>
      </c>
      <c r="O41">
        <v>-2.67999267578125</v>
      </c>
      <c r="P41">
        <v>11.07000732421875</v>
      </c>
      <c r="Q41" t="s">
        <v>587</v>
      </c>
      <c r="R41">
        <v>2021</v>
      </c>
    </row>
    <row r="42" spans="1:18" hidden="1" x14ac:dyDescent="0.35">
      <c r="A42" t="s">
        <v>650</v>
      </c>
      <c r="B42" s="22">
        <v>44256</v>
      </c>
      <c r="C42">
        <v>235.8999938964844</v>
      </c>
      <c r="D42">
        <v>241.05000305175781</v>
      </c>
      <c r="E42">
        <v>224.25999450683591</v>
      </c>
      <c r="F42">
        <v>235.77000427246091</v>
      </c>
      <c r="G42">
        <v>724945800</v>
      </c>
      <c r="H42">
        <v>228.8816833496094</v>
      </c>
      <c r="I42">
        <v>0</v>
      </c>
      <c r="J42" t="s">
        <v>649</v>
      </c>
      <c r="K42" s="22">
        <v>45530</v>
      </c>
      <c r="M42">
        <v>3.809356689453125</v>
      </c>
      <c r="N42">
        <v>1.458817160864578E-2</v>
      </c>
      <c r="O42">
        <v>-0.1299896240234375</v>
      </c>
      <c r="P42">
        <v>5.1500091552734384</v>
      </c>
      <c r="Q42" t="s">
        <v>587</v>
      </c>
      <c r="R42">
        <v>2021</v>
      </c>
    </row>
    <row r="43" spans="1:18" hidden="1" x14ac:dyDescent="0.35">
      <c r="A43" t="s">
        <v>650</v>
      </c>
      <c r="B43" s="22">
        <v>44287</v>
      </c>
      <c r="C43">
        <v>238.4700012207031</v>
      </c>
      <c r="D43">
        <v>263.19000244140619</v>
      </c>
      <c r="E43">
        <v>238.05000305175781</v>
      </c>
      <c r="F43">
        <v>252.17999267578119</v>
      </c>
      <c r="G43">
        <v>568661600</v>
      </c>
      <c r="H43">
        <v>244.8122253417969</v>
      </c>
      <c r="I43">
        <v>0</v>
      </c>
      <c r="J43" t="s">
        <v>649</v>
      </c>
      <c r="K43" s="22">
        <v>45530</v>
      </c>
      <c r="M43">
        <v>15.9305419921875</v>
      </c>
      <c r="N43">
        <v>6.9601680052380877E-2</v>
      </c>
      <c r="O43">
        <v>13.70999145507812</v>
      </c>
      <c r="P43">
        <v>24.720001220703121</v>
      </c>
      <c r="Q43" t="s">
        <v>589</v>
      </c>
      <c r="R43">
        <v>2021</v>
      </c>
    </row>
    <row r="44" spans="1:18" hidden="1" x14ac:dyDescent="0.35">
      <c r="A44" t="s">
        <v>650</v>
      </c>
      <c r="B44" s="22">
        <v>44317</v>
      </c>
      <c r="C44">
        <v>253.3999938964844</v>
      </c>
      <c r="D44">
        <v>254.3500061035156</v>
      </c>
      <c r="E44">
        <v>238.07000732421881</v>
      </c>
      <c r="F44">
        <v>249.67999267578119</v>
      </c>
      <c r="G44">
        <v>495084900</v>
      </c>
      <c r="H44">
        <v>242.38525390625</v>
      </c>
      <c r="I44">
        <v>0.56000000000000005</v>
      </c>
      <c r="J44" t="s">
        <v>649</v>
      </c>
      <c r="K44" s="22">
        <v>45530</v>
      </c>
      <c r="M44">
        <v>-2.426971435546875</v>
      </c>
      <c r="N44">
        <v>-9.9135540986955428E-3</v>
      </c>
      <c r="O44">
        <v>-3.720001220703125</v>
      </c>
      <c r="P44">
        <v>0.95001220703125</v>
      </c>
      <c r="Q44" t="s">
        <v>584</v>
      </c>
      <c r="R44">
        <v>2021</v>
      </c>
    </row>
    <row r="45" spans="1:18" hidden="1" x14ac:dyDescent="0.35">
      <c r="A45" t="s">
        <v>650</v>
      </c>
      <c r="B45" s="22">
        <v>44348</v>
      </c>
      <c r="C45">
        <v>251.22999572753909</v>
      </c>
      <c r="D45">
        <v>271.64999389648438</v>
      </c>
      <c r="E45">
        <v>243</v>
      </c>
      <c r="F45">
        <v>270.89999389648438</v>
      </c>
      <c r="G45">
        <v>508572200</v>
      </c>
      <c r="H45">
        <v>263.59255981445313</v>
      </c>
      <c r="I45">
        <v>0</v>
      </c>
      <c r="J45" t="s">
        <v>649</v>
      </c>
      <c r="K45" s="22">
        <v>45530</v>
      </c>
      <c r="M45">
        <v>21.207305908203121</v>
      </c>
      <c r="N45">
        <v>8.4988793027794163E-2</v>
      </c>
      <c r="O45">
        <v>19.669998168945309</v>
      </c>
      <c r="P45">
        <v>20.419998168945309</v>
      </c>
      <c r="Q45" t="s">
        <v>588</v>
      </c>
      <c r="R45">
        <v>2021</v>
      </c>
    </row>
    <row r="46" spans="1:18" hidden="1" x14ac:dyDescent="0.35">
      <c r="A46" t="s">
        <v>650</v>
      </c>
      <c r="B46" s="22">
        <v>44378</v>
      </c>
      <c r="C46">
        <v>269.6099853515625</v>
      </c>
      <c r="D46">
        <v>290.14999389648438</v>
      </c>
      <c r="E46">
        <v>269.60000610351563</v>
      </c>
      <c r="F46">
        <v>284.91000366210938</v>
      </c>
      <c r="G46">
        <v>522672700</v>
      </c>
      <c r="H46">
        <v>277.22467041015619</v>
      </c>
      <c r="I46">
        <v>0</v>
      </c>
      <c r="J46" t="s">
        <v>649</v>
      </c>
      <c r="K46" s="22">
        <v>45530</v>
      </c>
      <c r="M46">
        <v>13.63211059570312</v>
      </c>
      <c r="N46">
        <v>5.1716537767728672E-2</v>
      </c>
      <c r="O46">
        <v>15.30001831054688</v>
      </c>
      <c r="P46">
        <v>20.540008544921879</v>
      </c>
      <c r="Q46" t="s">
        <v>589</v>
      </c>
      <c r="R46">
        <v>2021</v>
      </c>
    </row>
    <row r="47" spans="1:18" hidden="1" x14ac:dyDescent="0.35">
      <c r="A47" t="s">
        <v>650</v>
      </c>
      <c r="B47" s="22">
        <v>44409</v>
      </c>
      <c r="C47">
        <v>286.3599853515625</v>
      </c>
      <c r="D47">
        <v>305.83999633789063</v>
      </c>
      <c r="E47">
        <v>283.739990234375</v>
      </c>
      <c r="F47">
        <v>301.8800048828125</v>
      </c>
      <c r="G47">
        <v>441308900</v>
      </c>
      <c r="H47">
        <v>293.73681640625</v>
      </c>
      <c r="I47">
        <v>0.56000000000000005</v>
      </c>
      <c r="J47" t="s">
        <v>649</v>
      </c>
      <c r="K47" s="22">
        <v>45530</v>
      </c>
      <c r="M47">
        <v>16.51214599609375</v>
      </c>
      <c r="N47">
        <v>5.956267243191915E-2</v>
      </c>
      <c r="O47">
        <v>15.52001953125</v>
      </c>
      <c r="P47">
        <v>19.480010986328121</v>
      </c>
      <c r="Q47" t="s">
        <v>585</v>
      </c>
      <c r="R47">
        <v>2021</v>
      </c>
    </row>
    <row r="48" spans="1:18" hidden="1" x14ac:dyDescent="0.35">
      <c r="A48" t="s">
        <v>650</v>
      </c>
      <c r="B48" s="22">
        <v>44440</v>
      </c>
      <c r="C48">
        <v>302.8699951171875</v>
      </c>
      <c r="D48">
        <v>305.32000732421881</v>
      </c>
      <c r="E48">
        <v>281.6199951171875</v>
      </c>
      <c r="F48">
        <v>281.92001342773438</v>
      </c>
      <c r="G48">
        <v>502918700</v>
      </c>
      <c r="H48">
        <v>274.8404541015625</v>
      </c>
      <c r="I48">
        <v>0</v>
      </c>
      <c r="J48" t="s">
        <v>649</v>
      </c>
      <c r="K48" s="22">
        <v>45530</v>
      </c>
      <c r="M48">
        <v>-18.8963623046875</v>
      </c>
      <c r="N48">
        <v>-6.6118958302079145E-2</v>
      </c>
      <c r="O48">
        <v>-20.949981689453121</v>
      </c>
      <c r="P48">
        <v>2.45001220703125</v>
      </c>
      <c r="Q48" t="s">
        <v>583</v>
      </c>
      <c r="R48">
        <v>2021</v>
      </c>
    </row>
    <row r="49" spans="1:18" hidden="1" x14ac:dyDescent="0.35">
      <c r="A49" t="s">
        <v>650</v>
      </c>
      <c r="B49" s="22">
        <v>44470</v>
      </c>
      <c r="C49">
        <v>282.1199951171875</v>
      </c>
      <c r="D49">
        <v>332</v>
      </c>
      <c r="E49">
        <v>280.25</v>
      </c>
      <c r="F49">
        <v>331.6199951171875</v>
      </c>
      <c r="G49">
        <v>516515800</v>
      </c>
      <c r="H49">
        <v>323.2923583984375</v>
      </c>
      <c r="I49">
        <v>0</v>
      </c>
      <c r="J49" t="s">
        <v>649</v>
      </c>
      <c r="K49" s="22">
        <v>45530</v>
      </c>
      <c r="M49">
        <v>48.451904296875</v>
      </c>
      <c r="N49">
        <v>0.17629107307840311</v>
      </c>
      <c r="O49">
        <v>49.5</v>
      </c>
      <c r="P49">
        <v>49.8800048828125</v>
      </c>
      <c r="Q49" t="s">
        <v>586</v>
      </c>
      <c r="R49">
        <v>2021</v>
      </c>
    </row>
    <row r="50" spans="1:18" hidden="1" x14ac:dyDescent="0.35">
      <c r="A50" t="s">
        <v>650</v>
      </c>
      <c r="B50" s="22">
        <v>44501</v>
      </c>
      <c r="C50">
        <v>331.3599853515625</v>
      </c>
      <c r="D50">
        <v>349.67001342773438</v>
      </c>
      <c r="E50">
        <v>326.3699951171875</v>
      </c>
      <c r="F50">
        <v>330.58999633789063</v>
      </c>
      <c r="G50">
        <v>509885200</v>
      </c>
      <c r="H50">
        <v>322.28823852539063</v>
      </c>
      <c r="I50">
        <v>0.62</v>
      </c>
      <c r="J50" t="s">
        <v>649</v>
      </c>
      <c r="K50" s="22">
        <v>45530</v>
      </c>
      <c r="M50">
        <v>-1.004119873046875</v>
      </c>
      <c r="N50">
        <v>-3.105961023046611E-3</v>
      </c>
      <c r="O50">
        <v>-0.769989013671875</v>
      </c>
      <c r="P50">
        <v>18.310028076171879</v>
      </c>
      <c r="Q50" t="s">
        <v>587</v>
      </c>
      <c r="R50">
        <v>2021</v>
      </c>
    </row>
    <row r="51" spans="1:18" hidden="1" x14ac:dyDescent="0.35">
      <c r="A51" t="s">
        <v>650</v>
      </c>
      <c r="B51" s="22">
        <v>44531</v>
      </c>
      <c r="C51">
        <v>335.1300048828125</v>
      </c>
      <c r="D51">
        <v>344.29998779296881</v>
      </c>
      <c r="E51">
        <v>317.25</v>
      </c>
      <c r="F51">
        <v>336.32000732421881</v>
      </c>
      <c r="G51">
        <v>625674800</v>
      </c>
      <c r="H51">
        <v>328.47421264648438</v>
      </c>
      <c r="I51">
        <v>0</v>
      </c>
      <c r="J51" t="s">
        <v>649</v>
      </c>
      <c r="K51" s="22">
        <v>45530</v>
      </c>
      <c r="M51">
        <v>6.18597412109375</v>
      </c>
      <c r="N51">
        <v>1.733268111498321E-2</v>
      </c>
      <c r="O51">
        <v>1.19000244140625</v>
      </c>
      <c r="P51">
        <v>9.16998291015625</v>
      </c>
      <c r="Q51" t="s">
        <v>583</v>
      </c>
      <c r="R51">
        <v>2021</v>
      </c>
    </row>
    <row r="52" spans="1:18" hidden="1" x14ac:dyDescent="0.35">
      <c r="A52" t="s">
        <v>650</v>
      </c>
      <c r="B52" s="22">
        <v>44562</v>
      </c>
      <c r="C52">
        <v>335.35000610351563</v>
      </c>
      <c r="D52">
        <v>338</v>
      </c>
      <c r="E52">
        <v>276.04998779296881</v>
      </c>
      <c r="F52">
        <v>310.98001098632813</v>
      </c>
      <c r="G52">
        <v>947531400</v>
      </c>
      <c r="H52">
        <v>303.725341796875</v>
      </c>
      <c r="I52">
        <v>0</v>
      </c>
      <c r="J52" t="s">
        <v>649</v>
      </c>
      <c r="K52" s="22">
        <v>45530</v>
      </c>
      <c r="M52">
        <v>-24.748870849609379</v>
      </c>
      <c r="N52">
        <v>-7.5344897080304785E-2</v>
      </c>
      <c r="O52">
        <v>-24.3699951171875</v>
      </c>
      <c r="P52">
        <v>2.649993896484375</v>
      </c>
      <c r="Q52" t="s">
        <v>584</v>
      </c>
      <c r="R52">
        <v>2022</v>
      </c>
    </row>
    <row r="53" spans="1:18" hidden="1" x14ac:dyDescent="0.35">
      <c r="A53" t="s">
        <v>650</v>
      </c>
      <c r="B53" s="22">
        <v>44593</v>
      </c>
      <c r="C53">
        <v>310.41000366210938</v>
      </c>
      <c r="D53">
        <v>315.1199951171875</v>
      </c>
      <c r="E53">
        <v>271.51998901367188</v>
      </c>
      <c r="F53">
        <v>298.79000854492188</v>
      </c>
      <c r="G53">
        <v>697050600</v>
      </c>
      <c r="H53">
        <v>291.81976318359381</v>
      </c>
      <c r="I53">
        <v>0.62</v>
      </c>
      <c r="J53" t="s">
        <v>649</v>
      </c>
      <c r="K53" s="22">
        <v>45530</v>
      </c>
      <c r="M53">
        <v>-11.90557861328125</v>
      </c>
      <c r="N53">
        <v>-3.9198668759266919E-2</v>
      </c>
      <c r="O53">
        <v>-11.6199951171875</v>
      </c>
      <c r="P53">
        <v>4.709991455078125</v>
      </c>
      <c r="Q53" t="s">
        <v>588</v>
      </c>
      <c r="R53">
        <v>2022</v>
      </c>
    </row>
    <row r="54" spans="1:18" hidden="1" x14ac:dyDescent="0.35">
      <c r="A54" t="s">
        <v>650</v>
      </c>
      <c r="B54" s="22">
        <v>44621</v>
      </c>
      <c r="C54">
        <v>296.39999389648438</v>
      </c>
      <c r="D54">
        <v>315.95001220703119</v>
      </c>
      <c r="E54">
        <v>270</v>
      </c>
      <c r="F54">
        <v>308.30999755859381</v>
      </c>
      <c r="G54">
        <v>734334200</v>
      </c>
      <c r="H54">
        <v>301.74029541015619</v>
      </c>
      <c r="I54">
        <v>0</v>
      </c>
      <c r="J54" t="s">
        <v>649</v>
      </c>
      <c r="K54" s="22">
        <v>45530</v>
      </c>
      <c r="M54">
        <v>9.9205322265625</v>
      </c>
      <c r="N54">
        <v>3.1861805085227957E-2</v>
      </c>
      <c r="O54">
        <v>11.91000366210938</v>
      </c>
      <c r="P54">
        <v>19.550018310546879</v>
      </c>
      <c r="Q54" t="s">
        <v>588</v>
      </c>
      <c r="R54">
        <v>2022</v>
      </c>
    </row>
    <row r="55" spans="1:18" hidden="1" x14ac:dyDescent="0.35">
      <c r="A55" t="s">
        <v>650</v>
      </c>
      <c r="B55" s="22">
        <v>44652</v>
      </c>
      <c r="C55">
        <v>309.3699951171875</v>
      </c>
      <c r="D55">
        <v>315.1099853515625</v>
      </c>
      <c r="E55">
        <v>270</v>
      </c>
      <c r="F55">
        <v>277.51998901367188</v>
      </c>
      <c r="G55">
        <v>627343400</v>
      </c>
      <c r="H55">
        <v>271.6063232421875</v>
      </c>
      <c r="I55">
        <v>0</v>
      </c>
      <c r="J55" t="s">
        <v>649</v>
      </c>
      <c r="K55" s="22">
        <v>45530</v>
      </c>
      <c r="M55">
        <v>-30.13397216796875</v>
      </c>
      <c r="N55">
        <v>-9.9867045469617888E-2</v>
      </c>
      <c r="O55">
        <v>-31.850006103515621</v>
      </c>
      <c r="P55">
        <v>5.739990234375</v>
      </c>
      <c r="Q55" t="s">
        <v>586</v>
      </c>
      <c r="R55">
        <v>2022</v>
      </c>
    </row>
    <row r="56" spans="1:18" hidden="1" x14ac:dyDescent="0.35">
      <c r="A56" t="s">
        <v>650</v>
      </c>
      <c r="B56" s="22">
        <v>44682</v>
      </c>
      <c r="C56">
        <v>277.70999145507813</v>
      </c>
      <c r="D56">
        <v>290.8800048828125</v>
      </c>
      <c r="E56">
        <v>246.44000244140619</v>
      </c>
      <c r="F56">
        <v>271.8699951171875</v>
      </c>
      <c r="G56">
        <v>742902000</v>
      </c>
      <c r="H56">
        <v>266.07672119140619</v>
      </c>
      <c r="I56">
        <v>0.62</v>
      </c>
      <c r="J56" t="s">
        <v>649</v>
      </c>
      <c r="K56" s="22">
        <v>45530</v>
      </c>
      <c r="M56">
        <v>-5.52960205078125</v>
      </c>
      <c r="N56">
        <v>-2.0358871865644331E-2</v>
      </c>
      <c r="O56">
        <v>-5.839996337890625</v>
      </c>
      <c r="P56">
        <v>13.17001342773438</v>
      </c>
      <c r="Q56" t="s">
        <v>585</v>
      </c>
      <c r="R56">
        <v>2022</v>
      </c>
    </row>
    <row r="57" spans="1:18" hidden="1" x14ac:dyDescent="0.35">
      <c r="A57" t="s">
        <v>650</v>
      </c>
      <c r="B57" s="22">
        <v>44713</v>
      </c>
      <c r="C57">
        <v>275.20001220703119</v>
      </c>
      <c r="D57">
        <v>277.69000244140619</v>
      </c>
      <c r="E57">
        <v>241.50999450683591</v>
      </c>
      <c r="F57">
        <v>256.82998657226563</v>
      </c>
      <c r="G57">
        <v>621372300</v>
      </c>
      <c r="H57">
        <v>251.94264221191409</v>
      </c>
      <c r="I57">
        <v>0</v>
      </c>
      <c r="J57" t="s">
        <v>649</v>
      </c>
      <c r="K57" s="22">
        <v>45530</v>
      </c>
      <c r="M57">
        <v>-14.134078979492189</v>
      </c>
      <c r="N57">
        <v>-5.5320590043189573E-2</v>
      </c>
      <c r="O57">
        <v>-18.370025634765621</v>
      </c>
      <c r="P57">
        <v>2.489990234375</v>
      </c>
      <c r="Q57" t="s">
        <v>583</v>
      </c>
      <c r="R57">
        <v>2022</v>
      </c>
    </row>
    <row r="58" spans="1:18" hidden="1" x14ac:dyDescent="0.35">
      <c r="A58" t="s">
        <v>650</v>
      </c>
      <c r="B58" s="22">
        <v>44743</v>
      </c>
      <c r="C58">
        <v>256.3900146484375</v>
      </c>
      <c r="D58">
        <v>282</v>
      </c>
      <c r="E58">
        <v>245.94000244140619</v>
      </c>
      <c r="F58">
        <v>280.739990234375</v>
      </c>
      <c r="G58">
        <v>534891800</v>
      </c>
      <c r="H58">
        <v>275.39764404296881</v>
      </c>
      <c r="I58">
        <v>0</v>
      </c>
      <c r="J58" t="s">
        <v>649</v>
      </c>
      <c r="K58" s="22">
        <v>45530</v>
      </c>
      <c r="M58">
        <v>23.455001831054691</v>
      </c>
      <c r="N58">
        <v>9.3096619990600926E-2</v>
      </c>
      <c r="O58">
        <v>24.3499755859375</v>
      </c>
      <c r="P58">
        <v>25.6099853515625</v>
      </c>
      <c r="Q58" t="s">
        <v>586</v>
      </c>
      <c r="R58">
        <v>2022</v>
      </c>
    </row>
    <row r="59" spans="1:18" hidden="1" x14ac:dyDescent="0.35">
      <c r="A59" t="s">
        <v>650</v>
      </c>
      <c r="B59" s="22">
        <v>44774</v>
      </c>
      <c r="C59">
        <v>277.82000732421881</v>
      </c>
      <c r="D59">
        <v>294.17999267578119</v>
      </c>
      <c r="E59">
        <v>260.66000366210938</v>
      </c>
      <c r="F59">
        <v>261.47000122070313</v>
      </c>
      <c r="G59">
        <v>477157600</v>
      </c>
      <c r="H59">
        <v>256.494384765625</v>
      </c>
      <c r="I59">
        <v>0.62</v>
      </c>
      <c r="J59" t="s">
        <v>649</v>
      </c>
      <c r="K59" s="22">
        <v>45530</v>
      </c>
      <c r="M59">
        <v>-18.90325927734375</v>
      </c>
      <c r="N59">
        <v>-6.8639986051094337E-2</v>
      </c>
      <c r="O59">
        <v>-16.350006103515621</v>
      </c>
      <c r="P59">
        <v>16.3599853515625</v>
      </c>
      <c r="Q59" t="s">
        <v>587</v>
      </c>
      <c r="R59">
        <v>2022</v>
      </c>
    </row>
    <row r="60" spans="1:18" hidden="1" x14ac:dyDescent="0.35">
      <c r="A60" t="s">
        <v>650</v>
      </c>
      <c r="B60" s="22">
        <v>44805</v>
      </c>
      <c r="C60">
        <v>258.8699951171875</v>
      </c>
      <c r="D60">
        <v>267.45001220703119</v>
      </c>
      <c r="E60">
        <v>232.72999572753909</v>
      </c>
      <c r="F60">
        <v>232.8999938964844</v>
      </c>
      <c r="G60">
        <v>575586600</v>
      </c>
      <c r="H60">
        <v>228.9529724121094</v>
      </c>
      <c r="I60">
        <v>0</v>
      </c>
      <c r="J60" t="s">
        <v>649</v>
      </c>
      <c r="K60" s="22">
        <v>45530</v>
      </c>
      <c r="M60">
        <v>-27.541412353515621</v>
      </c>
      <c r="N60">
        <v>-0.1092668649972706</v>
      </c>
      <c r="O60">
        <v>-25.970001220703121</v>
      </c>
      <c r="P60">
        <v>8.58001708984375</v>
      </c>
      <c r="Q60" t="s">
        <v>589</v>
      </c>
      <c r="R60">
        <v>2022</v>
      </c>
    </row>
    <row r="61" spans="1:18" hidden="1" x14ac:dyDescent="0.35">
      <c r="A61" t="s">
        <v>650</v>
      </c>
      <c r="B61" s="22">
        <v>44835</v>
      </c>
      <c r="C61">
        <v>235.4100036621094</v>
      </c>
      <c r="D61">
        <v>251.03999328613281</v>
      </c>
      <c r="E61">
        <v>219.1300048828125</v>
      </c>
      <c r="F61">
        <v>232.1300048828125</v>
      </c>
      <c r="G61">
        <v>671225100</v>
      </c>
      <c r="H61">
        <v>228.196044921875</v>
      </c>
      <c r="I61">
        <v>0</v>
      </c>
      <c r="J61" t="s">
        <v>649</v>
      </c>
      <c r="K61" s="22">
        <v>45530</v>
      </c>
      <c r="M61">
        <v>-0.756927490234375</v>
      </c>
      <c r="N61">
        <v>-3.3060928890109591E-3</v>
      </c>
      <c r="O61">
        <v>-3.279998779296875</v>
      </c>
      <c r="P61">
        <v>15.629989624023439</v>
      </c>
      <c r="Q61" t="s">
        <v>584</v>
      </c>
      <c r="R61">
        <v>2022</v>
      </c>
    </row>
    <row r="62" spans="1:18" hidden="1" x14ac:dyDescent="0.35">
      <c r="A62" t="s">
        <v>650</v>
      </c>
      <c r="B62" s="22">
        <v>44866</v>
      </c>
      <c r="C62">
        <v>234.6000061035156</v>
      </c>
      <c r="D62">
        <v>255.33000183105469</v>
      </c>
      <c r="E62">
        <v>213.42999267578119</v>
      </c>
      <c r="F62">
        <v>255.13999938964841</v>
      </c>
      <c r="G62">
        <v>615296000</v>
      </c>
      <c r="H62">
        <v>250.81610107421881</v>
      </c>
      <c r="I62">
        <v>0.68</v>
      </c>
      <c r="J62" t="s">
        <v>649</v>
      </c>
      <c r="K62" s="22">
        <v>45530</v>
      </c>
      <c r="M62">
        <v>22.62005615234375</v>
      </c>
      <c r="N62">
        <v>9.9125464277882491E-2</v>
      </c>
      <c r="O62">
        <v>20.539993286132809</v>
      </c>
      <c r="P62">
        <v>20.729995727539059</v>
      </c>
      <c r="Q62" t="s">
        <v>588</v>
      </c>
      <c r="R62">
        <v>2022</v>
      </c>
    </row>
    <row r="63" spans="1:18" hidden="1" x14ac:dyDescent="0.35">
      <c r="A63" t="s">
        <v>650</v>
      </c>
      <c r="B63" s="22">
        <v>44896</v>
      </c>
      <c r="C63">
        <v>253.8699951171875</v>
      </c>
      <c r="D63">
        <v>263.92001342773438</v>
      </c>
      <c r="E63">
        <v>233.8699951171875</v>
      </c>
      <c r="F63">
        <v>239.82000732421881</v>
      </c>
      <c r="G63">
        <v>591358700</v>
      </c>
      <c r="H63">
        <v>236.4201354980469</v>
      </c>
      <c r="I63">
        <v>0</v>
      </c>
      <c r="J63" t="s">
        <v>649</v>
      </c>
      <c r="K63" s="22">
        <v>45530</v>
      </c>
      <c r="M63">
        <v>-14.39596557617188</v>
      </c>
      <c r="N63">
        <v>-6.0045434279527021E-2</v>
      </c>
      <c r="O63">
        <v>-14.04998779296875</v>
      </c>
      <c r="P63">
        <v>10.05001831054688</v>
      </c>
      <c r="Q63" t="s">
        <v>589</v>
      </c>
      <c r="R63">
        <v>2022</v>
      </c>
    </row>
    <row r="64" spans="1:18" hidden="1" x14ac:dyDescent="0.35">
      <c r="A64" t="s">
        <v>650</v>
      </c>
      <c r="B64" s="22">
        <v>44927</v>
      </c>
      <c r="C64">
        <v>243.08000183105469</v>
      </c>
      <c r="D64">
        <v>249.83000183105469</v>
      </c>
      <c r="E64">
        <v>219.3500061035156</v>
      </c>
      <c r="F64">
        <v>247.80999755859381</v>
      </c>
      <c r="G64">
        <v>666168100</v>
      </c>
      <c r="H64">
        <v>244.29682922363281</v>
      </c>
      <c r="I64">
        <v>0</v>
      </c>
      <c r="J64" t="s">
        <v>649</v>
      </c>
      <c r="K64" s="22">
        <v>45530</v>
      </c>
      <c r="M64">
        <v>7.8766937255859384</v>
      </c>
      <c r="N64">
        <v>3.3316612419134639E-2</v>
      </c>
      <c r="O64">
        <v>4.7299957275390616</v>
      </c>
      <c r="P64">
        <v>6.75</v>
      </c>
      <c r="Q64" t="s">
        <v>585</v>
      </c>
      <c r="R64">
        <v>2023</v>
      </c>
    </row>
    <row r="65" spans="1:18" hidden="1" x14ac:dyDescent="0.35">
      <c r="A65" t="s">
        <v>650</v>
      </c>
      <c r="B65" s="22">
        <v>44958</v>
      </c>
      <c r="C65">
        <v>248</v>
      </c>
      <c r="D65">
        <v>276.760009765625</v>
      </c>
      <c r="E65">
        <v>245.4700012207031</v>
      </c>
      <c r="F65">
        <v>249.41999816894531</v>
      </c>
      <c r="G65">
        <v>615501000</v>
      </c>
      <c r="H65">
        <v>245.8840026855469</v>
      </c>
      <c r="I65">
        <v>0.68</v>
      </c>
      <c r="J65" t="s">
        <v>649</v>
      </c>
      <c r="K65" s="22">
        <v>45530</v>
      </c>
      <c r="M65">
        <v>1.5871734619140621</v>
      </c>
      <c r="N65">
        <v>6.4969154844969346E-3</v>
      </c>
      <c r="O65">
        <v>1.4199981689453121</v>
      </c>
      <c r="P65">
        <v>28.760009765625</v>
      </c>
      <c r="Q65" t="s">
        <v>583</v>
      </c>
      <c r="R65">
        <v>2023</v>
      </c>
    </row>
    <row r="66" spans="1:18" hidden="1" x14ac:dyDescent="0.35">
      <c r="A66" t="s">
        <v>650</v>
      </c>
      <c r="B66" s="22">
        <v>44986</v>
      </c>
      <c r="C66">
        <v>250.75999450683591</v>
      </c>
      <c r="D66">
        <v>289.26998901367188</v>
      </c>
      <c r="E66">
        <v>245.61000061035159</v>
      </c>
      <c r="F66">
        <v>288.29998779296881</v>
      </c>
      <c r="G66">
        <v>747635000</v>
      </c>
      <c r="H66">
        <v>284.92471313476563</v>
      </c>
      <c r="I66">
        <v>0</v>
      </c>
      <c r="J66" t="s">
        <v>649</v>
      </c>
      <c r="K66" s="22">
        <v>45530</v>
      </c>
      <c r="M66">
        <v>39.04071044921875</v>
      </c>
      <c r="N66">
        <v>0.15588160496131501</v>
      </c>
      <c r="O66">
        <v>37.539993286132813</v>
      </c>
      <c r="P66">
        <v>38.509994506835938</v>
      </c>
      <c r="Q66" t="s">
        <v>583</v>
      </c>
      <c r="R66">
        <v>2023</v>
      </c>
    </row>
    <row r="67" spans="1:18" hidden="1" x14ac:dyDescent="0.35">
      <c r="A67" t="s">
        <v>650</v>
      </c>
      <c r="B67" s="22">
        <v>45017</v>
      </c>
      <c r="C67">
        <v>286.51998901367188</v>
      </c>
      <c r="D67">
        <v>308.92999267578119</v>
      </c>
      <c r="E67">
        <v>275.3699951171875</v>
      </c>
      <c r="F67">
        <v>307.260009765625</v>
      </c>
      <c r="G67">
        <v>551497100</v>
      </c>
      <c r="H67">
        <v>303.6627197265625</v>
      </c>
      <c r="I67">
        <v>0</v>
      </c>
      <c r="J67" t="s">
        <v>649</v>
      </c>
      <c r="K67" s="22">
        <v>45530</v>
      </c>
      <c r="M67">
        <v>18.738006591796879</v>
      </c>
      <c r="N67">
        <v>6.5764907302984899E-2</v>
      </c>
      <c r="O67">
        <v>20.740020751953121</v>
      </c>
      <c r="P67">
        <v>22.410003662109379</v>
      </c>
      <c r="Q67" t="s">
        <v>584</v>
      </c>
      <c r="R67">
        <v>2023</v>
      </c>
    </row>
    <row r="68" spans="1:18" hidden="1" x14ac:dyDescent="0.35">
      <c r="A68" t="s">
        <v>650</v>
      </c>
      <c r="B68" s="22">
        <v>45047</v>
      </c>
      <c r="C68">
        <v>306.97000122070313</v>
      </c>
      <c r="D68">
        <v>335.94000244140619</v>
      </c>
      <c r="E68">
        <v>303.39999389648438</v>
      </c>
      <c r="F68">
        <v>328.3900146484375</v>
      </c>
      <c r="G68">
        <v>600807200</v>
      </c>
      <c r="H68">
        <v>324.54534912109381</v>
      </c>
      <c r="I68">
        <v>0.68</v>
      </c>
      <c r="J68" t="s">
        <v>649</v>
      </c>
      <c r="K68" s="22">
        <v>45530</v>
      </c>
      <c r="M68">
        <v>20.88262939453125</v>
      </c>
      <c r="N68">
        <v>6.8769134320246339E-2</v>
      </c>
      <c r="O68">
        <v>21.420013427734379</v>
      </c>
      <c r="P68">
        <v>28.970001220703121</v>
      </c>
      <c r="Q68" t="s">
        <v>587</v>
      </c>
      <c r="R68">
        <v>2023</v>
      </c>
    </row>
    <row r="69" spans="1:18" hidden="1" x14ac:dyDescent="0.35">
      <c r="A69" t="s">
        <v>650</v>
      </c>
      <c r="B69" s="22">
        <v>45078</v>
      </c>
      <c r="C69">
        <v>325.92999267578119</v>
      </c>
      <c r="D69">
        <v>351.47000122070313</v>
      </c>
      <c r="E69">
        <v>322.5</v>
      </c>
      <c r="F69">
        <v>340.54000854492188</v>
      </c>
      <c r="G69">
        <v>547588700</v>
      </c>
      <c r="H69">
        <v>337.288818359375</v>
      </c>
      <c r="I69">
        <v>0</v>
      </c>
      <c r="J69" t="s">
        <v>649</v>
      </c>
      <c r="K69" s="22">
        <v>45530</v>
      </c>
      <c r="M69">
        <v>12.74346923828125</v>
      </c>
      <c r="N69">
        <v>3.6998670344747582E-2</v>
      </c>
      <c r="O69">
        <v>14.61001586914062</v>
      </c>
      <c r="P69">
        <v>25.540008544921879</v>
      </c>
      <c r="Q69" t="s">
        <v>589</v>
      </c>
      <c r="R69">
        <v>2023</v>
      </c>
    </row>
    <row r="70" spans="1:18" hidden="1" x14ac:dyDescent="0.35">
      <c r="A70" t="s">
        <v>650</v>
      </c>
      <c r="B70" s="22">
        <v>45108</v>
      </c>
      <c r="C70">
        <v>339.19000244140619</v>
      </c>
      <c r="D70">
        <v>366.77999877929688</v>
      </c>
      <c r="E70">
        <v>327</v>
      </c>
      <c r="F70">
        <v>335.92001342773438</v>
      </c>
      <c r="G70">
        <v>666764400</v>
      </c>
      <c r="H70">
        <v>332.71292114257813</v>
      </c>
      <c r="I70">
        <v>0</v>
      </c>
      <c r="J70" t="s">
        <v>649</v>
      </c>
      <c r="K70" s="22">
        <v>45530</v>
      </c>
      <c r="M70">
        <v>-4.575897216796875</v>
      </c>
      <c r="N70">
        <v>-1.3566673522233289E-2</v>
      </c>
      <c r="O70">
        <v>-3.269989013671875</v>
      </c>
      <c r="P70">
        <v>27.589996337890621</v>
      </c>
      <c r="Q70" t="s">
        <v>584</v>
      </c>
      <c r="R70">
        <v>2023</v>
      </c>
    </row>
    <row r="71" spans="1:18" hidden="1" x14ac:dyDescent="0.35">
      <c r="A71" t="s">
        <v>650</v>
      </c>
      <c r="B71" s="22">
        <v>45139</v>
      </c>
      <c r="C71">
        <v>335.19000244140619</v>
      </c>
      <c r="D71">
        <v>338.54000854492188</v>
      </c>
      <c r="E71">
        <v>311.54998779296881</v>
      </c>
      <c r="F71">
        <v>327.760009765625</v>
      </c>
      <c r="G71">
        <v>479456700</v>
      </c>
      <c r="H71">
        <v>324.630859375</v>
      </c>
      <c r="I71">
        <v>0.68</v>
      </c>
      <c r="J71" t="s">
        <v>649</v>
      </c>
      <c r="K71" s="22">
        <v>45530</v>
      </c>
      <c r="M71">
        <v>-8.082061767578125</v>
      </c>
      <c r="N71">
        <v>-2.4291507906434421E-2</v>
      </c>
      <c r="O71">
        <v>-7.42999267578125</v>
      </c>
      <c r="P71">
        <v>3.350006103515625</v>
      </c>
      <c r="Q71" t="s">
        <v>588</v>
      </c>
      <c r="R71">
        <v>2023</v>
      </c>
    </row>
    <row r="72" spans="1:18" hidden="1" x14ac:dyDescent="0.35">
      <c r="A72" t="s">
        <v>650</v>
      </c>
      <c r="B72" s="22">
        <v>45170</v>
      </c>
      <c r="C72">
        <v>331.30999755859381</v>
      </c>
      <c r="D72">
        <v>340.8599853515625</v>
      </c>
      <c r="E72">
        <v>309.45001220703119</v>
      </c>
      <c r="F72">
        <v>315.75</v>
      </c>
      <c r="G72">
        <v>416680700</v>
      </c>
      <c r="H72">
        <v>313.39764404296881</v>
      </c>
      <c r="I72">
        <v>0</v>
      </c>
      <c r="J72" t="s">
        <v>649</v>
      </c>
      <c r="K72" s="22">
        <v>45530</v>
      </c>
      <c r="M72">
        <v>-11.23321533203125</v>
      </c>
      <c r="N72">
        <v>-3.664269406817855E-2</v>
      </c>
      <c r="O72">
        <v>-15.55999755859375</v>
      </c>
      <c r="P72">
        <v>9.54998779296875</v>
      </c>
      <c r="Q72" t="s">
        <v>586</v>
      </c>
      <c r="R72">
        <v>2023</v>
      </c>
    </row>
    <row r="73" spans="1:18" hidden="1" x14ac:dyDescent="0.35">
      <c r="A73" t="s">
        <v>650</v>
      </c>
      <c r="B73" s="22">
        <v>45200</v>
      </c>
      <c r="C73">
        <v>316.27999877929688</v>
      </c>
      <c r="D73">
        <v>346.20001220703119</v>
      </c>
      <c r="E73">
        <v>311.20999145507813</v>
      </c>
      <c r="F73">
        <v>338.1099853515625</v>
      </c>
      <c r="G73">
        <v>540907000</v>
      </c>
      <c r="H73">
        <v>335.59103393554688</v>
      </c>
      <c r="I73">
        <v>0</v>
      </c>
      <c r="J73" t="s">
        <v>649</v>
      </c>
      <c r="K73" s="22">
        <v>45530</v>
      </c>
      <c r="M73">
        <v>22.193389892578121</v>
      </c>
      <c r="N73">
        <v>7.0815472213974662E-2</v>
      </c>
      <c r="O73">
        <v>21.829986572265621</v>
      </c>
      <c r="P73">
        <v>29.920013427734379</v>
      </c>
      <c r="Q73" t="s">
        <v>585</v>
      </c>
      <c r="R73">
        <v>2023</v>
      </c>
    </row>
    <row r="74" spans="1:18" hidden="1" x14ac:dyDescent="0.35">
      <c r="A74" t="s">
        <v>650</v>
      </c>
      <c r="B74" s="22">
        <v>45231</v>
      </c>
      <c r="C74">
        <v>339.79000854492188</v>
      </c>
      <c r="D74">
        <v>384.29998779296881</v>
      </c>
      <c r="E74">
        <v>339.64999389648438</v>
      </c>
      <c r="F74">
        <v>378.91000366210938</v>
      </c>
      <c r="G74">
        <v>563880300</v>
      </c>
      <c r="H74">
        <v>376.08709716796881</v>
      </c>
      <c r="I74">
        <v>0.75</v>
      </c>
      <c r="J74" t="s">
        <v>649</v>
      </c>
      <c r="K74" s="22">
        <v>45530</v>
      </c>
      <c r="M74">
        <v>40.496063232421882</v>
      </c>
      <c r="N74">
        <v>0.1206708469970903</v>
      </c>
      <c r="O74">
        <v>39.1199951171875</v>
      </c>
      <c r="P74">
        <v>44.509979248046882</v>
      </c>
      <c r="Q74" t="s">
        <v>583</v>
      </c>
      <c r="R74">
        <v>2023</v>
      </c>
    </row>
    <row r="75" spans="1:18" hidden="1" x14ac:dyDescent="0.35">
      <c r="A75" t="s">
        <v>650</v>
      </c>
      <c r="B75" s="22">
        <v>45261</v>
      </c>
      <c r="C75">
        <v>376.760009765625</v>
      </c>
      <c r="D75">
        <v>378.16000366210938</v>
      </c>
      <c r="E75">
        <v>362.89999389648438</v>
      </c>
      <c r="F75">
        <v>376.04000854492188</v>
      </c>
      <c r="G75">
        <v>522003700</v>
      </c>
      <c r="H75">
        <v>373.99600219726563</v>
      </c>
      <c r="I75">
        <v>0</v>
      </c>
      <c r="J75" t="s">
        <v>649</v>
      </c>
      <c r="K75" s="22">
        <v>45530</v>
      </c>
      <c r="M75">
        <v>-2.091094970703125</v>
      </c>
      <c r="N75">
        <v>-7.5743450672968171E-3</v>
      </c>
      <c r="O75">
        <v>-0.720001220703125</v>
      </c>
      <c r="P75">
        <v>1.399993896484375</v>
      </c>
      <c r="Q75" t="s">
        <v>586</v>
      </c>
      <c r="R75">
        <v>2023</v>
      </c>
    </row>
    <row r="76" spans="1:18" hidden="1" x14ac:dyDescent="0.35">
      <c r="A76" t="s">
        <v>652</v>
      </c>
      <c r="B76" s="22">
        <v>43466</v>
      </c>
      <c r="C76">
        <v>65.150001525878906</v>
      </c>
      <c r="D76">
        <v>76.830001831054688</v>
      </c>
      <c r="E76">
        <v>64.989997863769531</v>
      </c>
      <c r="F76">
        <v>76.44000244140625</v>
      </c>
      <c r="G76">
        <v>35948700</v>
      </c>
      <c r="H76">
        <v>70.615646362304688</v>
      </c>
      <c r="I76">
        <v>0</v>
      </c>
      <c r="J76" t="s">
        <v>651</v>
      </c>
      <c r="K76" s="22">
        <v>45530</v>
      </c>
      <c r="O76">
        <v>11.29000091552734</v>
      </c>
      <c r="P76">
        <v>11.680000305175779</v>
      </c>
      <c r="Q76" t="s">
        <v>588</v>
      </c>
      <c r="R76">
        <v>2019</v>
      </c>
    </row>
    <row r="77" spans="1:18" hidden="1" x14ac:dyDescent="0.35">
      <c r="A77" t="s">
        <v>652</v>
      </c>
      <c r="B77" s="22">
        <v>43497</v>
      </c>
      <c r="C77">
        <v>76.5</v>
      </c>
      <c r="D77">
        <v>79.209999084472656</v>
      </c>
      <c r="E77">
        <v>73.569999694824219</v>
      </c>
      <c r="F77">
        <v>78.160003662109375</v>
      </c>
      <c r="G77">
        <v>28811100</v>
      </c>
      <c r="H77">
        <v>72.204597473144531</v>
      </c>
      <c r="I77">
        <v>0</v>
      </c>
      <c r="J77" t="s">
        <v>651</v>
      </c>
      <c r="K77" s="22">
        <v>45530</v>
      </c>
      <c r="M77">
        <v>1.588951110839844</v>
      </c>
      <c r="N77">
        <v>2.250132346635603E-2</v>
      </c>
      <c r="O77">
        <v>1.660003662109375</v>
      </c>
      <c r="P77">
        <v>2.7099990844726558</v>
      </c>
      <c r="Q77" t="s">
        <v>586</v>
      </c>
      <c r="R77">
        <v>2019</v>
      </c>
    </row>
    <row r="78" spans="1:18" hidden="1" x14ac:dyDescent="0.35">
      <c r="A78" t="s">
        <v>652</v>
      </c>
      <c r="B78" s="22">
        <v>43525</v>
      </c>
      <c r="C78">
        <v>82.019996643066406</v>
      </c>
      <c r="D78">
        <v>84.959999084472656</v>
      </c>
      <c r="E78">
        <v>79.629997253417969</v>
      </c>
      <c r="F78">
        <v>83.970001220703125</v>
      </c>
      <c r="G78">
        <v>29805500</v>
      </c>
      <c r="H78">
        <v>77.5718994140625</v>
      </c>
      <c r="I78">
        <v>0</v>
      </c>
      <c r="J78" t="s">
        <v>651</v>
      </c>
      <c r="K78" s="22">
        <v>45530</v>
      </c>
      <c r="M78">
        <v>5.3673019409179688</v>
      </c>
      <c r="N78">
        <v>7.4334663336387941E-2</v>
      </c>
      <c r="O78">
        <v>1.950004577636719</v>
      </c>
      <c r="P78">
        <v>2.94000244140625</v>
      </c>
      <c r="Q78" t="s">
        <v>586</v>
      </c>
      <c r="R78">
        <v>2019</v>
      </c>
    </row>
    <row r="79" spans="1:18" hidden="1" x14ac:dyDescent="0.35">
      <c r="A79" t="s">
        <v>652</v>
      </c>
      <c r="B79" s="22">
        <v>43556</v>
      </c>
      <c r="C79">
        <v>83.55999755859375</v>
      </c>
      <c r="D79">
        <v>90.470001220703125</v>
      </c>
      <c r="E79">
        <v>83.370002746582031</v>
      </c>
      <c r="F79">
        <v>88.94000244140625</v>
      </c>
      <c r="G79">
        <v>20004800</v>
      </c>
      <c r="H79">
        <v>82.1632080078125</v>
      </c>
      <c r="I79">
        <v>0</v>
      </c>
      <c r="J79" t="s">
        <v>651</v>
      </c>
      <c r="K79" s="22">
        <v>45530</v>
      </c>
      <c r="M79">
        <v>4.59130859375</v>
      </c>
      <c r="N79">
        <v>5.9187818845449103E-2</v>
      </c>
      <c r="O79">
        <v>5.3800048828125</v>
      </c>
      <c r="P79">
        <v>6.910003662109375</v>
      </c>
      <c r="Q79" t="s">
        <v>587</v>
      </c>
      <c r="R79">
        <v>2019</v>
      </c>
    </row>
    <row r="80" spans="1:18" hidden="1" x14ac:dyDescent="0.35">
      <c r="A80" t="s">
        <v>652</v>
      </c>
      <c r="B80" s="22">
        <v>43586</v>
      </c>
      <c r="C80">
        <v>88.55999755859375</v>
      </c>
      <c r="D80">
        <v>89.370002746582031</v>
      </c>
      <c r="E80">
        <v>80.080001831054688</v>
      </c>
      <c r="F80">
        <v>81.400001525878906</v>
      </c>
      <c r="G80">
        <v>27857000</v>
      </c>
      <c r="H80">
        <v>75.197715759277344</v>
      </c>
      <c r="I80">
        <v>1.115</v>
      </c>
      <c r="J80" t="s">
        <v>651</v>
      </c>
      <c r="K80" s="22">
        <v>45530</v>
      </c>
      <c r="M80">
        <v>-6.9654922485351563</v>
      </c>
      <c r="N80">
        <v>-8.4776261620801097E-2</v>
      </c>
      <c r="O80">
        <v>-7.1599960327148438</v>
      </c>
      <c r="P80">
        <v>0.81000518798828125</v>
      </c>
      <c r="Q80" t="s">
        <v>583</v>
      </c>
      <c r="R80">
        <v>2019</v>
      </c>
    </row>
    <row r="81" spans="1:18" hidden="1" x14ac:dyDescent="0.35">
      <c r="A81" t="s">
        <v>652</v>
      </c>
      <c r="B81" s="22">
        <v>43617</v>
      </c>
      <c r="C81">
        <v>81.389999389648438</v>
      </c>
      <c r="D81">
        <v>90.589996337890625</v>
      </c>
      <c r="E81">
        <v>81.010002136230469</v>
      </c>
      <c r="F81">
        <v>88.510002136230469</v>
      </c>
      <c r="G81">
        <v>22049200</v>
      </c>
      <c r="H81">
        <v>82.81805419921875</v>
      </c>
      <c r="I81">
        <v>0</v>
      </c>
      <c r="J81" t="s">
        <v>651</v>
      </c>
      <c r="K81" s="22">
        <v>45530</v>
      </c>
      <c r="M81">
        <v>7.6203384399414063</v>
      </c>
      <c r="N81">
        <v>8.7346443207266145E-2</v>
      </c>
      <c r="O81">
        <v>7.1200027465820313</v>
      </c>
      <c r="P81">
        <v>9.1999969482421875</v>
      </c>
      <c r="Q81" t="s">
        <v>584</v>
      </c>
      <c r="R81">
        <v>2019</v>
      </c>
    </row>
    <row r="82" spans="1:18" hidden="1" x14ac:dyDescent="0.35">
      <c r="A82" t="s">
        <v>652</v>
      </c>
      <c r="B82" s="22">
        <v>43647</v>
      </c>
      <c r="C82">
        <v>88.55999755859375</v>
      </c>
      <c r="D82">
        <v>102.6999969482422</v>
      </c>
      <c r="E82">
        <v>85.25</v>
      </c>
      <c r="F82">
        <v>100.98000335693359</v>
      </c>
      <c r="G82">
        <v>50809700</v>
      </c>
      <c r="H82">
        <v>94.48614501953125</v>
      </c>
      <c r="I82">
        <v>0</v>
      </c>
      <c r="J82" t="s">
        <v>651</v>
      </c>
      <c r="K82" s="22">
        <v>45530</v>
      </c>
      <c r="M82">
        <v>11.6680908203125</v>
      </c>
      <c r="N82">
        <v>0.14088804564155219</v>
      </c>
      <c r="O82">
        <v>12.42000579833984</v>
      </c>
      <c r="P82">
        <v>14.139999389648439</v>
      </c>
      <c r="Q82" t="s">
        <v>587</v>
      </c>
      <c r="R82">
        <v>2019</v>
      </c>
    </row>
    <row r="83" spans="1:18" hidden="1" x14ac:dyDescent="0.35">
      <c r="A83" t="s">
        <v>652</v>
      </c>
      <c r="B83" s="22">
        <v>43678</v>
      </c>
      <c r="C83">
        <v>101.4899978637695</v>
      </c>
      <c r="D83">
        <v>102.5899963378906</v>
      </c>
      <c r="E83">
        <v>92.139999389648438</v>
      </c>
      <c r="F83">
        <v>94.5</v>
      </c>
      <c r="G83">
        <v>25327400</v>
      </c>
      <c r="H83">
        <v>88.4228515625</v>
      </c>
      <c r="I83">
        <v>0</v>
      </c>
      <c r="J83" t="s">
        <v>651</v>
      </c>
      <c r="K83" s="22">
        <v>45530</v>
      </c>
      <c r="M83">
        <v>-6.06329345703125</v>
      </c>
      <c r="N83">
        <v>-6.4171154104924688E-2</v>
      </c>
      <c r="O83">
        <v>-6.9899978637695313</v>
      </c>
      <c r="P83">
        <v>1.099998474121094</v>
      </c>
      <c r="Q83" t="s">
        <v>589</v>
      </c>
      <c r="R83">
        <v>2019</v>
      </c>
    </row>
    <row r="84" spans="1:18" hidden="1" x14ac:dyDescent="0.35">
      <c r="A84" t="s">
        <v>652</v>
      </c>
      <c r="B84" s="22">
        <v>43709</v>
      </c>
      <c r="C84">
        <v>93.680000305175781</v>
      </c>
      <c r="D84">
        <v>98.339996337890625</v>
      </c>
      <c r="E84">
        <v>92.099998474121094</v>
      </c>
      <c r="F84">
        <v>95.150001525878906</v>
      </c>
      <c r="G84">
        <v>23209800</v>
      </c>
      <c r="H84">
        <v>89.031044006347656</v>
      </c>
      <c r="I84">
        <v>0</v>
      </c>
      <c r="J84" t="s">
        <v>651</v>
      </c>
      <c r="K84" s="22">
        <v>45530</v>
      </c>
      <c r="M84">
        <v>0.60819244384765625</v>
      </c>
      <c r="N84">
        <v>6.8783230251736596E-3</v>
      </c>
      <c r="O84">
        <v>1.470001220703125</v>
      </c>
      <c r="P84">
        <v>4.6599960327148438</v>
      </c>
      <c r="Q84" t="s">
        <v>585</v>
      </c>
      <c r="R84">
        <v>2019</v>
      </c>
    </row>
    <row r="85" spans="1:18" hidden="1" x14ac:dyDescent="0.35">
      <c r="A85" t="s">
        <v>652</v>
      </c>
      <c r="B85" s="22">
        <v>43739</v>
      </c>
      <c r="C85">
        <v>94.589996337890625</v>
      </c>
      <c r="D85">
        <v>94.75</v>
      </c>
      <c r="E85">
        <v>79.959999084472656</v>
      </c>
      <c r="F85">
        <v>80.769996643066406</v>
      </c>
      <c r="G85">
        <v>31675100</v>
      </c>
      <c r="H85">
        <v>75.575798034667969</v>
      </c>
      <c r="I85">
        <v>0</v>
      </c>
      <c r="J85" t="s">
        <v>651</v>
      </c>
      <c r="K85" s="22">
        <v>45530</v>
      </c>
      <c r="M85">
        <v>-13.455245971679689</v>
      </c>
      <c r="N85">
        <v>-0.1511298439538272</v>
      </c>
      <c r="O85">
        <v>-13.819999694824221</v>
      </c>
      <c r="P85">
        <v>0.160003662109375</v>
      </c>
      <c r="Q85" t="s">
        <v>588</v>
      </c>
      <c r="R85">
        <v>2019</v>
      </c>
    </row>
    <row r="86" spans="1:18" hidden="1" x14ac:dyDescent="0.35">
      <c r="A86" t="s">
        <v>652</v>
      </c>
      <c r="B86" s="22">
        <v>43770</v>
      </c>
      <c r="C86">
        <v>80.339996337890625</v>
      </c>
      <c r="D86">
        <v>80.599998474121094</v>
      </c>
      <c r="E86">
        <v>77.900001525878906</v>
      </c>
      <c r="F86">
        <v>79.349998474121094</v>
      </c>
      <c r="G86">
        <v>23562400</v>
      </c>
      <c r="H86">
        <v>74.247116088867188</v>
      </c>
      <c r="I86">
        <v>0.89100000000000001</v>
      </c>
      <c r="J86" t="s">
        <v>651</v>
      </c>
      <c r="K86" s="22">
        <v>45530</v>
      </c>
      <c r="M86">
        <v>-1.328681945800781</v>
      </c>
      <c r="N86">
        <v>-1.758076300560563E-2</v>
      </c>
      <c r="O86">
        <v>-0.98999786376953125</v>
      </c>
      <c r="P86">
        <v>0.26000213623046881</v>
      </c>
      <c r="Q86" t="s">
        <v>586</v>
      </c>
      <c r="R86">
        <v>2019</v>
      </c>
    </row>
    <row r="87" spans="1:18" hidden="1" x14ac:dyDescent="0.35">
      <c r="A87" t="s">
        <v>652</v>
      </c>
      <c r="B87" s="22">
        <v>43800</v>
      </c>
      <c r="C87">
        <v>79.430000305175781</v>
      </c>
      <c r="D87">
        <v>83.349998474121094</v>
      </c>
      <c r="E87">
        <v>76.900001525878906</v>
      </c>
      <c r="F87">
        <v>82.040000915527344</v>
      </c>
      <c r="G87">
        <v>19051800</v>
      </c>
      <c r="H87">
        <v>77.628189086914063</v>
      </c>
      <c r="I87">
        <v>0</v>
      </c>
      <c r="J87" t="s">
        <v>651</v>
      </c>
      <c r="K87" s="22">
        <v>45530</v>
      </c>
      <c r="M87">
        <v>3.381072998046875</v>
      </c>
      <c r="N87">
        <v>3.3900472503267443E-2</v>
      </c>
      <c r="O87">
        <v>2.6100006103515621</v>
      </c>
      <c r="P87">
        <v>3.9199981689453121</v>
      </c>
      <c r="Q87" t="s">
        <v>585</v>
      </c>
      <c r="R87">
        <v>2019</v>
      </c>
    </row>
    <row r="88" spans="1:18" hidden="1" x14ac:dyDescent="0.35">
      <c r="A88" t="s">
        <v>652</v>
      </c>
      <c r="B88" s="22">
        <v>43831</v>
      </c>
      <c r="C88">
        <v>82.760002136230469</v>
      </c>
      <c r="D88">
        <v>83.540000915527344</v>
      </c>
      <c r="E88">
        <v>75.05999755859375</v>
      </c>
      <c r="F88">
        <v>75.300003051757813</v>
      </c>
      <c r="G88">
        <v>22133200</v>
      </c>
      <c r="H88">
        <v>71.250640869140625</v>
      </c>
      <c r="I88">
        <v>0</v>
      </c>
      <c r="J88" t="s">
        <v>651</v>
      </c>
      <c r="K88" s="22">
        <v>45530</v>
      </c>
      <c r="M88">
        <v>-6.3775482177734384</v>
      </c>
      <c r="N88">
        <v>-8.2155019363168713E-2</v>
      </c>
      <c r="O88">
        <v>-7.4599990844726563</v>
      </c>
      <c r="P88">
        <v>0.779998779296875</v>
      </c>
      <c r="Q88" t="s">
        <v>583</v>
      </c>
      <c r="R88">
        <v>2020</v>
      </c>
    </row>
    <row r="89" spans="1:18" hidden="1" x14ac:dyDescent="0.35">
      <c r="A89" t="s">
        <v>652</v>
      </c>
      <c r="B89" s="22">
        <v>43862</v>
      </c>
      <c r="C89">
        <v>75.239997863769531</v>
      </c>
      <c r="D89">
        <v>76.980003356933594</v>
      </c>
      <c r="E89">
        <v>55.400001525878913</v>
      </c>
      <c r="F89">
        <v>58.369998931884773</v>
      </c>
      <c r="G89">
        <v>38307200</v>
      </c>
      <c r="H89">
        <v>55.231071472167969</v>
      </c>
      <c r="I89">
        <v>0</v>
      </c>
      <c r="J89" t="s">
        <v>651</v>
      </c>
      <c r="K89" s="22">
        <v>45530</v>
      </c>
      <c r="M89">
        <v>-16.01956939697266</v>
      </c>
      <c r="N89">
        <v>-0.22483404294467471</v>
      </c>
      <c r="O89">
        <v>-16.869998931884769</v>
      </c>
      <c r="P89">
        <v>1.7400054931640621</v>
      </c>
      <c r="Q89" t="s">
        <v>584</v>
      </c>
      <c r="R89">
        <v>2020</v>
      </c>
    </row>
    <row r="90" spans="1:18" hidden="1" x14ac:dyDescent="0.35">
      <c r="A90" t="s">
        <v>652</v>
      </c>
      <c r="B90" s="22">
        <v>43891</v>
      </c>
      <c r="C90">
        <v>57.479999542236328</v>
      </c>
      <c r="D90">
        <v>58.659999847412109</v>
      </c>
      <c r="E90">
        <v>32.580001831054688</v>
      </c>
      <c r="F90">
        <v>44.119998931884773</v>
      </c>
      <c r="G90">
        <v>111428900</v>
      </c>
      <c r="H90">
        <v>41.747386932373047</v>
      </c>
      <c r="I90">
        <v>0</v>
      </c>
      <c r="J90" t="s">
        <v>651</v>
      </c>
      <c r="K90" s="22">
        <v>45530</v>
      </c>
      <c r="M90">
        <v>-13.48368453979492</v>
      </c>
      <c r="N90">
        <v>-0.24413226418984729</v>
      </c>
      <c r="O90">
        <v>-13.360000610351561</v>
      </c>
      <c r="P90">
        <v>1.180000305175781</v>
      </c>
      <c r="Q90" t="s">
        <v>585</v>
      </c>
      <c r="R90">
        <v>2020</v>
      </c>
    </row>
    <row r="91" spans="1:18" hidden="1" x14ac:dyDescent="0.35">
      <c r="A91" t="s">
        <v>652</v>
      </c>
      <c r="B91" s="22">
        <v>43922</v>
      </c>
      <c r="C91">
        <v>44.380001068115227</v>
      </c>
      <c r="D91">
        <v>49.939998626708977</v>
      </c>
      <c r="E91">
        <v>41.110000610351563</v>
      </c>
      <c r="F91">
        <v>46.520000457763672</v>
      </c>
      <c r="G91">
        <v>54800500</v>
      </c>
      <c r="H91">
        <v>44.018321990966797</v>
      </c>
      <c r="I91">
        <v>0</v>
      </c>
      <c r="J91" t="s">
        <v>651</v>
      </c>
      <c r="K91" s="22">
        <v>45530</v>
      </c>
      <c r="M91">
        <v>2.27093505859375</v>
      </c>
      <c r="N91">
        <v>5.4397134723057849E-2</v>
      </c>
      <c r="O91">
        <v>2.1399993896484379</v>
      </c>
      <c r="P91">
        <v>5.55999755859375</v>
      </c>
      <c r="Q91" t="s">
        <v>583</v>
      </c>
      <c r="R91">
        <v>2020</v>
      </c>
    </row>
    <row r="92" spans="1:18" hidden="1" x14ac:dyDescent="0.35">
      <c r="A92" t="s">
        <v>652</v>
      </c>
      <c r="B92" s="22">
        <v>43952</v>
      </c>
      <c r="C92">
        <v>46.400001525878913</v>
      </c>
      <c r="D92">
        <v>48.349998474121087</v>
      </c>
      <c r="E92">
        <v>37.930000305175781</v>
      </c>
      <c r="F92">
        <v>46.880001068115227</v>
      </c>
      <c r="G92">
        <v>63892600</v>
      </c>
      <c r="H92">
        <v>44.358963012695313</v>
      </c>
      <c r="I92">
        <v>0</v>
      </c>
      <c r="J92" t="s">
        <v>651</v>
      </c>
      <c r="K92" s="22">
        <v>45530</v>
      </c>
      <c r="M92">
        <v>0.34064102172851563</v>
      </c>
      <c r="N92">
        <v>7.7386200947786588E-3</v>
      </c>
      <c r="O92">
        <v>0.47999954223632813</v>
      </c>
      <c r="P92">
        <v>1.9499969482421879</v>
      </c>
      <c r="Q92" t="s">
        <v>586</v>
      </c>
      <c r="R92">
        <v>2020</v>
      </c>
    </row>
    <row r="93" spans="1:18" hidden="1" x14ac:dyDescent="0.35">
      <c r="A93" t="s">
        <v>652</v>
      </c>
      <c r="B93" s="22">
        <v>43983</v>
      </c>
      <c r="C93">
        <v>47.830001831054688</v>
      </c>
      <c r="D93">
        <v>58.659999847412109</v>
      </c>
      <c r="E93">
        <v>47.459999084472663</v>
      </c>
      <c r="F93">
        <v>49.299999237060547</v>
      </c>
      <c r="G93">
        <v>70357000</v>
      </c>
      <c r="H93">
        <v>46.648818969726563</v>
      </c>
      <c r="I93">
        <v>0.55100000000000005</v>
      </c>
      <c r="J93" t="s">
        <v>651</v>
      </c>
      <c r="K93" s="22">
        <v>45530</v>
      </c>
      <c r="M93">
        <v>2.28985595703125</v>
      </c>
      <c r="N93">
        <v>5.1621120175085577E-2</v>
      </c>
      <c r="O93">
        <v>1.4699974060058589</v>
      </c>
      <c r="P93">
        <v>10.82999801635742</v>
      </c>
      <c r="Q93" t="s">
        <v>587</v>
      </c>
      <c r="R93">
        <v>2020</v>
      </c>
    </row>
    <row r="94" spans="1:18" hidden="1" x14ac:dyDescent="0.35">
      <c r="A94" t="s">
        <v>652</v>
      </c>
      <c r="B94" s="22">
        <v>44013</v>
      </c>
      <c r="C94">
        <v>48.409999847412109</v>
      </c>
      <c r="D94">
        <v>58.549999237060547</v>
      </c>
      <c r="E94">
        <v>48.409999847412109</v>
      </c>
      <c r="F94">
        <v>54.430000305175781</v>
      </c>
      <c r="G94">
        <v>45816600</v>
      </c>
      <c r="H94">
        <v>51.997608184814453</v>
      </c>
      <c r="I94">
        <v>0</v>
      </c>
      <c r="J94" t="s">
        <v>651</v>
      </c>
      <c r="K94" s="22">
        <v>45530</v>
      </c>
      <c r="M94">
        <v>5.3487892150878906</v>
      </c>
      <c r="N94">
        <v>0.10405681840779479</v>
      </c>
      <c r="O94">
        <v>6.0200004577636719</v>
      </c>
      <c r="P94">
        <v>10.139999389648439</v>
      </c>
      <c r="Q94" t="s">
        <v>583</v>
      </c>
      <c r="R94">
        <v>2020</v>
      </c>
    </row>
    <row r="95" spans="1:18" hidden="1" x14ac:dyDescent="0.35">
      <c r="A95" t="s">
        <v>652</v>
      </c>
      <c r="B95" s="22">
        <v>44044</v>
      </c>
      <c r="C95">
        <v>54.290000915527337</v>
      </c>
      <c r="D95">
        <v>59.689998626708977</v>
      </c>
      <c r="E95">
        <v>53.650001525878913</v>
      </c>
      <c r="F95">
        <v>58.150001525878913</v>
      </c>
      <c r="G95">
        <v>29507700</v>
      </c>
      <c r="H95">
        <v>55.551368713378913</v>
      </c>
      <c r="I95">
        <v>0</v>
      </c>
      <c r="J95" t="s">
        <v>651</v>
      </c>
      <c r="K95" s="22">
        <v>45530</v>
      </c>
      <c r="M95">
        <v>3.5537605285644531</v>
      </c>
      <c r="N95">
        <v>6.8344684913576703E-2</v>
      </c>
      <c r="O95">
        <v>3.8600006103515621</v>
      </c>
      <c r="P95">
        <v>5.3999977111816406</v>
      </c>
      <c r="Q95" t="s">
        <v>584</v>
      </c>
      <c r="R95">
        <v>2020</v>
      </c>
    </row>
    <row r="96" spans="1:18" hidden="1" x14ac:dyDescent="0.35">
      <c r="A96" t="s">
        <v>652</v>
      </c>
      <c r="B96" s="22">
        <v>44075</v>
      </c>
      <c r="C96">
        <v>57.590000152587891</v>
      </c>
      <c r="D96">
        <v>60.849998474121087</v>
      </c>
      <c r="E96">
        <v>51.790000915527337</v>
      </c>
      <c r="F96">
        <v>53.880001068115227</v>
      </c>
      <c r="G96">
        <v>36720900</v>
      </c>
      <c r="H96">
        <v>51.472190856933587</v>
      </c>
      <c r="I96">
        <v>0</v>
      </c>
      <c r="J96" t="s">
        <v>651</v>
      </c>
      <c r="K96" s="22">
        <v>45530</v>
      </c>
      <c r="M96">
        <v>-4.0791778564453116</v>
      </c>
      <c r="N96">
        <v>-7.3430788404422742E-2</v>
      </c>
      <c r="O96">
        <v>-3.7099990844726558</v>
      </c>
      <c r="P96">
        <v>3.2599983215332031</v>
      </c>
      <c r="Q96" t="s">
        <v>588</v>
      </c>
      <c r="R96">
        <v>2020</v>
      </c>
    </row>
    <row r="97" spans="1:18" hidden="1" x14ac:dyDescent="0.35">
      <c r="A97" t="s">
        <v>652</v>
      </c>
      <c r="B97" s="22">
        <v>44105</v>
      </c>
      <c r="C97">
        <v>53.819999694824219</v>
      </c>
      <c r="D97">
        <v>60.150001525878913</v>
      </c>
      <c r="E97">
        <v>51.450000762939453</v>
      </c>
      <c r="F97">
        <v>51.909999847412109</v>
      </c>
      <c r="G97">
        <v>38230300</v>
      </c>
      <c r="H97">
        <v>49.590225219726563</v>
      </c>
      <c r="I97">
        <v>0</v>
      </c>
      <c r="J97" t="s">
        <v>651</v>
      </c>
      <c r="K97" s="22">
        <v>45530</v>
      </c>
      <c r="M97">
        <v>-1.881965637207031</v>
      </c>
      <c r="N97">
        <v>-3.6562753928171647E-2</v>
      </c>
      <c r="O97">
        <v>-1.9099998474121089</v>
      </c>
      <c r="P97">
        <v>6.3300018310546884</v>
      </c>
      <c r="Q97" t="s">
        <v>589</v>
      </c>
      <c r="R97">
        <v>2020</v>
      </c>
    </row>
    <row r="98" spans="1:18" hidden="1" x14ac:dyDescent="0.35">
      <c r="A98" t="s">
        <v>652</v>
      </c>
      <c r="B98" s="22">
        <v>44136</v>
      </c>
      <c r="C98">
        <v>52.139999389648438</v>
      </c>
      <c r="D98">
        <v>69.300003051757813</v>
      </c>
      <c r="E98">
        <v>51.669998168945313</v>
      </c>
      <c r="F98">
        <v>66.680000305175781</v>
      </c>
      <c r="G98">
        <v>41322200</v>
      </c>
      <c r="H98">
        <v>63.700180053710938</v>
      </c>
      <c r="I98">
        <v>0</v>
      </c>
      <c r="J98" t="s">
        <v>651</v>
      </c>
      <c r="K98" s="22">
        <v>45530</v>
      </c>
      <c r="M98">
        <v>14.10995483398438</v>
      </c>
      <c r="N98">
        <v>0.28453092855287321</v>
      </c>
      <c r="O98">
        <v>14.54000091552734</v>
      </c>
      <c r="P98">
        <v>17.160003662109379</v>
      </c>
      <c r="Q98" t="s">
        <v>585</v>
      </c>
      <c r="R98">
        <v>2020</v>
      </c>
    </row>
    <row r="99" spans="1:18" hidden="1" x14ac:dyDescent="0.35">
      <c r="A99" t="s">
        <v>652</v>
      </c>
      <c r="B99" s="22">
        <v>44166</v>
      </c>
      <c r="C99">
        <v>67.290000915527344</v>
      </c>
      <c r="D99">
        <v>72.099998474121094</v>
      </c>
      <c r="E99">
        <v>66.889999389648438</v>
      </c>
      <c r="F99">
        <v>69.910003662109375</v>
      </c>
      <c r="G99">
        <v>30523200</v>
      </c>
      <c r="H99">
        <v>66.785842895507813</v>
      </c>
      <c r="I99">
        <v>0</v>
      </c>
      <c r="J99" t="s">
        <v>651</v>
      </c>
      <c r="K99" s="22">
        <v>45530</v>
      </c>
      <c r="M99">
        <v>3.085662841796875</v>
      </c>
      <c r="N99">
        <v>4.8440362059849473E-2</v>
      </c>
      <c r="O99">
        <v>2.6200027465820308</v>
      </c>
      <c r="P99">
        <v>4.80999755859375</v>
      </c>
      <c r="Q99" t="s">
        <v>588</v>
      </c>
      <c r="R99">
        <v>2020</v>
      </c>
    </row>
    <row r="100" spans="1:18" hidden="1" x14ac:dyDescent="0.35">
      <c r="A100" t="s">
        <v>652</v>
      </c>
      <c r="B100" s="22">
        <v>44197</v>
      </c>
      <c r="C100">
        <v>71.779998779296875</v>
      </c>
      <c r="D100">
        <v>72.410003662109375</v>
      </c>
      <c r="E100">
        <v>62.529998779296882</v>
      </c>
      <c r="F100">
        <v>62.689998626708977</v>
      </c>
      <c r="G100">
        <v>28999000</v>
      </c>
      <c r="H100">
        <v>59.888481140136719</v>
      </c>
      <c r="I100">
        <v>0</v>
      </c>
      <c r="J100" t="s">
        <v>651</v>
      </c>
      <c r="K100" s="22">
        <v>45530</v>
      </c>
      <c r="M100">
        <v>-6.8973617553710938</v>
      </c>
      <c r="N100">
        <v>-0.10327570672569671</v>
      </c>
      <c r="O100">
        <v>-9.0900001525878906</v>
      </c>
      <c r="P100">
        <v>0.6300048828125</v>
      </c>
      <c r="Q100" t="s">
        <v>586</v>
      </c>
      <c r="R100">
        <v>2021</v>
      </c>
    </row>
    <row r="101" spans="1:18" hidden="1" x14ac:dyDescent="0.35">
      <c r="A101" t="s">
        <v>652</v>
      </c>
      <c r="B101" s="22">
        <v>44228</v>
      </c>
      <c r="C101">
        <v>64.430000305175781</v>
      </c>
      <c r="D101">
        <v>66.199996948242188</v>
      </c>
      <c r="E101">
        <v>57.130001068115227</v>
      </c>
      <c r="F101">
        <v>57.729999542236328</v>
      </c>
      <c r="G101">
        <v>39333400</v>
      </c>
      <c r="H101">
        <v>55.150138854980469</v>
      </c>
      <c r="I101">
        <v>0</v>
      </c>
      <c r="J101" t="s">
        <v>651</v>
      </c>
      <c r="K101" s="22">
        <v>45530</v>
      </c>
      <c r="M101">
        <v>-4.73834228515625</v>
      </c>
      <c r="N101">
        <v>-7.9119463919711364E-2</v>
      </c>
      <c r="O101">
        <v>-6.7000007629394531</v>
      </c>
      <c r="P101">
        <v>1.769996643066406</v>
      </c>
      <c r="Q101" t="s">
        <v>587</v>
      </c>
      <c r="R101">
        <v>2021</v>
      </c>
    </row>
    <row r="102" spans="1:18" hidden="1" x14ac:dyDescent="0.35">
      <c r="A102" t="s">
        <v>652</v>
      </c>
      <c r="B102" s="22">
        <v>44256</v>
      </c>
      <c r="C102">
        <v>59.119998931884773</v>
      </c>
      <c r="D102">
        <v>64.669998168945313</v>
      </c>
      <c r="E102">
        <v>58.5</v>
      </c>
      <c r="F102">
        <v>62.849998474121087</v>
      </c>
      <c r="G102">
        <v>36250100</v>
      </c>
      <c r="H102">
        <v>60.041332244873047</v>
      </c>
      <c r="I102">
        <v>0</v>
      </c>
      <c r="J102" t="s">
        <v>651</v>
      </c>
      <c r="K102" s="22">
        <v>45530</v>
      </c>
      <c r="M102">
        <v>4.8911933898925781</v>
      </c>
      <c r="N102">
        <v>8.8688705568737758E-2</v>
      </c>
      <c r="O102">
        <v>3.7299995422363281</v>
      </c>
      <c r="P102">
        <v>5.5499992370605469</v>
      </c>
      <c r="Q102" t="s">
        <v>587</v>
      </c>
      <c r="R102">
        <v>2021</v>
      </c>
    </row>
    <row r="103" spans="1:18" hidden="1" x14ac:dyDescent="0.35">
      <c r="A103" t="s">
        <v>652</v>
      </c>
      <c r="B103" s="22">
        <v>44287</v>
      </c>
      <c r="C103">
        <v>63.439998626708977</v>
      </c>
      <c r="D103">
        <v>72.279998779296875</v>
      </c>
      <c r="E103">
        <v>62.900001525878913</v>
      </c>
      <c r="F103">
        <v>70.959999084472656</v>
      </c>
      <c r="G103">
        <v>22382400</v>
      </c>
      <c r="H103">
        <v>67.788909912109375</v>
      </c>
      <c r="I103">
        <v>0</v>
      </c>
      <c r="J103" t="s">
        <v>651</v>
      </c>
      <c r="K103" s="22">
        <v>45530</v>
      </c>
      <c r="M103">
        <v>7.7475776672363281</v>
      </c>
      <c r="N103">
        <v>0.12903740345659531</v>
      </c>
      <c r="O103">
        <v>7.5200004577636719</v>
      </c>
      <c r="P103">
        <v>8.8400001525878906</v>
      </c>
      <c r="Q103" t="s">
        <v>589</v>
      </c>
      <c r="R103">
        <v>2021</v>
      </c>
    </row>
    <row r="104" spans="1:18" hidden="1" x14ac:dyDescent="0.35">
      <c r="A104" t="s">
        <v>652</v>
      </c>
      <c r="B104" s="22">
        <v>44317</v>
      </c>
      <c r="C104">
        <v>70.75</v>
      </c>
      <c r="D104">
        <v>76.319999694824219</v>
      </c>
      <c r="E104">
        <v>70.260002136230469</v>
      </c>
      <c r="F104">
        <v>75.769996643066406</v>
      </c>
      <c r="G104">
        <v>21616800</v>
      </c>
      <c r="H104">
        <v>72.383949279785156</v>
      </c>
      <c r="I104">
        <v>0.59599999999999997</v>
      </c>
      <c r="J104" t="s">
        <v>651</v>
      </c>
      <c r="K104" s="22">
        <v>45530</v>
      </c>
      <c r="M104">
        <v>4.5950393676757813</v>
      </c>
      <c r="N104">
        <v>6.7784633887435719E-2</v>
      </c>
      <c r="O104">
        <v>5.0199966430664063</v>
      </c>
      <c r="P104">
        <v>5.5699996948242188</v>
      </c>
      <c r="Q104" t="s">
        <v>584</v>
      </c>
      <c r="R104">
        <v>2021</v>
      </c>
    </row>
    <row r="105" spans="1:18" hidden="1" x14ac:dyDescent="0.35">
      <c r="A105" t="s">
        <v>652</v>
      </c>
      <c r="B105" s="22">
        <v>44348</v>
      </c>
      <c r="C105">
        <v>76.099998474121094</v>
      </c>
      <c r="D105">
        <v>79.669998168945313</v>
      </c>
      <c r="E105">
        <v>71.739997863769531</v>
      </c>
      <c r="F105">
        <v>72.010002136230469</v>
      </c>
      <c r="G105">
        <v>22522600</v>
      </c>
      <c r="H105">
        <v>69.369178771972656</v>
      </c>
      <c r="I105">
        <v>0</v>
      </c>
      <c r="J105" t="s">
        <v>651</v>
      </c>
      <c r="K105" s="22">
        <v>45530</v>
      </c>
      <c r="M105">
        <v>-3.0147705078125</v>
      </c>
      <c r="N105">
        <v>-4.9623791387352623E-2</v>
      </c>
      <c r="O105">
        <v>-4.089996337890625</v>
      </c>
      <c r="P105">
        <v>3.5699996948242192</v>
      </c>
      <c r="Q105" t="s">
        <v>588</v>
      </c>
      <c r="R105">
        <v>2021</v>
      </c>
    </row>
    <row r="106" spans="1:18" hidden="1" x14ac:dyDescent="0.35">
      <c r="A106" t="s">
        <v>652</v>
      </c>
      <c r="B106" s="22">
        <v>44378</v>
      </c>
      <c r="C106">
        <v>71.980003356933594</v>
      </c>
      <c r="D106">
        <v>72.400001525878906</v>
      </c>
      <c r="E106">
        <v>62.740001678466797</v>
      </c>
      <c r="F106">
        <v>62.979999542236328</v>
      </c>
      <c r="G106">
        <v>35855200</v>
      </c>
      <c r="H106">
        <v>60.670330047607422</v>
      </c>
      <c r="I106">
        <v>0</v>
      </c>
      <c r="J106" t="s">
        <v>651</v>
      </c>
      <c r="K106" s="22">
        <v>45530</v>
      </c>
      <c r="M106">
        <v>-8.6988487243652344</v>
      </c>
      <c r="N106">
        <v>-0.125399282406782</v>
      </c>
      <c r="O106">
        <v>-9.0000038146972656</v>
      </c>
      <c r="P106">
        <v>0.4199981689453125</v>
      </c>
      <c r="Q106" t="s">
        <v>589</v>
      </c>
      <c r="R106">
        <v>2021</v>
      </c>
    </row>
    <row r="107" spans="1:18" hidden="1" x14ac:dyDescent="0.35">
      <c r="A107" t="s">
        <v>652</v>
      </c>
      <c r="B107" s="22">
        <v>44409</v>
      </c>
      <c r="C107">
        <v>62.970001220703118</v>
      </c>
      <c r="D107">
        <v>63.639999389648438</v>
      </c>
      <c r="E107">
        <v>59.369998931884773</v>
      </c>
      <c r="F107">
        <v>61.25</v>
      </c>
      <c r="G107">
        <v>29203200</v>
      </c>
      <c r="H107">
        <v>59.003776550292969</v>
      </c>
      <c r="I107">
        <v>0</v>
      </c>
      <c r="J107" t="s">
        <v>651</v>
      </c>
      <c r="K107" s="22">
        <v>45530</v>
      </c>
      <c r="M107">
        <v>-1.6665534973144529</v>
      </c>
      <c r="N107">
        <v>-2.7469030721032909E-2</v>
      </c>
      <c r="O107">
        <v>-1.720001220703125</v>
      </c>
      <c r="P107">
        <v>0.6699981689453125</v>
      </c>
      <c r="Q107" t="s">
        <v>585</v>
      </c>
      <c r="R107">
        <v>2021</v>
      </c>
    </row>
    <row r="108" spans="1:18" hidden="1" x14ac:dyDescent="0.35">
      <c r="A108" t="s">
        <v>652</v>
      </c>
      <c r="B108" s="22">
        <v>44440</v>
      </c>
      <c r="C108">
        <v>62.400001525878913</v>
      </c>
      <c r="D108">
        <v>62.540000915527337</v>
      </c>
      <c r="E108">
        <v>56.369998931884773</v>
      </c>
      <c r="F108">
        <v>56.380001068115227</v>
      </c>
      <c r="G108">
        <v>37202200</v>
      </c>
      <c r="H108">
        <v>54.3123779296875</v>
      </c>
      <c r="I108">
        <v>0</v>
      </c>
      <c r="J108" t="s">
        <v>651</v>
      </c>
      <c r="K108" s="22">
        <v>45530</v>
      </c>
      <c r="M108">
        <v>-4.6913986206054688</v>
      </c>
      <c r="N108">
        <v>-7.9510186643016567E-2</v>
      </c>
      <c r="O108">
        <v>-6.0200004577636719</v>
      </c>
      <c r="P108">
        <v>0.1399993896484375</v>
      </c>
      <c r="Q108" t="s">
        <v>583</v>
      </c>
      <c r="R108">
        <v>2021</v>
      </c>
    </row>
    <row r="109" spans="1:18" hidden="1" x14ac:dyDescent="0.35">
      <c r="A109" t="s">
        <v>652</v>
      </c>
      <c r="B109" s="22">
        <v>44470</v>
      </c>
      <c r="C109">
        <v>56.700000762939453</v>
      </c>
      <c r="D109">
        <v>64.389999389648438</v>
      </c>
      <c r="E109">
        <v>54.080001831054688</v>
      </c>
      <c r="F109">
        <v>61.220001220703118</v>
      </c>
      <c r="G109">
        <v>78074000</v>
      </c>
      <c r="H109">
        <v>58.974876403808587</v>
      </c>
      <c r="I109">
        <v>0</v>
      </c>
      <c r="J109" t="s">
        <v>651</v>
      </c>
      <c r="K109" s="22">
        <v>45530</v>
      </c>
      <c r="M109">
        <v>4.6624984741210938</v>
      </c>
      <c r="N109">
        <v>8.584604577677224E-2</v>
      </c>
      <c r="O109">
        <v>4.5200004577636719</v>
      </c>
      <c r="P109">
        <v>7.6899986267089844</v>
      </c>
      <c r="Q109" t="s">
        <v>586</v>
      </c>
      <c r="R109">
        <v>2021</v>
      </c>
    </row>
    <row r="110" spans="1:18" hidden="1" x14ac:dyDescent="0.35">
      <c r="A110" t="s">
        <v>652</v>
      </c>
      <c r="B110" s="22">
        <v>44501</v>
      </c>
      <c r="C110">
        <v>60.209999084472663</v>
      </c>
      <c r="D110">
        <v>61.25</v>
      </c>
      <c r="E110">
        <v>55.119998931884773</v>
      </c>
      <c r="F110">
        <v>55.720001220703118</v>
      </c>
      <c r="G110">
        <v>36028200</v>
      </c>
      <c r="H110">
        <v>53.676578521728523</v>
      </c>
      <c r="I110">
        <v>0</v>
      </c>
      <c r="J110" t="s">
        <v>651</v>
      </c>
      <c r="K110" s="22">
        <v>45530</v>
      </c>
      <c r="M110">
        <v>-5.2982978820800781</v>
      </c>
      <c r="N110">
        <v>-8.9839919802876977E-2</v>
      </c>
      <c r="O110">
        <v>-4.4899978637695313</v>
      </c>
      <c r="P110">
        <v>1.040000915527344</v>
      </c>
      <c r="Q110" t="s">
        <v>587</v>
      </c>
      <c r="R110">
        <v>2021</v>
      </c>
    </row>
    <row r="111" spans="1:18" hidden="1" x14ac:dyDescent="0.35">
      <c r="A111" t="s">
        <v>652</v>
      </c>
      <c r="B111" s="22">
        <v>44531</v>
      </c>
      <c r="C111">
        <v>56.680000305175781</v>
      </c>
      <c r="D111">
        <v>60.930000305175781</v>
      </c>
      <c r="E111">
        <v>54.889999389648438</v>
      </c>
      <c r="F111">
        <v>60.549999237060547</v>
      </c>
      <c r="G111">
        <v>35807000</v>
      </c>
      <c r="H111">
        <v>58.329444885253913</v>
      </c>
      <c r="I111">
        <v>0</v>
      </c>
      <c r="J111" t="s">
        <v>651</v>
      </c>
      <c r="K111" s="22">
        <v>45530</v>
      </c>
      <c r="M111">
        <v>4.6528663635253906</v>
      </c>
      <c r="N111">
        <v>8.668337958619432E-2</v>
      </c>
      <c r="O111">
        <v>3.8699989318847661</v>
      </c>
      <c r="P111">
        <v>4.25</v>
      </c>
      <c r="Q111" t="s">
        <v>583</v>
      </c>
      <c r="R111">
        <v>2021</v>
      </c>
    </row>
    <row r="112" spans="1:18" hidden="1" x14ac:dyDescent="0.35">
      <c r="A112" t="s">
        <v>652</v>
      </c>
      <c r="B112" s="22">
        <v>44562</v>
      </c>
      <c r="C112">
        <v>62.430000305175781</v>
      </c>
      <c r="D112">
        <v>67.910003662109375</v>
      </c>
      <c r="E112">
        <v>61.439998626708977</v>
      </c>
      <c r="F112">
        <v>63.069999694824219</v>
      </c>
      <c r="G112">
        <v>30706100</v>
      </c>
      <c r="H112">
        <v>60.757034301757813</v>
      </c>
      <c r="I112">
        <v>0</v>
      </c>
      <c r="J112" t="s">
        <v>651</v>
      </c>
      <c r="K112" s="22">
        <v>45530</v>
      </c>
      <c r="M112">
        <v>2.4275894165039058</v>
      </c>
      <c r="N112">
        <v>4.1618505194319873E-2</v>
      </c>
      <c r="O112">
        <v>0.6399993896484375</v>
      </c>
      <c r="P112">
        <v>5.4800033569335938</v>
      </c>
      <c r="Q112" t="s">
        <v>584</v>
      </c>
      <c r="R112">
        <v>2022</v>
      </c>
    </row>
    <row r="113" spans="1:18" hidden="1" x14ac:dyDescent="0.35">
      <c r="A113" t="s">
        <v>652</v>
      </c>
      <c r="B113" s="22">
        <v>44593</v>
      </c>
      <c r="C113">
        <v>64.010002136230469</v>
      </c>
      <c r="D113">
        <v>66.050003051757813</v>
      </c>
      <c r="E113">
        <v>59.700000762939453</v>
      </c>
      <c r="F113">
        <v>61.830001831054688</v>
      </c>
      <c r="G113">
        <v>26044200</v>
      </c>
      <c r="H113">
        <v>59.562511444091797</v>
      </c>
      <c r="I113">
        <v>0</v>
      </c>
      <c r="J113" t="s">
        <v>651</v>
      </c>
      <c r="K113" s="22">
        <v>45530</v>
      </c>
      <c r="M113">
        <v>-1.1945228576660161</v>
      </c>
      <c r="N113">
        <v>-1.966066069081163E-2</v>
      </c>
      <c r="O113">
        <v>-2.1800003051757808</v>
      </c>
      <c r="P113">
        <v>2.0400009155273442</v>
      </c>
      <c r="Q113" t="s">
        <v>588</v>
      </c>
      <c r="R113">
        <v>2022</v>
      </c>
    </row>
    <row r="114" spans="1:18" hidden="1" x14ac:dyDescent="0.35">
      <c r="A114" t="s">
        <v>652</v>
      </c>
      <c r="B114" s="22">
        <v>44621</v>
      </c>
      <c r="C114">
        <v>59.939998626708977</v>
      </c>
      <c r="D114">
        <v>62.560001373291023</v>
      </c>
      <c r="E114">
        <v>52.650001525878913</v>
      </c>
      <c r="F114">
        <v>60.060001373291023</v>
      </c>
      <c r="G114">
        <v>49922400</v>
      </c>
      <c r="H114">
        <v>57.857421875</v>
      </c>
      <c r="I114">
        <v>0</v>
      </c>
      <c r="J114" t="s">
        <v>651</v>
      </c>
      <c r="K114" s="22">
        <v>45530</v>
      </c>
      <c r="M114">
        <v>-1.7050895690917971</v>
      </c>
      <c r="N114">
        <v>-2.8626886711083269E-2</v>
      </c>
      <c r="O114">
        <v>0.12000274658203119</v>
      </c>
      <c r="P114">
        <v>2.6200027465820308</v>
      </c>
      <c r="Q114" t="s">
        <v>588</v>
      </c>
      <c r="R114">
        <v>2022</v>
      </c>
    </row>
    <row r="115" spans="1:18" hidden="1" x14ac:dyDescent="0.35">
      <c r="A115" t="s">
        <v>652</v>
      </c>
      <c r="B115" s="22">
        <v>44652</v>
      </c>
      <c r="C115">
        <v>60.790000915527337</v>
      </c>
      <c r="D115">
        <v>63.450000762939453</v>
      </c>
      <c r="E115">
        <v>56.520000457763672</v>
      </c>
      <c r="F115">
        <v>57.450000762939453</v>
      </c>
      <c r="G115">
        <v>23393600</v>
      </c>
      <c r="H115">
        <v>55.343132019042969</v>
      </c>
      <c r="I115">
        <v>0</v>
      </c>
      <c r="J115" t="s">
        <v>651</v>
      </c>
      <c r="K115" s="22">
        <v>45530</v>
      </c>
      <c r="M115">
        <v>-2.5142898559570308</v>
      </c>
      <c r="N115">
        <v>-4.345655262525927E-2</v>
      </c>
      <c r="O115">
        <v>-3.3400001525878911</v>
      </c>
      <c r="P115">
        <v>2.6599998474121089</v>
      </c>
      <c r="Q115" t="s">
        <v>586</v>
      </c>
      <c r="R115">
        <v>2022</v>
      </c>
    </row>
    <row r="116" spans="1:18" hidden="1" x14ac:dyDescent="0.35">
      <c r="A116" t="s">
        <v>652</v>
      </c>
      <c r="B116" s="22">
        <v>44682</v>
      </c>
      <c r="C116">
        <v>56.979999542236328</v>
      </c>
      <c r="D116">
        <v>58.369998931884773</v>
      </c>
      <c r="E116">
        <v>53.430000305175781</v>
      </c>
      <c r="F116">
        <v>56.700000762939453</v>
      </c>
      <c r="G116">
        <v>31221800</v>
      </c>
      <c r="H116">
        <v>54.620643615722663</v>
      </c>
      <c r="I116">
        <v>0.54300000000000004</v>
      </c>
      <c r="J116" t="s">
        <v>651</v>
      </c>
      <c r="K116" s="22">
        <v>45530</v>
      </c>
      <c r="M116">
        <v>-0.7224884033203125</v>
      </c>
      <c r="N116">
        <v>-1.3054830113837349E-2</v>
      </c>
      <c r="O116">
        <v>-0.279998779296875</v>
      </c>
      <c r="P116">
        <v>1.3899993896484379</v>
      </c>
      <c r="Q116" t="s">
        <v>585</v>
      </c>
      <c r="R116">
        <v>2022</v>
      </c>
    </row>
    <row r="117" spans="1:18" hidden="1" x14ac:dyDescent="0.35">
      <c r="A117" t="s">
        <v>652</v>
      </c>
      <c r="B117" s="22">
        <v>44713</v>
      </c>
      <c r="C117">
        <v>56.400001525878913</v>
      </c>
      <c r="D117">
        <v>56.590000152587891</v>
      </c>
      <c r="E117">
        <v>50.590000152587891</v>
      </c>
      <c r="F117">
        <v>53.950000762939453</v>
      </c>
      <c r="G117">
        <v>29509300</v>
      </c>
      <c r="H117">
        <v>52.476444244384773</v>
      </c>
      <c r="I117">
        <v>0</v>
      </c>
      <c r="J117" t="s">
        <v>651</v>
      </c>
      <c r="K117" s="22">
        <v>45530</v>
      </c>
      <c r="M117">
        <v>-2.1441993713378911</v>
      </c>
      <c r="N117">
        <v>-4.8500881181600793E-2</v>
      </c>
      <c r="O117">
        <v>-2.4500007629394531</v>
      </c>
      <c r="P117">
        <v>0.1899986267089844</v>
      </c>
      <c r="Q117" t="s">
        <v>583</v>
      </c>
      <c r="R117">
        <v>2022</v>
      </c>
    </row>
    <row r="118" spans="1:18" hidden="1" x14ac:dyDescent="0.35">
      <c r="A118" t="s">
        <v>652</v>
      </c>
      <c r="B118" s="22">
        <v>44743</v>
      </c>
      <c r="C118">
        <v>53.919998168945313</v>
      </c>
      <c r="D118">
        <v>56.240001678466797</v>
      </c>
      <c r="E118">
        <v>51.919998168945313</v>
      </c>
      <c r="F118">
        <v>53.540000915527337</v>
      </c>
      <c r="G118">
        <v>24604300</v>
      </c>
      <c r="H118">
        <v>52.077644348144531</v>
      </c>
      <c r="I118">
        <v>0</v>
      </c>
      <c r="J118" t="s">
        <v>651</v>
      </c>
      <c r="K118" s="22">
        <v>45530</v>
      </c>
      <c r="M118">
        <v>-0.39879989624023438</v>
      </c>
      <c r="N118">
        <v>-7.5996263505848649E-3</v>
      </c>
      <c r="O118">
        <v>-0.37999725341796881</v>
      </c>
      <c r="P118">
        <v>2.3200035095214839</v>
      </c>
      <c r="Q118" t="s">
        <v>586</v>
      </c>
      <c r="R118">
        <v>2022</v>
      </c>
    </row>
    <row r="119" spans="1:18" hidden="1" x14ac:dyDescent="0.35">
      <c r="A119" t="s">
        <v>652</v>
      </c>
      <c r="B119" s="22">
        <v>44774</v>
      </c>
      <c r="C119">
        <v>53</v>
      </c>
      <c r="D119">
        <v>55.099998474121087</v>
      </c>
      <c r="E119">
        <v>48.360000610351563</v>
      </c>
      <c r="F119">
        <v>48.360000610351563</v>
      </c>
      <c r="G119">
        <v>32031000</v>
      </c>
      <c r="H119">
        <v>47.039127349853523</v>
      </c>
      <c r="I119">
        <v>0</v>
      </c>
      <c r="J119" t="s">
        <v>651</v>
      </c>
      <c r="K119" s="22">
        <v>45530</v>
      </c>
      <c r="M119">
        <v>-5.0385169982910156</v>
      </c>
      <c r="N119">
        <v>-9.6750097433664917E-2</v>
      </c>
      <c r="O119">
        <v>-4.6399993896484384</v>
      </c>
      <c r="P119">
        <v>2.0999984741210942</v>
      </c>
      <c r="Q119" t="s">
        <v>587</v>
      </c>
      <c r="R119">
        <v>2022</v>
      </c>
    </row>
    <row r="120" spans="1:18" hidden="1" x14ac:dyDescent="0.35">
      <c r="A120" t="s">
        <v>652</v>
      </c>
      <c r="B120" s="22">
        <v>44805</v>
      </c>
      <c r="C120">
        <v>47.470001220703118</v>
      </c>
      <c r="D120">
        <v>51.819999694824219</v>
      </c>
      <c r="E120">
        <v>44.680000305175781</v>
      </c>
      <c r="F120">
        <v>45.159999847412109</v>
      </c>
      <c r="G120">
        <v>32030200</v>
      </c>
      <c r="H120">
        <v>43.926528930664063</v>
      </c>
      <c r="I120">
        <v>0</v>
      </c>
      <c r="J120" t="s">
        <v>651</v>
      </c>
      <c r="K120" s="22">
        <v>45530</v>
      </c>
      <c r="M120">
        <v>-3.1125984191894531</v>
      </c>
      <c r="N120">
        <v>-6.6170403692147328E-2</v>
      </c>
      <c r="O120">
        <v>-2.3100013732910161</v>
      </c>
      <c r="P120">
        <v>4.3499984741210938</v>
      </c>
      <c r="Q120" t="s">
        <v>589</v>
      </c>
      <c r="R120">
        <v>2022</v>
      </c>
    </row>
    <row r="121" spans="1:18" hidden="1" x14ac:dyDescent="0.35">
      <c r="A121" t="s">
        <v>652</v>
      </c>
      <c r="B121" s="22">
        <v>44835</v>
      </c>
      <c r="C121">
        <v>44.990001678466797</v>
      </c>
      <c r="D121">
        <v>50.509998321533203</v>
      </c>
      <c r="E121">
        <v>44.509998321533203</v>
      </c>
      <c r="F121">
        <v>50.099998474121087</v>
      </c>
      <c r="G121">
        <v>33321300</v>
      </c>
      <c r="H121">
        <v>48.731601715087891</v>
      </c>
      <c r="I121">
        <v>0</v>
      </c>
      <c r="J121" t="s">
        <v>651</v>
      </c>
      <c r="K121" s="22">
        <v>45530</v>
      </c>
      <c r="M121">
        <v>4.8050727844238281</v>
      </c>
      <c r="N121">
        <v>0.1093888096412841</v>
      </c>
      <c r="O121">
        <v>5.1099967956542969</v>
      </c>
      <c r="P121">
        <v>5.5199966430664063</v>
      </c>
      <c r="Q121" t="s">
        <v>584</v>
      </c>
      <c r="R121">
        <v>2022</v>
      </c>
    </row>
    <row r="122" spans="1:18" hidden="1" x14ac:dyDescent="0.35">
      <c r="A122" t="s">
        <v>652</v>
      </c>
      <c r="B122" s="22">
        <v>44866</v>
      </c>
      <c r="C122">
        <v>51.439998626708977</v>
      </c>
      <c r="D122">
        <v>59.099998474121087</v>
      </c>
      <c r="E122">
        <v>48.689998626708977</v>
      </c>
      <c r="F122">
        <v>58.889999389648438</v>
      </c>
      <c r="G122">
        <v>29602100</v>
      </c>
      <c r="H122">
        <v>57.281517028808587</v>
      </c>
      <c r="I122">
        <v>0</v>
      </c>
      <c r="J122" t="s">
        <v>651</v>
      </c>
      <c r="K122" s="22">
        <v>45530</v>
      </c>
      <c r="M122">
        <v>8.5499153137207031</v>
      </c>
      <c r="N122">
        <v>0.1754491254140014</v>
      </c>
      <c r="O122">
        <v>7.4500007629394531</v>
      </c>
      <c r="P122">
        <v>7.6599998474121094</v>
      </c>
      <c r="Q122" t="s">
        <v>588</v>
      </c>
      <c r="R122">
        <v>2022</v>
      </c>
    </row>
    <row r="123" spans="1:18" hidden="1" x14ac:dyDescent="0.35">
      <c r="A123" t="s">
        <v>652</v>
      </c>
      <c r="B123" s="22">
        <v>44896</v>
      </c>
      <c r="C123">
        <v>59.909999847412109</v>
      </c>
      <c r="D123">
        <v>61.630001068115227</v>
      </c>
      <c r="E123">
        <v>58.799999237060547</v>
      </c>
      <c r="F123">
        <v>60.040000915527337</v>
      </c>
      <c r="G123">
        <v>19991100</v>
      </c>
      <c r="H123">
        <v>58.400108337402337</v>
      </c>
      <c r="I123">
        <v>0</v>
      </c>
      <c r="J123" t="s">
        <v>651</v>
      </c>
      <c r="K123" s="22">
        <v>45530</v>
      </c>
      <c r="M123">
        <v>1.11859130859375</v>
      </c>
      <c r="N123">
        <v>1.952795954827358E-2</v>
      </c>
      <c r="O123">
        <v>0.1300010681152344</v>
      </c>
      <c r="P123">
        <v>1.720001220703125</v>
      </c>
      <c r="Q123" t="s">
        <v>589</v>
      </c>
      <c r="R123">
        <v>2022</v>
      </c>
    </row>
    <row r="124" spans="1:18" hidden="1" x14ac:dyDescent="0.35">
      <c r="A124" t="s">
        <v>652</v>
      </c>
      <c r="B124" s="22">
        <v>44927</v>
      </c>
      <c r="C124">
        <v>60.310001373291023</v>
      </c>
      <c r="D124">
        <v>61.889999389648438</v>
      </c>
      <c r="E124">
        <v>58.330001831054688</v>
      </c>
      <c r="F124">
        <v>60.290000915527337</v>
      </c>
      <c r="G124">
        <v>29071300</v>
      </c>
      <c r="H124">
        <v>58.643280029296882</v>
      </c>
      <c r="I124">
        <v>0</v>
      </c>
      <c r="J124" t="s">
        <v>651</v>
      </c>
      <c r="K124" s="22">
        <v>45530</v>
      </c>
      <c r="M124">
        <v>0.24317169189453119</v>
      </c>
      <c r="N124">
        <v>4.1638906760133043E-3</v>
      </c>
      <c r="O124">
        <v>-2.0000457763671878E-2</v>
      </c>
      <c r="P124">
        <v>1.5799980163574221</v>
      </c>
      <c r="Q124" t="s">
        <v>585</v>
      </c>
      <c r="R124">
        <v>2023</v>
      </c>
    </row>
    <row r="125" spans="1:18" hidden="1" x14ac:dyDescent="0.35">
      <c r="A125" t="s">
        <v>652</v>
      </c>
      <c r="B125" s="22">
        <v>44958</v>
      </c>
      <c r="C125">
        <v>60.659999847412109</v>
      </c>
      <c r="D125">
        <v>61.209999084472663</v>
      </c>
      <c r="E125">
        <v>57.790000915527337</v>
      </c>
      <c r="F125">
        <v>60.700000762939453</v>
      </c>
      <c r="G125">
        <v>24539700</v>
      </c>
      <c r="H125">
        <v>59.042083740234382</v>
      </c>
      <c r="I125">
        <v>0</v>
      </c>
      <c r="J125" t="s">
        <v>651</v>
      </c>
      <c r="K125" s="22">
        <v>45530</v>
      </c>
      <c r="M125">
        <v>0.3988037109375</v>
      </c>
      <c r="N125">
        <v>6.8004617877939211E-3</v>
      </c>
      <c r="O125">
        <v>4.000091552734375E-2</v>
      </c>
      <c r="P125">
        <v>0.54999923706054688</v>
      </c>
      <c r="Q125" t="s">
        <v>583</v>
      </c>
      <c r="R125">
        <v>2023</v>
      </c>
    </row>
    <row r="126" spans="1:18" hidden="1" x14ac:dyDescent="0.35">
      <c r="A126" t="s">
        <v>652</v>
      </c>
      <c r="B126" s="22">
        <v>44986</v>
      </c>
      <c r="C126">
        <v>61.200000762939453</v>
      </c>
      <c r="D126">
        <v>67.089996337890625</v>
      </c>
      <c r="E126">
        <v>58.259998321533203</v>
      </c>
      <c r="F126">
        <v>66.730003356933594</v>
      </c>
      <c r="G126">
        <v>40641600</v>
      </c>
      <c r="H126">
        <v>64.907386779785156</v>
      </c>
      <c r="I126">
        <v>0</v>
      </c>
      <c r="J126" t="s">
        <v>651</v>
      </c>
      <c r="K126" s="22">
        <v>45530</v>
      </c>
      <c r="M126">
        <v>5.8653030395507813</v>
      </c>
      <c r="N126">
        <v>9.9341062902848831E-2</v>
      </c>
      <c r="O126">
        <v>5.5300025939941406</v>
      </c>
      <c r="P126">
        <v>5.8899955749511719</v>
      </c>
      <c r="Q126" t="s">
        <v>583</v>
      </c>
      <c r="R126">
        <v>2023</v>
      </c>
    </row>
    <row r="127" spans="1:18" hidden="1" x14ac:dyDescent="0.35">
      <c r="A127" t="s">
        <v>652</v>
      </c>
      <c r="B127" s="22">
        <v>45017</v>
      </c>
      <c r="C127">
        <v>66.519996643066406</v>
      </c>
      <c r="D127">
        <v>67.010002136230469</v>
      </c>
      <c r="E127">
        <v>63.349998474121087</v>
      </c>
      <c r="F127">
        <v>64.970001220703125</v>
      </c>
      <c r="G127">
        <v>52229600</v>
      </c>
      <c r="H127">
        <v>63.195449829101563</v>
      </c>
      <c r="I127">
        <v>0</v>
      </c>
      <c r="J127" t="s">
        <v>651</v>
      </c>
      <c r="K127" s="22">
        <v>45530</v>
      </c>
      <c r="M127">
        <v>-1.711936950683594</v>
      </c>
      <c r="N127">
        <v>-2.6374974489606351E-2</v>
      </c>
      <c r="O127">
        <v>-1.549995422363281</v>
      </c>
      <c r="P127">
        <v>0.4900054931640625</v>
      </c>
      <c r="Q127" t="s">
        <v>584</v>
      </c>
      <c r="R127">
        <v>2023</v>
      </c>
    </row>
    <row r="128" spans="1:18" hidden="1" x14ac:dyDescent="0.35">
      <c r="A128" t="s">
        <v>652</v>
      </c>
      <c r="B128" s="22">
        <v>45047</v>
      </c>
      <c r="C128">
        <v>65.110000610351563</v>
      </c>
      <c r="D128">
        <v>66.319999694824219</v>
      </c>
      <c r="E128">
        <v>52.930000305175781</v>
      </c>
      <c r="F128">
        <v>53.400001525878913</v>
      </c>
      <c r="G128">
        <v>56934400</v>
      </c>
      <c r="H128">
        <v>51.94146728515625</v>
      </c>
      <c r="I128">
        <v>0.82399999999999995</v>
      </c>
      <c r="J128" t="s">
        <v>651</v>
      </c>
      <c r="K128" s="22">
        <v>45530</v>
      </c>
      <c r="M128">
        <v>-11.253982543945311</v>
      </c>
      <c r="N128">
        <v>-0.17808218373770571</v>
      </c>
      <c r="O128">
        <v>-11.70999908447266</v>
      </c>
      <c r="P128">
        <v>1.209999084472656</v>
      </c>
      <c r="Q128" t="s">
        <v>587</v>
      </c>
      <c r="R128">
        <v>2023</v>
      </c>
    </row>
    <row r="129" spans="1:18" hidden="1" x14ac:dyDescent="0.35">
      <c r="A129" t="s">
        <v>652</v>
      </c>
      <c r="B129" s="22">
        <v>45078</v>
      </c>
      <c r="C129">
        <v>53.709999084472663</v>
      </c>
      <c r="D129">
        <v>59.139999389648438</v>
      </c>
      <c r="E129">
        <v>53.509998321533203</v>
      </c>
      <c r="F129">
        <v>56.720001220703118</v>
      </c>
      <c r="G129">
        <v>58404100</v>
      </c>
      <c r="H129">
        <v>55.894157409667969</v>
      </c>
      <c r="I129">
        <v>0</v>
      </c>
      <c r="J129" t="s">
        <v>651</v>
      </c>
      <c r="K129" s="22">
        <v>45530</v>
      </c>
      <c r="M129">
        <v>3.9526901245117192</v>
      </c>
      <c r="N129">
        <v>6.2172277152749977E-2</v>
      </c>
      <c r="O129">
        <v>3.0100021362304692</v>
      </c>
      <c r="P129">
        <v>5.4300003051757813</v>
      </c>
      <c r="Q129" t="s">
        <v>589</v>
      </c>
      <c r="R129">
        <v>2023</v>
      </c>
    </row>
    <row r="130" spans="1:18" hidden="1" x14ac:dyDescent="0.35">
      <c r="A130" t="s">
        <v>652</v>
      </c>
      <c r="B130" s="22">
        <v>45108</v>
      </c>
      <c r="C130">
        <v>57</v>
      </c>
      <c r="D130">
        <v>59.209999084472663</v>
      </c>
      <c r="E130">
        <v>55.110000610351563</v>
      </c>
      <c r="F130">
        <v>57.299999237060547</v>
      </c>
      <c r="G130">
        <v>39791700</v>
      </c>
      <c r="H130">
        <v>56.465709686279297</v>
      </c>
      <c r="I130">
        <v>0</v>
      </c>
      <c r="J130" t="s">
        <v>651</v>
      </c>
      <c r="K130" s="22">
        <v>45530</v>
      </c>
      <c r="M130">
        <v>0.57155227661132813</v>
      </c>
      <c r="N130">
        <v>1.022563476507332E-2</v>
      </c>
      <c r="O130">
        <v>0.29999923706054688</v>
      </c>
      <c r="P130">
        <v>2.2099990844726558</v>
      </c>
      <c r="Q130" t="s">
        <v>584</v>
      </c>
      <c r="R130">
        <v>2023</v>
      </c>
    </row>
    <row r="131" spans="1:18" hidden="1" x14ac:dyDescent="0.35">
      <c r="A131" t="s">
        <v>652</v>
      </c>
      <c r="B131" s="22">
        <v>45139</v>
      </c>
      <c r="C131">
        <v>57.150001525878913</v>
      </c>
      <c r="D131">
        <v>58.279998779296882</v>
      </c>
      <c r="E131">
        <v>55.029998779296882</v>
      </c>
      <c r="F131">
        <v>56.889999389648438</v>
      </c>
      <c r="G131">
        <v>46485600</v>
      </c>
      <c r="H131">
        <v>56.061679840087891</v>
      </c>
      <c r="I131">
        <v>0</v>
      </c>
      <c r="J131" t="s">
        <v>651</v>
      </c>
      <c r="K131" s="22">
        <v>45530</v>
      </c>
      <c r="M131">
        <v>-0.40402984619140619</v>
      </c>
      <c r="N131">
        <v>-7.1553202944359962E-3</v>
      </c>
      <c r="O131">
        <v>-0.26000213623046881</v>
      </c>
      <c r="P131">
        <v>1.129997253417969</v>
      </c>
      <c r="Q131" t="s">
        <v>588</v>
      </c>
      <c r="R131">
        <v>2023</v>
      </c>
    </row>
    <row r="132" spans="1:18" hidden="1" x14ac:dyDescent="0.35">
      <c r="A132" t="s">
        <v>652</v>
      </c>
      <c r="B132" s="22">
        <v>45170</v>
      </c>
      <c r="C132">
        <v>56.909999847412109</v>
      </c>
      <c r="D132">
        <v>57.790000915527337</v>
      </c>
      <c r="E132">
        <v>53.130001068115227</v>
      </c>
      <c r="F132">
        <v>55.299999237060547</v>
      </c>
      <c r="G132">
        <v>37198500</v>
      </c>
      <c r="H132">
        <v>54.494827270507813</v>
      </c>
      <c r="I132">
        <v>0</v>
      </c>
      <c r="J132" t="s">
        <v>651</v>
      </c>
      <c r="K132" s="22">
        <v>45530</v>
      </c>
      <c r="M132">
        <v>-1.5668525695800779</v>
      </c>
      <c r="N132">
        <v>-2.794867585949035E-2</v>
      </c>
      <c r="O132">
        <v>-1.6100006103515621</v>
      </c>
      <c r="P132">
        <v>0.88000106811523438</v>
      </c>
      <c r="Q132" t="s">
        <v>586</v>
      </c>
      <c r="R132">
        <v>2023</v>
      </c>
    </row>
    <row r="133" spans="1:18" hidden="1" x14ac:dyDescent="0.35">
      <c r="A133" t="s">
        <v>652</v>
      </c>
      <c r="B133" s="22">
        <v>45200</v>
      </c>
      <c r="C133">
        <v>54.509998321533203</v>
      </c>
      <c r="D133">
        <v>56.979999542236328</v>
      </c>
      <c r="E133">
        <v>51.659999847412109</v>
      </c>
      <c r="F133">
        <v>56.869998931884773</v>
      </c>
      <c r="G133">
        <v>53019300</v>
      </c>
      <c r="H133">
        <v>56.041969299316413</v>
      </c>
      <c r="I133">
        <v>0</v>
      </c>
      <c r="J133" t="s">
        <v>651</v>
      </c>
      <c r="K133" s="22">
        <v>45530</v>
      </c>
      <c r="M133">
        <v>1.547142028808594</v>
      </c>
      <c r="N133">
        <v>2.839059161816504E-2</v>
      </c>
      <c r="O133">
        <v>2.3600006103515621</v>
      </c>
      <c r="P133">
        <v>2.470001220703125</v>
      </c>
      <c r="Q133" t="s">
        <v>585</v>
      </c>
      <c r="R133">
        <v>2023</v>
      </c>
    </row>
    <row r="134" spans="1:18" hidden="1" x14ac:dyDescent="0.35">
      <c r="A134" t="s">
        <v>652</v>
      </c>
      <c r="B134" s="22">
        <v>45231</v>
      </c>
      <c r="C134">
        <v>56.430000305175781</v>
      </c>
      <c r="D134">
        <v>63.229999542236328</v>
      </c>
      <c r="E134">
        <v>56.020000457763672</v>
      </c>
      <c r="F134">
        <v>62.930000305175781</v>
      </c>
      <c r="G134">
        <v>37890600</v>
      </c>
      <c r="H134">
        <v>62.013736724853523</v>
      </c>
      <c r="I134">
        <v>0</v>
      </c>
      <c r="J134" t="s">
        <v>651</v>
      </c>
      <c r="K134" s="22">
        <v>45530</v>
      </c>
      <c r="M134">
        <v>5.9717674255371094</v>
      </c>
      <c r="N134">
        <v>0.106558844506913</v>
      </c>
      <c r="O134">
        <v>6.5</v>
      </c>
      <c r="P134">
        <v>6.7999992370605469</v>
      </c>
      <c r="Q134" t="s">
        <v>583</v>
      </c>
      <c r="R134">
        <v>2023</v>
      </c>
    </row>
    <row r="135" spans="1:18" hidden="1" x14ac:dyDescent="0.35">
      <c r="A135" t="s">
        <v>652</v>
      </c>
      <c r="B135" s="22">
        <v>45261</v>
      </c>
      <c r="C135">
        <v>62.939998626708977</v>
      </c>
      <c r="D135">
        <v>65.010002136230469</v>
      </c>
      <c r="E135">
        <v>61.830001831054688</v>
      </c>
      <c r="F135">
        <v>64.620002746582031</v>
      </c>
      <c r="G135">
        <v>27113800</v>
      </c>
      <c r="H135">
        <v>63.679134368896477</v>
      </c>
      <c r="I135">
        <v>0</v>
      </c>
      <c r="J135" t="s">
        <v>651</v>
      </c>
      <c r="K135" s="22">
        <v>45530</v>
      </c>
      <c r="M135">
        <v>1.665397644042969</v>
      </c>
      <c r="N135">
        <v>2.68552746418349E-2</v>
      </c>
      <c r="O135">
        <v>1.6800041198730471</v>
      </c>
      <c r="P135">
        <v>2.0700035095214839</v>
      </c>
      <c r="Q135" t="s">
        <v>586</v>
      </c>
      <c r="R135">
        <v>2023</v>
      </c>
    </row>
    <row r="136" spans="1:18" hidden="1" x14ac:dyDescent="0.35">
      <c r="A136" t="s">
        <v>654</v>
      </c>
      <c r="B136" s="22">
        <v>43466</v>
      </c>
      <c r="C136">
        <v>258.3599853515625</v>
      </c>
      <c r="D136">
        <v>293.989990234375</v>
      </c>
      <c r="E136">
        <v>256.79000854492188</v>
      </c>
      <c r="F136">
        <v>289.69000244140619</v>
      </c>
      <c r="G136">
        <v>30270000</v>
      </c>
      <c r="H136">
        <v>249.99851989746091</v>
      </c>
      <c r="I136">
        <v>0</v>
      </c>
      <c r="J136" t="s">
        <v>653</v>
      </c>
      <c r="K136" s="22">
        <v>45530</v>
      </c>
      <c r="O136">
        <v>31.33001708984375</v>
      </c>
      <c r="P136">
        <v>35.6300048828125</v>
      </c>
      <c r="Q136" t="s">
        <v>588</v>
      </c>
      <c r="R136">
        <v>2019</v>
      </c>
    </row>
    <row r="137" spans="1:18" hidden="1" x14ac:dyDescent="0.35">
      <c r="A137" t="s">
        <v>654</v>
      </c>
      <c r="B137" s="22">
        <v>43497</v>
      </c>
      <c r="C137">
        <v>290.85000610351563</v>
      </c>
      <c r="D137">
        <v>311.75</v>
      </c>
      <c r="E137">
        <v>289.20001220703119</v>
      </c>
      <c r="F137">
        <v>309.41000366210938</v>
      </c>
      <c r="G137">
        <v>20388400</v>
      </c>
      <c r="H137">
        <v>267.01666259765619</v>
      </c>
      <c r="I137">
        <v>2.2000000000000002</v>
      </c>
      <c r="J137" t="s">
        <v>653</v>
      </c>
      <c r="K137" s="22">
        <v>45530</v>
      </c>
      <c r="M137">
        <v>17.018142700195309</v>
      </c>
      <c r="N137">
        <v>6.8072771081189698E-2</v>
      </c>
      <c r="O137">
        <v>18.55999755859375</v>
      </c>
      <c r="P137">
        <v>20.899993896484379</v>
      </c>
      <c r="Q137" t="s">
        <v>586</v>
      </c>
      <c r="R137">
        <v>2019</v>
      </c>
    </row>
    <row r="138" spans="1:18" hidden="1" x14ac:dyDescent="0.35">
      <c r="A138" t="s">
        <v>654</v>
      </c>
      <c r="B138" s="22">
        <v>43525</v>
      </c>
      <c r="C138">
        <v>311.55999755859381</v>
      </c>
      <c r="D138">
        <v>311.77999877929688</v>
      </c>
      <c r="E138">
        <v>292.52999877929688</v>
      </c>
      <c r="F138">
        <v>300.16000366210938</v>
      </c>
      <c r="G138">
        <v>26948300</v>
      </c>
      <c r="H138">
        <v>260.90011596679688</v>
      </c>
      <c r="I138">
        <v>0</v>
      </c>
      <c r="J138" t="s">
        <v>653</v>
      </c>
      <c r="K138" s="22">
        <v>45530</v>
      </c>
      <c r="M138">
        <v>-6.116546630859375</v>
      </c>
      <c r="N138">
        <v>-2.989560741578812E-2</v>
      </c>
      <c r="O138">
        <v>-11.39999389648438</v>
      </c>
      <c r="P138">
        <v>0.220001220703125</v>
      </c>
      <c r="Q138" t="s">
        <v>586</v>
      </c>
      <c r="R138">
        <v>2019</v>
      </c>
    </row>
    <row r="139" spans="1:18" hidden="1" x14ac:dyDescent="0.35">
      <c r="A139" t="s">
        <v>654</v>
      </c>
      <c r="B139" s="22">
        <v>43556</v>
      </c>
      <c r="C139">
        <v>302.55999755859381</v>
      </c>
      <c r="D139">
        <v>337.32000732421881</v>
      </c>
      <c r="E139">
        <v>296.1400146484375</v>
      </c>
      <c r="F139">
        <v>333.32998657226563</v>
      </c>
      <c r="G139">
        <v>24656200</v>
      </c>
      <c r="H139">
        <v>289.73153686523438</v>
      </c>
      <c r="I139">
        <v>0</v>
      </c>
      <c r="J139" t="s">
        <v>653</v>
      </c>
      <c r="K139" s="22">
        <v>45530</v>
      </c>
      <c r="M139">
        <v>28.8314208984375</v>
      </c>
      <c r="N139">
        <v>0.1105076709270558</v>
      </c>
      <c r="O139">
        <v>30.769989013671879</v>
      </c>
      <c r="P139">
        <v>34.760009765625</v>
      </c>
      <c r="Q139" t="s">
        <v>587</v>
      </c>
      <c r="R139">
        <v>2019</v>
      </c>
    </row>
    <row r="140" spans="1:18" hidden="1" x14ac:dyDescent="0.35">
      <c r="A140" t="s">
        <v>654</v>
      </c>
      <c r="B140" s="22">
        <v>43586</v>
      </c>
      <c r="C140">
        <v>334.25</v>
      </c>
      <c r="D140">
        <v>344.79998779296881</v>
      </c>
      <c r="E140">
        <v>328.239990234375</v>
      </c>
      <c r="F140">
        <v>338.54000854492188</v>
      </c>
      <c r="G140">
        <v>27727300</v>
      </c>
      <c r="H140">
        <v>294.26022338867188</v>
      </c>
      <c r="I140">
        <v>2.2000000000000002</v>
      </c>
      <c r="J140" t="s">
        <v>653</v>
      </c>
      <c r="K140" s="22">
        <v>45530</v>
      </c>
      <c r="M140">
        <v>4.5286865234375</v>
      </c>
      <c r="N140">
        <v>1.563022284983262E-2</v>
      </c>
      <c r="O140">
        <v>4.290008544921875</v>
      </c>
      <c r="P140">
        <v>10.54998779296875</v>
      </c>
      <c r="Q140" t="s">
        <v>583</v>
      </c>
      <c r="R140">
        <v>2019</v>
      </c>
    </row>
    <row r="141" spans="1:18" hidden="1" x14ac:dyDescent="0.35">
      <c r="A141" t="s">
        <v>654</v>
      </c>
      <c r="B141" s="22">
        <v>43617</v>
      </c>
      <c r="C141">
        <v>338.07998657226563</v>
      </c>
      <c r="D141">
        <v>363.75</v>
      </c>
      <c r="E141">
        <v>337.89999389648438</v>
      </c>
      <c r="F141">
        <v>363.54000854492188</v>
      </c>
      <c r="G141">
        <v>24630200</v>
      </c>
      <c r="H141">
        <v>318.0362548828125</v>
      </c>
      <c r="I141">
        <v>0</v>
      </c>
      <c r="J141" t="s">
        <v>653</v>
      </c>
      <c r="K141" s="22">
        <v>45530</v>
      </c>
      <c r="M141">
        <v>23.776031494140621</v>
      </c>
      <c r="N141">
        <v>7.384651553431576E-2</v>
      </c>
      <c r="O141">
        <v>25.46002197265625</v>
      </c>
      <c r="P141">
        <v>25.670013427734379</v>
      </c>
      <c r="Q141" t="s">
        <v>584</v>
      </c>
      <c r="R141">
        <v>2019</v>
      </c>
    </row>
    <row r="142" spans="1:18" hidden="1" x14ac:dyDescent="0.35">
      <c r="A142" t="s">
        <v>654</v>
      </c>
      <c r="B142" s="22">
        <v>43647</v>
      </c>
      <c r="C142">
        <v>365.41000366210938</v>
      </c>
      <c r="D142">
        <v>373.3699951171875</v>
      </c>
      <c r="E142">
        <v>350.80999755859381</v>
      </c>
      <c r="F142">
        <v>362.17001342773438</v>
      </c>
      <c r="G142">
        <v>24931000</v>
      </c>
      <c r="H142">
        <v>316.83782958984381</v>
      </c>
      <c r="I142">
        <v>0</v>
      </c>
      <c r="J142" t="s">
        <v>653</v>
      </c>
      <c r="K142" s="22">
        <v>45530</v>
      </c>
      <c r="M142">
        <v>-1.19842529296875</v>
      </c>
      <c r="N142">
        <v>-3.7684851322717931E-3</v>
      </c>
      <c r="O142">
        <v>-3.239990234375</v>
      </c>
      <c r="P142">
        <v>7.959991455078125</v>
      </c>
      <c r="Q142" t="s">
        <v>587</v>
      </c>
      <c r="R142">
        <v>2019</v>
      </c>
    </row>
    <row r="143" spans="1:18" hidden="1" x14ac:dyDescent="0.35">
      <c r="A143" t="s">
        <v>654</v>
      </c>
      <c r="B143" s="22">
        <v>43678</v>
      </c>
      <c r="C143">
        <v>361.72000122070313</v>
      </c>
      <c r="D143">
        <v>386.92999267578119</v>
      </c>
      <c r="E143">
        <v>353.97000122070313</v>
      </c>
      <c r="F143">
        <v>384.1099853515625</v>
      </c>
      <c r="G143">
        <v>21805700</v>
      </c>
      <c r="H143">
        <v>336.0316162109375</v>
      </c>
      <c r="I143">
        <v>2.2000000000000002</v>
      </c>
      <c r="J143" t="s">
        <v>653</v>
      </c>
      <c r="K143" s="22">
        <v>45530</v>
      </c>
      <c r="M143">
        <v>19.19378662109375</v>
      </c>
      <c r="N143">
        <v>6.0579206202575182E-2</v>
      </c>
      <c r="O143">
        <v>22.389984130859379</v>
      </c>
      <c r="P143">
        <v>25.209991455078121</v>
      </c>
      <c r="Q143" t="s">
        <v>589</v>
      </c>
      <c r="R143">
        <v>2019</v>
      </c>
    </row>
    <row r="144" spans="1:18" hidden="1" x14ac:dyDescent="0.35">
      <c r="A144" t="s">
        <v>654</v>
      </c>
      <c r="B144" s="22">
        <v>43709</v>
      </c>
      <c r="C144">
        <v>380.989990234375</v>
      </c>
      <c r="D144">
        <v>399.95999145507813</v>
      </c>
      <c r="E144">
        <v>370.45999145507813</v>
      </c>
      <c r="F144">
        <v>390.05999755859381</v>
      </c>
      <c r="G144">
        <v>21798500</v>
      </c>
      <c r="H144">
        <v>343.20089721679688</v>
      </c>
      <c r="I144">
        <v>0</v>
      </c>
      <c r="J144" t="s">
        <v>653</v>
      </c>
      <c r="K144" s="22">
        <v>45530</v>
      </c>
      <c r="M144">
        <v>7.169281005859375</v>
      </c>
      <c r="N144">
        <v>1.549038669636627E-2</v>
      </c>
      <c r="O144">
        <v>9.07000732421875</v>
      </c>
      <c r="P144">
        <v>18.970001220703121</v>
      </c>
      <c r="Q144" t="s">
        <v>585</v>
      </c>
      <c r="R144">
        <v>2019</v>
      </c>
    </row>
    <row r="145" spans="1:18" hidden="1" x14ac:dyDescent="0.35">
      <c r="A145" t="s">
        <v>654</v>
      </c>
      <c r="B145" s="22">
        <v>43739</v>
      </c>
      <c r="C145">
        <v>391.42999267578119</v>
      </c>
      <c r="D145">
        <v>392.48001098632813</v>
      </c>
      <c r="E145">
        <v>363</v>
      </c>
      <c r="F145">
        <v>376.67999267578119</v>
      </c>
      <c r="G145">
        <v>26344900</v>
      </c>
      <c r="H145">
        <v>331.42825317382813</v>
      </c>
      <c r="I145">
        <v>0</v>
      </c>
      <c r="J145" t="s">
        <v>653</v>
      </c>
      <c r="K145" s="22">
        <v>45530</v>
      </c>
      <c r="M145">
        <v>-11.77264404296875</v>
      </c>
      <c r="N145">
        <v>-3.4302427745881769E-2</v>
      </c>
      <c r="O145">
        <v>-14.75</v>
      </c>
      <c r="P145">
        <v>1.050018310546875</v>
      </c>
      <c r="Q145" t="s">
        <v>588</v>
      </c>
      <c r="R145">
        <v>2019</v>
      </c>
    </row>
    <row r="146" spans="1:18" hidden="1" x14ac:dyDescent="0.35">
      <c r="A146" t="s">
        <v>654</v>
      </c>
      <c r="B146" s="22">
        <v>43770</v>
      </c>
      <c r="C146">
        <v>378.1099853515625</v>
      </c>
      <c r="D146">
        <v>395.95001220703119</v>
      </c>
      <c r="E146">
        <v>371.30999755859381</v>
      </c>
      <c r="F146">
        <v>391.02999877929688</v>
      </c>
      <c r="G146">
        <v>19631300</v>
      </c>
      <c r="H146">
        <v>344.054443359375</v>
      </c>
      <c r="I146">
        <v>2.4</v>
      </c>
      <c r="J146" t="s">
        <v>653</v>
      </c>
      <c r="K146" s="22">
        <v>45530</v>
      </c>
      <c r="M146">
        <v>12.62619018554688</v>
      </c>
      <c r="N146">
        <v>3.8096013546084613E-2</v>
      </c>
      <c r="O146">
        <v>12.92001342773438</v>
      </c>
      <c r="P146">
        <v>17.84002685546875</v>
      </c>
      <c r="Q146" t="s">
        <v>586</v>
      </c>
      <c r="R146">
        <v>2019</v>
      </c>
    </row>
    <row r="147" spans="1:18" hidden="1" x14ac:dyDescent="0.35">
      <c r="A147" t="s">
        <v>654</v>
      </c>
      <c r="B147" s="22">
        <v>43800</v>
      </c>
      <c r="C147">
        <v>390.70999145507813</v>
      </c>
      <c r="D147">
        <v>394.69000244140619</v>
      </c>
      <c r="E147">
        <v>379.66000366210938</v>
      </c>
      <c r="F147">
        <v>389.3800048828125</v>
      </c>
      <c r="G147">
        <v>19347600</v>
      </c>
      <c r="H147">
        <v>344.70098876953119</v>
      </c>
      <c r="I147">
        <v>0</v>
      </c>
      <c r="J147" t="s">
        <v>653</v>
      </c>
      <c r="K147" s="22">
        <v>45530</v>
      </c>
      <c r="M147">
        <v>0.64654541015625</v>
      </c>
      <c r="N147">
        <v>-4.2196094970596842E-3</v>
      </c>
      <c r="O147">
        <v>-1.329986572265625</v>
      </c>
      <c r="P147">
        <v>3.980010986328125</v>
      </c>
      <c r="Q147" t="s">
        <v>585</v>
      </c>
      <c r="R147">
        <v>2019</v>
      </c>
    </row>
    <row r="148" spans="1:18" hidden="1" x14ac:dyDescent="0.35">
      <c r="A148" t="s">
        <v>654</v>
      </c>
      <c r="B148" s="22">
        <v>43831</v>
      </c>
      <c r="C148">
        <v>392.8599853515625</v>
      </c>
      <c r="D148">
        <v>438.989990234375</v>
      </c>
      <c r="E148">
        <v>390.95001220703119</v>
      </c>
      <c r="F148">
        <v>428.1199951171875</v>
      </c>
      <c r="G148">
        <v>28599300</v>
      </c>
      <c r="H148">
        <v>378.99581909179688</v>
      </c>
      <c r="I148">
        <v>0</v>
      </c>
      <c r="J148" t="s">
        <v>653</v>
      </c>
      <c r="K148" s="22">
        <v>45530</v>
      </c>
      <c r="M148">
        <v>34.294830322265618</v>
      </c>
      <c r="N148">
        <v>9.9491472979035267E-2</v>
      </c>
      <c r="O148">
        <v>35.260009765625</v>
      </c>
      <c r="P148">
        <v>46.1300048828125</v>
      </c>
      <c r="Q148" t="s">
        <v>583</v>
      </c>
      <c r="R148">
        <v>2020</v>
      </c>
    </row>
    <row r="149" spans="1:18" hidden="1" x14ac:dyDescent="0.35">
      <c r="A149" t="s">
        <v>654</v>
      </c>
      <c r="B149" s="22">
        <v>43862</v>
      </c>
      <c r="C149">
        <v>429.51998901367188</v>
      </c>
      <c r="D149">
        <v>442.52999877929688</v>
      </c>
      <c r="E149">
        <v>360.33999633789063</v>
      </c>
      <c r="F149">
        <v>369.8699951171875</v>
      </c>
      <c r="G149">
        <v>24227400</v>
      </c>
      <c r="H149">
        <v>327.42965698242188</v>
      </c>
      <c r="I149">
        <v>2.4</v>
      </c>
      <c r="J149" t="s">
        <v>653</v>
      </c>
      <c r="K149" s="22">
        <v>45530</v>
      </c>
      <c r="M149">
        <v>-51.566162109375</v>
      </c>
      <c r="N149">
        <v>-0.13605998473408251</v>
      </c>
      <c r="O149">
        <v>-59.649993896484382</v>
      </c>
      <c r="P149">
        <v>13.010009765625</v>
      </c>
      <c r="Q149" t="s">
        <v>584</v>
      </c>
      <c r="R149">
        <v>2020</v>
      </c>
    </row>
    <row r="150" spans="1:18" hidden="1" x14ac:dyDescent="0.35">
      <c r="A150" t="s">
        <v>654</v>
      </c>
      <c r="B150" s="22">
        <v>43891</v>
      </c>
      <c r="C150">
        <v>371.35000610351563</v>
      </c>
      <c r="D150">
        <v>402.95999145507813</v>
      </c>
      <c r="E150">
        <v>266.1099853515625</v>
      </c>
      <c r="F150">
        <v>338.95001220703119</v>
      </c>
      <c r="G150">
        <v>60682600</v>
      </c>
      <c r="H150">
        <v>301.94174194335938</v>
      </c>
      <c r="I150">
        <v>0</v>
      </c>
      <c r="J150" t="s">
        <v>653</v>
      </c>
      <c r="K150" s="22">
        <v>45530</v>
      </c>
      <c r="M150">
        <v>-25.4879150390625</v>
      </c>
      <c r="N150">
        <v>-8.35968943638149E-2</v>
      </c>
      <c r="O150">
        <v>-32.399993896484382</v>
      </c>
      <c r="P150">
        <v>31.6099853515625</v>
      </c>
      <c r="Q150" t="s">
        <v>585</v>
      </c>
      <c r="R150">
        <v>2020</v>
      </c>
    </row>
    <row r="151" spans="1:18" hidden="1" x14ac:dyDescent="0.35">
      <c r="A151" t="s">
        <v>654</v>
      </c>
      <c r="B151" s="22">
        <v>43922</v>
      </c>
      <c r="C151">
        <v>324.82998657226563</v>
      </c>
      <c r="D151">
        <v>402.45001220703119</v>
      </c>
      <c r="E151">
        <v>322.010009765625</v>
      </c>
      <c r="F151">
        <v>389.05999755859381</v>
      </c>
      <c r="G151">
        <v>33800800</v>
      </c>
      <c r="H151">
        <v>346.58053588867188</v>
      </c>
      <c r="I151">
        <v>0</v>
      </c>
      <c r="J151" t="s">
        <v>653</v>
      </c>
      <c r="K151" s="22">
        <v>45530</v>
      </c>
      <c r="M151">
        <v>44.6387939453125</v>
      </c>
      <c r="N151">
        <v>0.147838865752733</v>
      </c>
      <c r="O151">
        <v>64.230010986328125</v>
      </c>
      <c r="P151">
        <v>77.620025634765625</v>
      </c>
      <c r="Q151" t="s">
        <v>583</v>
      </c>
      <c r="R151">
        <v>2020</v>
      </c>
    </row>
    <row r="152" spans="1:18" hidden="1" x14ac:dyDescent="0.35">
      <c r="A152" t="s">
        <v>654</v>
      </c>
      <c r="B152" s="22">
        <v>43952</v>
      </c>
      <c r="C152">
        <v>385.6400146484375</v>
      </c>
      <c r="D152">
        <v>404.260009765625</v>
      </c>
      <c r="E152">
        <v>352.260009765625</v>
      </c>
      <c r="F152">
        <v>388.44000244140619</v>
      </c>
      <c r="G152">
        <v>28180100</v>
      </c>
      <c r="H152">
        <v>346.02816772460938</v>
      </c>
      <c r="I152">
        <v>2.4</v>
      </c>
      <c r="J152" t="s">
        <v>653</v>
      </c>
      <c r="K152" s="22">
        <v>45530</v>
      </c>
      <c r="M152">
        <v>-0.5523681640625</v>
      </c>
      <c r="N152">
        <v>-1.5935719968078741E-3</v>
      </c>
      <c r="O152">
        <v>2.79998779296875</v>
      </c>
      <c r="P152">
        <v>18.6199951171875</v>
      </c>
      <c r="Q152" t="s">
        <v>586</v>
      </c>
      <c r="R152">
        <v>2020</v>
      </c>
    </row>
    <row r="153" spans="1:18" hidden="1" x14ac:dyDescent="0.35">
      <c r="A153" t="s">
        <v>654</v>
      </c>
      <c r="B153" s="22">
        <v>43983</v>
      </c>
      <c r="C153">
        <v>388.94000244140619</v>
      </c>
      <c r="D153">
        <v>417.6199951171875</v>
      </c>
      <c r="E153">
        <v>353.32998657226563</v>
      </c>
      <c r="F153">
        <v>364.92001342773438</v>
      </c>
      <c r="G153">
        <v>36810600</v>
      </c>
      <c r="H153">
        <v>327.046142578125</v>
      </c>
      <c r="I153">
        <v>0</v>
      </c>
      <c r="J153" t="s">
        <v>653</v>
      </c>
      <c r="K153" s="22">
        <v>45530</v>
      </c>
      <c r="M153">
        <v>-18.982025146484379</v>
      </c>
      <c r="N153">
        <v>-6.054986321142275E-2</v>
      </c>
      <c r="O153">
        <v>-24.019989013671879</v>
      </c>
      <c r="P153">
        <v>28.67999267578125</v>
      </c>
      <c r="Q153" t="s">
        <v>587</v>
      </c>
      <c r="R153">
        <v>2020</v>
      </c>
    </row>
    <row r="154" spans="1:18" hidden="1" x14ac:dyDescent="0.35">
      <c r="A154" t="s">
        <v>654</v>
      </c>
      <c r="B154" s="22">
        <v>44013</v>
      </c>
      <c r="C154">
        <v>366.33999633789063</v>
      </c>
      <c r="D154">
        <v>394.67001342773438</v>
      </c>
      <c r="E154">
        <v>339.17999267578119</v>
      </c>
      <c r="F154">
        <v>378.97000122070313</v>
      </c>
      <c r="G154">
        <v>32063600</v>
      </c>
      <c r="H154">
        <v>339.63796997070313</v>
      </c>
      <c r="I154">
        <v>0</v>
      </c>
      <c r="J154" t="s">
        <v>653</v>
      </c>
      <c r="K154" s="22">
        <v>45530</v>
      </c>
      <c r="M154">
        <v>12.59182739257812</v>
      </c>
      <c r="N154">
        <v>3.8501554521484398E-2</v>
      </c>
      <c r="O154">
        <v>12.6300048828125</v>
      </c>
      <c r="P154">
        <v>28.33001708984375</v>
      </c>
      <c r="Q154" t="s">
        <v>583</v>
      </c>
      <c r="R154">
        <v>2020</v>
      </c>
    </row>
    <row r="155" spans="1:18" hidden="1" x14ac:dyDescent="0.35">
      <c r="A155" t="s">
        <v>654</v>
      </c>
      <c r="B155" s="22">
        <v>44044</v>
      </c>
      <c r="C155">
        <v>376.83999633789063</v>
      </c>
      <c r="D155">
        <v>402.3800048828125</v>
      </c>
      <c r="E155">
        <v>371.44000244140619</v>
      </c>
      <c r="F155">
        <v>390.260009765625</v>
      </c>
      <c r="G155">
        <v>19163800</v>
      </c>
      <c r="H155">
        <v>349.75616455078119</v>
      </c>
      <c r="I155">
        <v>2.4</v>
      </c>
      <c r="J155" t="s">
        <v>653</v>
      </c>
      <c r="K155" s="22">
        <v>45530</v>
      </c>
      <c r="M155">
        <v>10.11819458007812</v>
      </c>
      <c r="N155">
        <v>2.979129880612064E-2</v>
      </c>
      <c r="O155">
        <v>13.42001342773438</v>
      </c>
      <c r="P155">
        <v>25.540008544921879</v>
      </c>
      <c r="Q155" t="s">
        <v>584</v>
      </c>
      <c r="R155">
        <v>2020</v>
      </c>
    </row>
    <row r="156" spans="1:18" hidden="1" x14ac:dyDescent="0.35">
      <c r="A156" t="s">
        <v>654</v>
      </c>
      <c r="B156" s="22">
        <v>44075</v>
      </c>
      <c r="C156">
        <v>387.82000732421881</v>
      </c>
      <c r="D156">
        <v>401.8800048828125</v>
      </c>
      <c r="E156">
        <v>375.10000610351563</v>
      </c>
      <c r="F156">
        <v>383.27999877929688</v>
      </c>
      <c r="G156">
        <v>25222700</v>
      </c>
      <c r="H156">
        <v>345.5972900390625</v>
      </c>
      <c r="I156">
        <v>0</v>
      </c>
      <c r="J156" t="s">
        <v>653</v>
      </c>
      <c r="K156" s="22">
        <v>45530</v>
      </c>
      <c r="M156">
        <v>-4.15887451171875</v>
      </c>
      <c r="N156">
        <v>-1.7885539926368651E-2</v>
      </c>
      <c r="O156">
        <v>-4.540008544921875</v>
      </c>
      <c r="P156">
        <v>14.05999755859375</v>
      </c>
      <c r="Q156" t="s">
        <v>588</v>
      </c>
      <c r="R156">
        <v>2020</v>
      </c>
    </row>
    <row r="157" spans="1:18" hidden="1" x14ac:dyDescent="0.35">
      <c r="A157" t="s">
        <v>654</v>
      </c>
      <c r="B157" s="22">
        <v>44105</v>
      </c>
      <c r="C157">
        <v>384</v>
      </c>
      <c r="D157">
        <v>395.45999145507813</v>
      </c>
      <c r="E157">
        <v>345.64999389648438</v>
      </c>
      <c r="F157">
        <v>350.1300048828125</v>
      </c>
      <c r="G157">
        <v>25140100</v>
      </c>
      <c r="H157">
        <v>315.70645141601563</v>
      </c>
      <c r="I157">
        <v>0</v>
      </c>
      <c r="J157" t="s">
        <v>653</v>
      </c>
      <c r="K157" s="22">
        <v>45530</v>
      </c>
      <c r="M157">
        <v>-29.890838623046879</v>
      </c>
      <c r="N157">
        <v>-8.6490278652847308E-2</v>
      </c>
      <c r="O157">
        <v>-33.8699951171875</v>
      </c>
      <c r="P157">
        <v>11.45999145507812</v>
      </c>
      <c r="Q157" t="s">
        <v>589</v>
      </c>
      <c r="R157">
        <v>2020</v>
      </c>
    </row>
    <row r="158" spans="1:18" hidden="1" x14ac:dyDescent="0.35">
      <c r="A158" t="s">
        <v>654</v>
      </c>
      <c r="B158" s="22">
        <v>44136</v>
      </c>
      <c r="C158">
        <v>356.1199951171875</v>
      </c>
      <c r="D158">
        <v>383.47000122070313</v>
      </c>
      <c r="E158">
        <v>350.72000122070313</v>
      </c>
      <c r="F158">
        <v>365</v>
      </c>
      <c r="G158">
        <v>25858000</v>
      </c>
      <c r="H158">
        <v>329.11459350585938</v>
      </c>
      <c r="I158">
        <v>2.6</v>
      </c>
      <c r="J158" t="s">
        <v>653</v>
      </c>
      <c r="K158" s="22">
        <v>45530</v>
      </c>
      <c r="M158">
        <v>13.40814208984375</v>
      </c>
      <c r="N158">
        <v>4.2469925198682867E-2</v>
      </c>
      <c r="O158">
        <v>8.8800048828125</v>
      </c>
      <c r="P158">
        <v>27.350006103515621</v>
      </c>
      <c r="Q158" t="s">
        <v>585</v>
      </c>
      <c r="R158">
        <v>2020</v>
      </c>
    </row>
    <row r="159" spans="1:18" hidden="1" x14ac:dyDescent="0.35">
      <c r="A159" t="s">
        <v>654</v>
      </c>
      <c r="B159" s="22">
        <v>44166</v>
      </c>
      <c r="C159">
        <v>368.47000122070313</v>
      </c>
      <c r="D159">
        <v>373.29000854492188</v>
      </c>
      <c r="E159">
        <v>346.60000610351563</v>
      </c>
      <c r="F159">
        <v>354.98001098632813</v>
      </c>
      <c r="G159">
        <v>35167700</v>
      </c>
      <c r="H159">
        <v>322.318359375</v>
      </c>
      <c r="I159">
        <v>0</v>
      </c>
      <c r="J159" t="s">
        <v>653</v>
      </c>
      <c r="K159" s="22">
        <v>45530</v>
      </c>
      <c r="M159">
        <v>-6.796234130859375</v>
      </c>
      <c r="N159">
        <v>-2.7452024694991421E-2</v>
      </c>
      <c r="O159">
        <v>-13.489990234375</v>
      </c>
      <c r="P159">
        <v>4.82000732421875</v>
      </c>
      <c r="Q159" t="s">
        <v>588</v>
      </c>
      <c r="R159">
        <v>2020</v>
      </c>
    </row>
    <row r="160" spans="1:18" hidden="1" x14ac:dyDescent="0.35">
      <c r="A160" t="s">
        <v>654</v>
      </c>
      <c r="B160" s="22">
        <v>44197</v>
      </c>
      <c r="C160">
        <v>354.98001098632813</v>
      </c>
      <c r="D160">
        <v>354.98001098632813</v>
      </c>
      <c r="E160">
        <v>321.72000122070313</v>
      </c>
      <c r="F160">
        <v>321.82000732421881</v>
      </c>
      <c r="G160">
        <v>41345200</v>
      </c>
      <c r="H160">
        <v>292.2093505859375</v>
      </c>
      <c r="I160">
        <v>0</v>
      </c>
      <c r="J160" t="s">
        <v>653</v>
      </c>
      <c r="K160" s="22">
        <v>45530</v>
      </c>
      <c r="M160">
        <v>-30.1090087890625</v>
      </c>
      <c r="N160">
        <v>-9.3413720873952277E-2</v>
      </c>
      <c r="O160">
        <v>-33.160003662109382</v>
      </c>
      <c r="P160">
        <v>0</v>
      </c>
      <c r="Q160" t="s">
        <v>586</v>
      </c>
      <c r="R160">
        <v>2021</v>
      </c>
    </row>
    <row r="161" spans="1:18" hidden="1" x14ac:dyDescent="0.35">
      <c r="A161" t="s">
        <v>654</v>
      </c>
      <c r="B161" s="22">
        <v>44228</v>
      </c>
      <c r="C161">
        <v>324.8800048828125</v>
      </c>
      <c r="D161">
        <v>350.29998779296881</v>
      </c>
      <c r="E161">
        <v>319.80999755859381</v>
      </c>
      <c r="F161">
        <v>330.25</v>
      </c>
      <c r="G161">
        <v>33880600</v>
      </c>
      <c r="H161">
        <v>299.86376953125</v>
      </c>
      <c r="I161">
        <v>2.6</v>
      </c>
      <c r="J161" t="s">
        <v>653</v>
      </c>
      <c r="K161" s="22">
        <v>45530</v>
      </c>
      <c r="M161">
        <v>7.6544189453125</v>
      </c>
      <c r="N161">
        <v>2.6194743906299282E-2</v>
      </c>
      <c r="O161">
        <v>5.3699951171875</v>
      </c>
      <c r="P161">
        <v>25.41998291015625</v>
      </c>
      <c r="Q161" t="s">
        <v>587</v>
      </c>
      <c r="R161">
        <v>2021</v>
      </c>
    </row>
    <row r="162" spans="1:18" hidden="1" x14ac:dyDescent="0.35">
      <c r="A162" t="s">
        <v>654</v>
      </c>
      <c r="B162" s="22">
        <v>44256</v>
      </c>
      <c r="C162">
        <v>334</v>
      </c>
      <c r="D162">
        <v>374.239990234375</v>
      </c>
      <c r="E162">
        <v>332.67001342773438</v>
      </c>
      <c r="F162">
        <v>369.5</v>
      </c>
      <c r="G162">
        <v>47908300</v>
      </c>
      <c r="H162">
        <v>338.07485961914063</v>
      </c>
      <c r="I162">
        <v>0</v>
      </c>
      <c r="J162" t="s">
        <v>653</v>
      </c>
      <c r="K162" s="22">
        <v>45530</v>
      </c>
      <c r="M162">
        <v>38.211090087890618</v>
      </c>
      <c r="N162">
        <v>0.1188493565480697</v>
      </c>
      <c r="O162">
        <v>35.5</v>
      </c>
      <c r="P162">
        <v>40.239990234375</v>
      </c>
      <c r="Q162" t="s">
        <v>587</v>
      </c>
      <c r="R162">
        <v>2021</v>
      </c>
    </row>
    <row r="163" spans="1:18" hidden="1" x14ac:dyDescent="0.35">
      <c r="A163" t="s">
        <v>654</v>
      </c>
      <c r="B163" s="22">
        <v>44287</v>
      </c>
      <c r="C163">
        <v>368.989990234375</v>
      </c>
      <c r="D163">
        <v>394.33999633789063</v>
      </c>
      <c r="E163">
        <v>368.33999633789063</v>
      </c>
      <c r="F163">
        <v>380.55999755859381</v>
      </c>
      <c r="G163">
        <v>27784600</v>
      </c>
      <c r="H163">
        <v>348.1942138671875</v>
      </c>
      <c r="I163">
        <v>0</v>
      </c>
      <c r="J163" t="s">
        <v>653</v>
      </c>
      <c r="K163" s="22">
        <v>45530</v>
      </c>
      <c r="M163">
        <v>10.11935424804688</v>
      </c>
      <c r="N163">
        <v>2.99323343940292E-2</v>
      </c>
      <c r="O163">
        <v>11.57000732421875</v>
      </c>
      <c r="P163">
        <v>25.350006103515621</v>
      </c>
      <c r="Q163" t="s">
        <v>589</v>
      </c>
      <c r="R163">
        <v>2021</v>
      </c>
    </row>
    <row r="164" spans="1:18" hidden="1" x14ac:dyDescent="0.35">
      <c r="A164" t="s">
        <v>654</v>
      </c>
      <c r="B164" s="22">
        <v>44317</v>
      </c>
      <c r="C164">
        <v>379.76998901367188</v>
      </c>
      <c r="D164">
        <v>396.989990234375</v>
      </c>
      <c r="E164">
        <v>379.05999755859381</v>
      </c>
      <c r="F164">
        <v>382.20001220703119</v>
      </c>
      <c r="G164">
        <v>25647900</v>
      </c>
      <c r="H164">
        <v>349.69473266601563</v>
      </c>
      <c r="I164">
        <v>2.6</v>
      </c>
      <c r="J164" t="s">
        <v>653</v>
      </c>
      <c r="K164" s="22">
        <v>45530</v>
      </c>
      <c r="M164">
        <v>1.500518798828125</v>
      </c>
      <c r="N164">
        <v>4.3094772413250224E-3</v>
      </c>
      <c r="O164">
        <v>2.430023193359375</v>
      </c>
      <c r="P164">
        <v>17.220001220703121</v>
      </c>
      <c r="Q164" t="s">
        <v>584</v>
      </c>
      <c r="R164">
        <v>2021</v>
      </c>
    </row>
    <row r="165" spans="1:18" hidden="1" x14ac:dyDescent="0.35">
      <c r="A165" t="s">
        <v>654</v>
      </c>
      <c r="B165" s="22">
        <v>44348</v>
      </c>
      <c r="C165">
        <v>384.23001098632813</v>
      </c>
      <c r="D165">
        <v>395.72000122070313</v>
      </c>
      <c r="E165">
        <v>373.25</v>
      </c>
      <c r="F165">
        <v>378.35000610351563</v>
      </c>
      <c r="G165">
        <v>25986000</v>
      </c>
      <c r="H165">
        <v>348.51123046875</v>
      </c>
      <c r="I165">
        <v>0</v>
      </c>
      <c r="J165" t="s">
        <v>653</v>
      </c>
      <c r="K165" s="22">
        <v>45530</v>
      </c>
      <c r="M165">
        <v>-1.183502197265625</v>
      </c>
      <c r="N165">
        <v>-1.007327572095984E-2</v>
      </c>
      <c r="O165">
        <v>-5.8800048828125</v>
      </c>
      <c r="P165">
        <v>11.489990234375</v>
      </c>
      <c r="Q165" t="s">
        <v>588</v>
      </c>
      <c r="R165">
        <v>2021</v>
      </c>
    </row>
    <row r="166" spans="1:18" hidden="1" x14ac:dyDescent="0.35">
      <c r="A166" t="s">
        <v>654</v>
      </c>
      <c r="B166" s="22">
        <v>44378</v>
      </c>
      <c r="C166">
        <v>377.30999755859381</v>
      </c>
      <c r="D166">
        <v>384.70001220703119</v>
      </c>
      <c r="E166">
        <v>366.39999389648438</v>
      </c>
      <c r="F166">
        <v>371.67001342773438</v>
      </c>
      <c r="G166">
        <v>20627900</v>
      </c>
      <c r="H166">
        <v>342.35806274414063</v>
      </c>
      <c r="I166">
        <v>0</v>
      </c>
      <c r="J166" t="s">
        <v>653</v>
      </c>
      <c r="K166" s="22">
        <v>45530</v>
      </c>
      <c r="M166">
        <v>-6.153167724609375</v>
      </c>
      <c r="N166">
        <v>-1.7655590241892671E-2</v>
      </c>
      <c r="O166">
        <v>-5.639984130859375</v>
      </c>
      <c r="P166">
        <v>7.3900146484375</v>
      </c>
      <c r="Q166" t="s">
        <v>589</v>
      </c>
      <c r="R166">
        <v>2021</v>
      </c>
    </row>
    <row r="167" spans="1:18" hidden="1" x14ac:dyDescent="0.35">
      <c r="A167" t="s">
        <v>654</v>
      </c>
      <c r="B167" s="22">
        <v>44409</v>
      </c>
      <c r="C167">
        <v>372.29998779296881</v>
      </c>
      <c r="D167">
        <v>375.04000854492188</v>
      </c>
      <c r="E167">
        <v>353.57000732421881</v>
      </c>
      <c r="F167">
        <v>359.79998779296881</v>
      </c>
      <c r="G167">
        <v>23647300</v>
      </c>
      <c r="H167">
        <v>331.4241943359375</v>
      </c>
      <c r="I167">
        <v>2.6</v>
      </c>
      <c r="J167" t="s">
        <v>653</v>
      </c>
      <c r="K167" s="22">
        <v>45530</v>
      </c>
      <c r="M167">
        <v>-10.93386840820312</v>
      </c>
      <c r="N167">
        <v>-3.1937001119068158E-2</v>
      </c>
      <c r="O167">
        <v>-12.5</v>
      </c>
      <c r="P167">
        <v>2.740020751953125</v>
      </c>
      <c r="Q167" t="s">
        <v>585</v>
      </c>
      <c r="R167">
        <v>2021</v>
      </c>
    </row>
    <row r="168" spans="1:18" hidden="1" x14ac:dyDescent="0.35">
      <c r="A168" t="s">
        <v>654</v>
      </c>
      <c r="B168" s="22">
        <v>44440</v>
      </c>
      <c r="C168">
        <v>358.29998779296881</v>
      </c>
      <c r="D168">
        <v>359.510009765625</v>
      </c>
      <c r="E168">
        <v>335.10000610351563</v>
      </c>
      <c r="F168">
        <v>345.10000610351563</v>
      </c>
      <c r="G168">
        <v>30204900</v>
      </c>
      <c r="H168">
        <v>320.182861328125</v>
      </c>
      <c r="I168">
        <v>0</v>
      </c>
      <c r="J168" t="s">
        <v>653</v>
      </c>
      <c r="K168" s="22">
        <v>45530</v>
      </c>
      <c r="M168">
        <v>-11.2413330078125</v>
      </c>
      <c r="N168">
        <v>-4.0855981623633568E-2</v>
      </c>
      <c r="O168">
        <v>-13.19998168945312</v>
      </c>
      <c r="P168">
        <v>1.21002197265625</v>
      </c>
      <c r="Q168" t="s">
        <v>583</v>
      </c>
      <c r="R168">
        <v>2021</v>
      </c>
    </row>
    <row r="169" spans="1:18" hidden="1" x14ac:dyDescent="0.35">
      <c r="A169" t="s">
        <v>654</v>
      </c>
      <c r="B169" s="22">
        <v>44470</v>
      </c>
      <c r="C169">
        <v>347.30999755859381</v>
      </c>
      <c r="D169">
        <v>378.10000610351563</v>
      </c>
      <c r="E169">
        <v>325.1400146484375</v>
      </c>
      <c r="F169">
        <v>332.32000732421881</v>
      </c>
      <c r="G169">
        <v>33874800</v>
      </c>
      <c r="H169">
        <v>308.32565307617188</v>
      </c>
      <c r="I169">
        <v>0</v>
      </c>
      <c r="J169" t="s">
        <v>653</v>
      </c>
      <c r="K169" s="22">
        <v>45530</v>
      </c>
      <c r="M169">
        <v>-11.85720825195312</v>
      </c>
      <c r="N169">
        <v>-3.7032739939921622E-2</v>
      </c>
      <c r="O169">
        <v>-14.989990234375</v>
      </c>
      <c r="P169">
        <v>30.790008544921879</v>
      </c>
      <c r="Q169" t="s">
        <v>586</v>
      </c>
      <c r="R169">
        <v>2021</v>
      </c>
    </row>
    <row r="170" spans="1:18" hidden="1" x14ac:dyDescent="0.35">
      <c r="A170" t="s">
        <v>654</v>
      </c>
      <c r="B170" s="22">
        <v>44501</v>
      </c>
      <c r="C170">
        <v>330.47000122070313</v>
      </c>
      <c r="D170">
        <v>348.08999633789063</v>
      </c>
      <c r="E170">
        <v>324.23001098632813</v>
      </c>
      <c r="F170">
        <v>333.32000732421881</v>
      </c>
      <c r="G170">
        <v>33487500</v>
      </c>
      <c r="H170">
        <v>309.25341796875</v>
      </c>
      <c r="I170">
        <v>2.8</v>
      </c>
      <c r="J170" t="s">
        <v>653</v>
      </c>
      <c r="K170" s="22">
        <v>45530</v>
      </c>
      <c r="M170">
        <v>0.927764892578125</v>
      </c>
      <c r="N170">
        <v>3.0091477430198581E-3</v>
      </c>
      <c r="O170">
        <v>2.850006103515625</v>
      </c>
      <c r="P170">
        <v>17.6199951171875</v>
      </c>
      <c r="Q170" t="s">
        <v>587</v>
      </c>
      <c r="R170">
        <v>2021</v>
      </c>
    </row>
    <row r="171" spans="1:18" hidden="1" x14ac:dyDescent="0.35">
      <c r="A171" t="s">
        <v>654</v>
      </c>
      <c r="B171" s="22">
        <v>44531</v>
      </c>
      <c r="C171">
        <v>335</v>
      </c>
      <c r="D171">
        <v>357.82998657226563</v>
      </c>
      <c r="E171">
        <v>328.20001220703119</v>
      </c>
      <c r="F171">
        <v>355.41000366210938</v>
      </c>
      <c r="G171">
        <v>33234500</v>
      </c>
      <c r="H171">
        <v>332.47659301757813</v>
      </c>
      <c r="I171">
        <v>0</v>
      </c>
      <c r="J171" t="s">
        <v>653</v>
      </c>
      <c r="K171" s="22">
        <v>45530</v>
      </c>
      <c r="M171">
        <v>23.223175048828121</v>
      </c>
      <c r="N171">
        <v>6.6272638463024558E-2</v>
      </c>
      <c r="O171">
        <v>20.410003662109379</v>
      </c>
      <c r="P171">
        <v>22.829986572265621</v>
      </c>
      <c r="Q171" t="s">
        <v>583</v>
      </c>
      <c r="R171">
        <v>2021</v>
      </c>
    </row>
    <row r="172" spans="1:18" hidden="1" x14ac:dyDescent="0.35">
      <c r="A172" t="s">
        <v>654</v>
      </c>
      <c r="B172" s="22">
        <v>44562</v>
      </c>
      <c r="C172">
        <v>354.67999267578119</v>
      </c>
      <c r="D172">
        <v>395.60000610351563</v>
      </c>
      <c r="E172">
        <v>353.02999877929688</v>
      </c>
      <c r="F172">
        <v>389.1300048828125</v>
      </c>
      <c r="G172">
        <v>43289100</v>
      </c>
      <c r="H172">
        <v>364.02081298828119</v>
      </c>
      <c r="I172">
        <v>0</v>
      </c>
      <c r="J172" t="s">
        <v>653</v>
      </c>
      <c r="K172" s="22">
        <v>45530</v>
      </c>
      <c r="M172">
        <v>31.544219970703121</v>
      </c>
      <c r="N172">
        <v>9.4876342458725338E-2</v>
      </c>
      <c r="O172">
        <v>34.45001220703125</v>
      </c>
      <c r="P172">
        <v>40.920013427734382</v>
      </c>
      <c r="Q172" t="s">
        <v>584</v>
      </c>
      <c r="R172">
        <v>2022</v>
      </c>
    </row>
    <row r="173" spans="1:18" hidden="1" x14ac:dyDescent="0.35">
      <c r="A173" t="s">
        <v>654</v>
      </c>
      <c r="B173" s="22">
        <v>44593</v>
      </c>
      <c r="C173">
        <v>390.22000122070313</v>
      </c>
      <c r="D173">
        <v>433.89999389648438</v>
      </c>
      <c r="E173">
        <v>378.32000732421881</v>
      </c>
      <c r="F173">
        <v>433.79998779296881</v>
      </c>
      <c r="G173">
        <v>43090400</v>
      </c>
      <c r="H173">
        <v>405.80841064453119</v>
      </c>
      <c r="I173">
        <v>2.8</v>
      </c>
      <c r="J173" t="s">
        <v>653</v>
      </c>
      <c r="K173" s="22">
        <v>45530</v>
      </c>
      <c r="M173">
        <v>41.78759765625</v>
      </c>
      <c r="N173">
        <v>0.11479449631135159</v>
      </c>
      <c r="O173">
        <v>43.579986572265618</v>
      </c>
      <c r="P173">
        <v>43.67999267578125</v>
      </c>
      <c r="Q173" t="s">
        <v>588</v>
      </c>
      <c r="R173">
        <v>2022</v>
      </c>
    </row>
    <row r="174" spans="1:18" hidden="1" x14ac:dyDescent="0.35">
      <c r="A174" t="s">
        <v>654</v>
      </c>
      <c r="B174" s="22">
        <v>44621</v>
      </c>
      <c r="C174">
        <v>435</v>
      </c>
      <c r="D174">
        <v>479.989990234375</v>
      </c>
      <c r="E174">
        <v>411.3599853515625</v>
      </c>
      <c r="F174">
        <v>441.39999389648438</v>
      </c>
      <c r="G174">
        <v>73002900</v>
      </c>
      <c r="H174">
        <v>415.76083374023438</v>
      </c>
      <c r="I174">
        <v>0</v>
      </c>
      <c r="J174" t="s">
        <v>653</v>
      </c>
      <c r="K174" s="22">
        <v>45530</v>
      </c>
      <c r="M174">
        <v>9.952423095703125</v>
      </c>
      <c r="N174">
        <v>1.7519608845961269E-2</v>
      </c>
      <c r="O174">
        <v>6.399993896484375</v>
      </c>
      <c r="P174">
        <v>44.989990234375</v>
      </c>
      <c r="Q174" t="s">
        <v>588</v>
      </c>
      <c r="R174">
        <v>2022</v>
      </c>
    </row>
    <row r="175" spans="1:18" hidden="1" x14ac:dyDescent="0.35">
      <c r="A175" t="s">
        <v>654</v>
      </c>
      <c r="B175" s="22">
        <v>44652</v>
      </c>
      <c r="C175">
        <v>442.22000122070313</v>
      </c>
      <c r="D175">
        <v>475.5</v>
      </c>
      <c r="E175">
        <v>430.3800048828125</v>
      </c>
      <c r="F175">
        <v>432.1199951171875</v>
      </c>
      <c r="G175">
        <v>32351000</v>
      </c>
      <c r="H175">
        <v>407.01992797851563</v>
      </c>
      <c r="I175">
        <v>0</v>
      </c>
      <c r="J175" t="s">
        <v>653</v>
      </c>
      <c r="K175" s="22">
        <v>45530</v>
      </c>
      <c r="M175">
        <v>-8.74090576171875</v>
      </c>
      <c r="N175">
        <v>-2.1024012024506659E-2</v>
      </c>
      <c r="O175">
        <v>-10.10000610351562</v>
      </c>
      <c r="P175">
        <v>33.279998779296882</v>
      </c>
      <c r="Q175" t="s">
        <v>586</v>
      </c>
      <c r="R175">
        <v>2022</v>
      </c>
    </row>
    <row r="176" spans="1:18" hidden="1" x14ac:dyDescent="0.35">
      <c r="A176" t="s">
        <v>654</v>
      </c>
      <c r="B176" s="22">
        <v>44682</v>
      </c>
      <c r="C176">
        <v>429.60000610351563</v>
      </c>
      <c r="D176">
        <v>454.05999755859381</v>
      </c>
      <c r="E176">
        <v>417.29000854492188</v>
      </c>
      <c r="F176">
        <v>440.1099853515625</v>
      </c>
      <c r="G176">
        <v>26365900</v>
      </c>
      <c r="H176">
        <v>414.5457763671875</v>
      </c>
      <c r="I176">
        <v>2.8</v>
      </c>
      <c r="J176" t="s">
        <v>653</v>
      </c>
      <c r="K176" s="22">
        <v>45530</v>
      </c>
      <c r="M176">
        <v>7.525848388671875</v>
      </c>
      <c r="N176">
        <v>1.849021180380284E-2</v>
      </c>
      <c r="O176">
        <v>10.50997924804688</v>
      </c>
      <c r="P176">
        <v>24.459991455078121</v>
      </c>
      <c r="Q176" t="s">
        <v>585</v>
      </c>
      <c r="R176">
        <v>2022</v>
      </c>
    </row>
    <row r="177" spans="1:18" hidden="1" x14ac:dyDescent="0.35">
      <c r="A177" t="s">
        <v>654</v>
      </c>
      <c r="B177" s="22">
        <v>44713</v>
      </c>
      <c r="C177">
        <v>443.02999877929688</v>
      </c>
      <c r="D177">
        <v>456.67001342773438</v>
      </c>
      <c r="E177">
        <v>394.66000366210938</v>
      </c>
      <c r="F177">
        <v>429.95999145507813</v>
      </c>
      <c r="G177">
        <v>27065300</v>
      </c>
      <c r="H177">
        <v>407.5179443359375</v>
      </c>
      <c r="I177">
        <v>0</v>
      </c>
      <c r="J177" t="s">
        <v>653</v>
      </c>
      <c r="K177" s="22">
        <v>45530</v>
      </c>
      <c r="M177">
        <v>-7.02783203125</v>
      </c>
      <c r="N177">
        <v>-2.3062403113568331E-2</v>
      </c>
      <c r="O177">
        <v>-13.07000732421875</v>
      </c>
      <c r="P177">
        <v>13.6400146484375</v>
      </c>
      <c r="Q177" t="s">
        <v>583</v>
      </c>
      <c r="R177">
        <v>2022</v>
      </c>
    </row>
    <row r="178" spans="1:18" hidden="1" x14ac:dyDescent="0.35">
      <c r="A178" t="s">
        <v>654</v>
      </c>
      <c r="B178" s="22">
        <v>44743</v>
      </c>
      <c r="C178">
        <v>429.739990234375</v>
      </c>
      <c r="D178">
        <v>434.95999145507813</v>
      </c>
      <c r="E178">
        <v>373.67001342773438</v>
      </c>
      <c r="F178">
        <v>413.80999755859381</v>
      </c>
      <c r="G178">
        <v>25167800</v>
      </c>
      <c r="H178">
        <v>392.21084594726563</v>
      </c>
      <c r="I178">
        <v>0</v>
      </c>
      <c r="J178" t="s">
        <v>653</v>
      </c>
      <c r="K178" s="22">
        <v>45530</v>
      </c>
      <c r="M178">
        <v>-15.30709838867188</v>
      </c>
      <c r="N178">
        <v>-3.7561620191286393E-2</v>
      </c>
      <c r="O178">
        <v>-15.92999267578125</v>
      </c>
      <c r="P178">
        <v>5.220001220703125</v>
      </c>
      <c r="Q178" t="s">
        <v>586</v>
      </c>
      <c r="R178">
        <v>2022</v>
      </c>
    </row>
    <row r="179" spans="1:18" hidden="1" x14ac:dyDescent="0.35">
      <c r="A179" t="s">
        <v>654</v>
      </c>
      <c r="B179" s="22">
        <v>44774</v>
      </c>
      <c r="C179">
        <v>418.239990234375</v>
      </c>
      <c r="D179">
        <v>445.489990234375</v>
      </c>
      <c r="E179">
        <v>416.6400146484375</v>
      </c>
      <c r="F179">
        <v>420.1099853515625</v>
      </c>
      <c r="G179">
        <v>24176000</v>
      </c>
      <c r="H179">
        <v>398.18197631835938</v>
      </c>
      <c r="I179">
        <v>2.8</v>
      </c>
      <c r="J179" t="s">
        <v>653</v>
      </c>
      <c r="K179" s="22">
        <v>45530</v>
      </c>
      <c r="M179">
        <v>5.97113037109375</v>
      </c>
      <c r="N179">
        <v>1.52243489285846E-2</v>
      </c>
      <c r="O179">
        <v>1.8699951171875</v>
      </c>
      <c r="P179">
        <v>27.25</v>
      </c>
      <c r="Q179" t="s">
        <v>587</v>
      </c>
      <c r="R179">
        <v>2022</v>
      </c>
    </row>
    <row r="180" spans="1:18" hidden="1" x14ac:dyDescent="0.35">
      <c r="A180" t="s">
        <v>654</v>
      </c>
      <c r="B180" s="22">
        <v>44805</v>
      </c>
      <c r="C180">
        <v>418.239990234375</v>
      </c>
      <c r="D180">
        <v>433.79000854492188</v>
      </c>
      <c r="E180">
        <v>381.54998779296881</v>
      </c>
      <c r="F180">
        <v>386.29000854492188</v>
      </c>
      <c r="G180">
        <v>26713100</v>
      </c>
      <c r="H180">
        <v>368.5548095703125</v>
      </c>
      <c r="I180">
        <v>0</v>
      </c>
      <c r="J180" t="s">
        <v>653</v>
      </c>
      <c r="K180" s="22">
        <v>45530</v>
      </c>
      <c r="M180">
        <v>-29.627166748046879</v>
      </c>
      <c r="N180">
        <v>-8.0502673075811049E-2</v>
      </c>
      <c r="O180">
        <v>-31.949981689453121</v>
      </c>
      <c r="P180">
        <v>15.55001831054688</v>
      </c>
      <c r="Q180" t="s">
        <v>589</v>
      </c>
      <c r="R180">
        <v>2022</v>
      </c>
    </row>
    <row r="181" spans="1:18" hidden="1" x14ac:dyDescent="0.35">
      <c r="A181" t="s">
        <v>654</v>
      </c>
      <c r="B181" s="22">
        <v>44835</v>
      </c>
      <c r="C181">
        <v>389.739990234375</v>
      </c>
      <c r="D181">
        <v>491.1400146484375</v>
      </c>
      <c r="E181">
        <v>388.10000610351563</v>
      </c>
      <c r="F181">
        <v>486.67999267578119</v>
      </c>
      <c r="G181">
        <v>32646500</v>
      </c>
      <c r="H181">
        <v>464.335693359375</v>
      </c>
      <c r="I181">
        <v>0</v>
      </c>
      <c r="J181" t="s">
        <v>653</v>
      </c>
      <c r="K181" s="22">
        <v>45530</v>
      </c>
      <c r="M181">
        <v>95.7808837890625</v>
      </c>
      <c r="N181">
        <v>0.25988242488851482</v>
      </c>
      <c r="O181">
        <v>96.94000244140625</v>
      </c>
      <c r="P181">
        <v>101.4000244140625</v>
      </c>
      <c r="Q181" t="s">
        <v>584</v>
      </c>
      <c r="R181">
        <v>2022</v>
      </c>
    </row>
    <row r="182" spans="1:18" hidden="1" x14ac:dyDescent="0.35">
      <c r="A182" t="s">
        <v>654</v>
      </c>
      <c r="B182" s="22">
        <v>44866</v>
      </c>
      <c r="C182">
        <v>486.02999877929688</v>
      </c>
      <c r="D182">
        <v>494.66000366210938</v>
      </c>
      <c r="E182">
        <v>458.04998779296881</v>
      </c>
      <c r="F182">
        <v>485.19000244140619</v>
      </c>
      <c r="G182">
        <v>30772000</v>
      </c>
      <c r="H182">
        <v>462.91412353515619</v>
      </c>
      <c r="I182">
        <v>3</v>
      </c>
      <c r="J182" t="s">
        <v>653</v>
      </c>
      <c r="K182" s="22">
        <v>45530</v>
      </c>
      <c r="M182">
        <v>-1.42156982421875</v>
      </c>
      <c r="N182">
        <v>-3.0615399375326651E-3</v>
      </c>
      <c r="O182">
        <v>-0.839996337890625</v>
      </c>
      <c r="P182">
        <v>8.6300048828125</v>
      </c>
      <c r="Q182" t="s">
        <v>588</v>
      </c>
      <c r="R182">
        <v>2022</v>
      </c>
    </row>
    <row r="183" spans="1:18" hidden="1" x14ac:dyDescent="0.35">
      <c r="A183" t="s">
        <v>654</v>
      </c>
      <c r="B183" s="22">
        <v>44896</v>
      </c>
      <c r="C183">
        <v>486.51998901367188</v>
      </c>
      <c r="D183">
        <v>498.95001220703119</v>
      </c>
      <c r="E183">
        <v>473.67001342773438</v>
      </c>
      <c r="F183">
        <v>486.489990234375</v>
      </c>
      <c r="G183">
        <v>23687600</v>
      </c>
      <c r="H183">
        <v>467.04879760742188</v>
      </c>
      <c r="I183">
        <v>0</v>
      </c>
      <c r="J183" t="s">
        <v>653</v>
      </c>
      <c r="K183" s="22">
        <v>45530</v>
      </c>
      <c r="M183">
        <v>4.134674072265625</v>
      </c>
      <c r="N183">
        <v>2.6793375511189321E-3</v>
      </c>
      <c r="O183">
        <v>-2.9998779296875E-2</v>
      </c>
      <c r="P183">
        <v>12.43002319335938</v>
      </c>
      <c r="Q183" t="s">
        <v>589</v>
      </c>
      <c r="R183">
        <v>2022</v>
      </c>
    </row>
    <row r="184" spans="1:18" hidden="1" x14ac:dyDescent="0.35">
      <c r="A184" t="s">
        <v>654</v>
      </c>
      <c r="B184" s="22">
        <v>44927</v>
      </c>
      <c r="C184">
        <v>483.3900146484375</v>
      </c>
      <c r="D184">
        <v>488</v>
      </c>
      <c r="E184">
        <v>437.6199951171875</v>
      </c>
      <c r="F184">
        <v>463.260009765625</v>
      </c>
      <c r="G184">
        <v>34505600</v>
      </c>
      <c r="H184">
        <v>444.74713134765619</v>
      </c>
      <c r="I184">
        <v>0</v>
      </c>
      <c r="J184" t="s">
        <v>653</v>
      </c>
      <c r="K184" s="22">
        <v>45530</v>
      </c>
      <c r="M184">
        <v>-22.301666259765621</v>
      </c>
      <c r="N184">
        <v>-4.7750171504163053E-2</v>
      </c>
      <c r="O184">
        <v>-20.1300048828125</v>
      </c>
      <c r="P184">
        <v>4.6099853515625</v>
      </c>
      <c r="Q184" t="s">
        <v>585</v>
      </c>
      <c r="R184">
        <v>2023</v>
      </c>
    </row>
    <row r="185" spans="1:18" hidden="1" x14ac:dyDescent="0.35">
      <c r="A185" t="s">
        <v>654</v>
      </c>
      <c r="B185" s="22">
        <v>44958</v>
      </c>
      <c r="C185">
        <v>462.510009765625</v>
      </c>
      <c r="D185">
        <v>489.5</v>
      </c>
      <c r="E185">
        <v>453.92001342773438</v>
      </c>
      <c r="F185">
        <v>474.260009765625</v>
      </c>
      <c r="G185">
        <v>23119100</v>
      </c>
      <c r="H185">
        <v>455.30755615234381</v>
      </c>
      <c r="I185">
        <v>3</v>
      </c>
      <c r="J185" t="s">
        <v>653</v>
      </c>
      <c r="K185" s="22">
        <v>45530</v>
      </c>
      <c r="M185">
        <v>10.5604248046875</v>
      </c>
      <c r="N185">
        <v>2.3744764858000918E-2</v>
      </c>
      <c r="O185">
        <v>11.75</v>
      </c>
      <c r="P185">
        <v>26.989990234375</v>
      </c>
      <c r="Q185" t="s">
        <v>583</v>
      </c>
      <c r="R185">
        <v>2023</v>
      </c>
    </row>
    <row r="186" spans="1:18" hidden="1" x14ac:dyDescent="0.35">
      <c r="A186" t="s">
        <v>654</v>
      </c>
      <c r="B186" s="22">
        <v>44986</v>
      </c>
      <c r="C186">
        <v>473.26998901367188</v>
      </c>
      <c r="D186">
        <v>487.6400146484375</v>
      </c>
      <c r="E186">
        <v>463.29000854492188</v>
      </c>
      <c r="F186">
        <v>472.73001098632813</v>
      </c>
      <c r="G186">
        <v>34410200</v>
      </c>
      <c r="H186">
        <v>456.69610595703119</v>
      </c>
      <c r="I186">
        <v>0</v>
      </c>
      <c r="J186" t="s">
        <v>653</v>
      </c>
      <c r="K186" s="22">
        <v>45530</v>
      </c>
      <c r="M186">
        <v>1.3885498046875</v>
      </c>
      <c r="N186">
        <v>-3.2260758819893098E-3</v>
      </c>
      <c r="O186">
        <v>-0.53997802734375</v>
      </c>
      <c r="P186">
        <v>14.37002563476562</v>
      </c>
      <c r="Q186" t="s">
        <v>583</v>
      </c>
      <c r="R186">
        <v>2023</v>
      </c>
    </row>
    <row r="187" spans="1:18" hidden="1" x14ac:dyDescent="0.35">
      <c r="A187" t="s">
        <v>654</v>
      </c>
      <c r="B187" s="22">
        <v>45017</v>
      </c>
      <c r="C187">
        <v>473</v>
      </c>
      <c r="D187">
        <v>508.10000610351563</v>
      </c>
      <c r="E187">
        <v>459.60000610351563</v>
      </c>
      <c r="F187">
        <v>464.45001220703119</v>
      </c>
      <c r="G187">
        <v>23175700</v>
      </c>
      <c r="H187">
        <v>448.6968994140625</v>
      </c>
      <c r="I187">
        <v>0</v>
      </c>
      <c r="J187" t="s">
        <v>653</v>
      </c>
      <c r="K187" s="22">
        <v>45530</v>
      </c>
      <c r="M187">
        <v>-7.99920654296875</v>
      </c>
      <c r="N187">
        <v>-1.7515280576371861E-2</v>
      </c>
      <c r="O187">
        <v>-8.54998779296875</v>
      </c>
      <c r="P187">
        <v>35.100006103515618</v>
      </c>
      <c r="Q187" t="s">
        <v>584</v>
      </c>
      <c r="R187">
        <v>2023</v>
      </c>
    </row>
    <row r="188" spans="1:18" hidden="1" x14ac:dyDescent="0.35">
      <c r="A188" t="s">
        <v>654</v>
      </c>
      <c r="B188" s="22">
        <v>45047</v>
      </c>
      <c r="C188">
        <v>465.04000854492188</v>
      </c>
      <c r="D188">
        <v>471.07998657226563</v>
      </c>
      <c r="E188">
        <v>439.70001220703119</v>
      </c>
      <c r="F188">
        <v>444.010009765625</v>
      </c>
      <c r="G188">
        <v>21555700</v>
      </c>
      <c r="H188">
        <v>428.9501953125</v>
      </c>
      <c r="I188">
        <v>3</v>
      </c>
      <c r="J188" t="s">
        <v>653</v>
      </c>
      <c r="K188" s="22">
        <v>45530</v>
      </c>
      <c r="M188">
        <v>-19.7467041015625</v>
      </c>
      <c r="N188">
        <v>-4.4009047053905508E-2</v>
      </c>
      <c r="O188">
        <v>-21.029998779296879</v>
      </c>
      <c r="P188">
        <v>6.03997802734375</v>
      </c>
      <c r="Q188" t="s">
        <v>587</v>
      </c>
      <c r="R188">
        <v>2023</v>
      </c>
    </row>
    <row r="189" spans="1:18" hidden="1" x14ac:dyDescent="0.35">
      <c r="A189" t="s">
        <v>654</v>
      </c>
      <c r="B189" s="22">
        <v>45078</v>
      </c>
      <c r="C189">
        <v>445.60000610351563</v>
      </c>
      <c r="D189">
        <v>467.17001342773438</v>
      </c>
      <c r="E189">
        <v>443.42001342773438</v>
      </c>
      <c r="F189">
        <v>460.3800048828125</v>
      </c>
      <c r="G189">
        <v>19690200</v>
      </c>
      <c r="H189">
        <v>447.7635498046875</v>
      </c>
      <c r="I189">
        <v>0</v>
      </c>
      <c r="J189" t="s">
        <v>653</v>
      </c>
      <c r="K189" s="22">
        <v>45530</v>
      </c>
      <c r="M189">
        <v>18.8133544921875</v>
      </c>
      <c r="N189">
        <v>3.6868527188899547E-2</v>
      </c>
      <c r="O189">
        <v>14.77999877929688</v>
      </c>
      <c r="P189">
        <v>21.57000732421875</v>
      </c>
      <c r="Q189" t="s">
        <v>589</v>
      </c>
      <c r="R189">
        <v>2023</v>
      </c>
    </row>
    <row r="190" spans="1:18" hidden="1" x14ac:dyDescent="0.35">
      <c r="A190" t="s">
        <v>654</v>
      </c>
      <c r="B190" s="22">
        <v>45108</v>
      </c>
      <c r="C190">
        <v>460</v>
      </c>
      <c r="D190">
        <v>479.5</v>
      </c>
      <c r="E190">
        <v>444.6300048828125</v>
      </c>
      <c r="F190">
        <v>446.3699951171875</v>
      </c>
      <c r="G190">
        <v>24009000</v>
      </c>
      <c r="H190">
        <v>434.13748168945313</v>
      </c>
      <c r="I190">
        <v>0</v>
      </c>
      <c r="J190" t="s">
        <v>653</v>
      </c>
      <c r="K190" s="22">
        <v>45530</v>
      </c>
      <c r="M190">
        <v>-13.62606811523438</v>
      </c>
      <c r="N190">
        <v>-3.0431403660094229E-2</v>
      </c>
      <c r="O190">
        <v>-13.6300048828125</v>
      </c>
      <c r="P190">
        <v>19.5</v>
      </c>
      <c r="Q190" t="s">
        <v>584</v>
      </c>
      <c r="R190">
        <v>2023</v>
      </c>
    </row>
    <row r="191" spans="1:18" hidden="1" x14ac:dyDescent="0.35">
      <c r="A191" t="s">
        <v>654</v>
      </c>
      <c r="B191" s="22">
        <v>45139</v>
      </c>
      <c r="C191">
        <v>447.02999877929688</v>
      </c>
      <c r="D191">
        <v>457.67001342773438</v>
      </c>
      <c r="E191">
        <v>442.29998779296881</v>
      </c>
      <c r="F191">
        <v>448.35000610351563</v>
      </c>
      <c r="G191">
        <v>19348300</v>
      </c>
      <c r="H191">
        <v>436.063232421875</v>
      </c>
      <c r="I191">
        <v>3</v>
      </c>
      <c r="J191" t="s">
        <v>653</v>
      </c>
      <c r="K191" s="22">
        <v>45530</v>
      </c>
      <c r="M191">
        <v>1.925750732421875</v>
      </c>
      <c r="N191">
        <v>4.4358066357221837E-3</v>
      </c>
      <c r="O191">
        <v>1.32000732421875</v>
      </c>
      <c r="P191">
        <v>10.6400146484375</v>
      </c>
      <c r="Q191" t="s">
        <v>588</v>
      </c>
      <c r="R191">
        <v>2023</v>
      </c>
    </row>
    <row r="192" spans="1:18" hidden="1" x14ac:dyDescent="0.35">
      <c r="A192" t="s">
        <v>654</v>
      </c>
      <c r="B192" s="22">
        <v>45170</v>
      </c>
      <c r="C192">
        <v>450.32000732421881</v>
      </c>
      <c r="D192">
        <v>451.8900146484375</v>
      </c>
      <c r="E192">
        <v>405.72000122070313</v>
      </c>
      <c r="F192">
        <v>408.95999145507813</v>
      </c>
      <c r="G192">
        <v>23734800</v>
      </c>
      <c r="H192">
        <v>400.4078369140625</v>
      </c>
      <c r="I192">
        <v>0</v>
      </c>
      <c r="J192" t="s">
        <v>653</v>
      </c>
      <c r="K192" s="22">
        <v>45530</v>
      </c>
      <c r="M192">
        <v>-35.6553955078125</v>
      </c>
      <c r="N192">
        <v>-8.7855501532753566E-2</v>
      </c>
      <c r="O192">
        <v>-41.360015869140618</v>
      </c>
      <c r="P192">
        <v>1.57000732421875</v>
      </c>
      <c r="Q192" t="s">
        <v>586</v>
      </c>
      <c r="R192">
        <v>2023</v>
      </c>
    </row>
    <row r="193" spans="1:18" hidden="1" x14ac:dyDescent="0.35">
      <c r="A193" t="s">
        <v>654</v>
      </c>
      <c r="B193" s="22">
        <v>45200</v>
      </c>
      <c r="C193">
        <v>408.95999145507813</v>
      </c>
      <c r="D193">
        <v>455.1300048828125</v>
      </c>
      <c r="E193">
        <v>393.76998901367188</v>
      </c>
      <c r="F193">
        <v>454.6400146484375</v>
      </c>
      <c r="G193">
        <v>37176800</v>
      </c>
      <c r="H193">
        <v>445.13262939453119</v>
      </c>
      <c r="I193">
        <v>0</v>
      </c>
      <c r="J193" t="s">
        <v>653</v>
      </c>
      <c r="K193" s="22">
        <v>45530</v>
      </c>
      <c r="M193">
        <v>44.72479248046875</v>
      </c>
      <c r="N193">
        <v>0.1116980246180808</v>
      </c>
      <c r="O193">
        <v>45.680023193359382</v>
      </c>
      <c r="P193">
        <v>46.170013427734382</v>
      </c>
      <c r="Q193" t="s">
        <v>585</v>
      </c>
      <c r="R193">
        <v>2023</v>
      </c>
    </row>
    <row r="194" spans="1:18" hidden="1" x14ac:dyDescent="0.35">
      <c r="A194" t="s">
        <v>654</v>
      </c>
      <c r="B194" s="22">
        <v>45231</v>
      </c>
      <c r="C194">
        <v>456.32998657226563</v>
      </c>
      <c r="D194">
        <v>458.22000122070313</v>
      </c>
      <c r="E194">
        <v>439.67999267578119</v>
      </c>
      <c r="F194">
        <v>447.76998901367188</v>
      </c>
      <c r="G194">
        <v>25202500</v>
      </c>
      <c r="H194">
        <v>438.40625</v>
      </c>
      <c r="I194">
        <v>3.15</v>
      </c>
      <c r="J194" t="s">
        <v>653</v>
      </c>
      <c r="K194" s="22">
        <v>45530</v>
      </c>
      <c r="M194">
        <v>-6.72637939453125</v>
      </c>
      <c r="N194">
        <v>-1.5110912839640941E-2</v>
      </c>
      <c r="O194">
        <v>-8.55999755859375</v>
      </c>
      <c r="P194">
        <v>1.8900146484375</v>
      </c>
      <c r="Q194" t="s">
        <v>583</v>
      </c>
      <c r="R194">
        <v>2023</v>
      </c>
    </row>
    <row r="195" spans="1:18" hidden="1" x14ac:dyDescent="0.35">
      <c r="A195" t="s">
        <v>654</v>
      </c>
      <c r="B195" s="22">
        <v>45261</v>
      </c>
      <c r="C195">
        <v>448.39999389648438</v>
      </c>
      <c r="D195">
        <v>454.19000244140619</v>
      </c>
      <c r="E195">
        <v>438.70999145507813</v>
      </c>
      <c r="F195">
        <v>453.239990234375</v>
      </c>
      <c r="G195">
        <v>22109700</v>
      </c>
      <c r="H195">
        <v>446.9254150390625</v>
      </c>
      <c r="I195">
        <v>0</v>
      </c>
      <c r="J195" t="s">
        <v>653</v>
      </c>
      <c r="K195" s="22">
        <v>45530</v>
      </c>
      <c r="M195">
        <v>8.5191650390625</v>
      </c>
      <c r="N195">
        <v>1.2216096109415989E-2</v>
      </c>
      <c r="O195">
        <v>4.839996337890625</v>
      </c>
      <c r="P195">
        <v>5.790008544921875</v>
      </c>
      <c r="Q195" t="s">
        <v>586</v>
      </c>
      <c r="R195">
        <v>2023</v>
      </c>
    </row>
    <row r="196" spans="1:18" hidden="1" x14ac:dyDescent="0.35">
      <c r="A196" t="s">
        <v>656</v>
      </c>
      <c r="B196" s="22">
        <v>43466</v>
      </c>
      <c r="C196">
        <v>21.525680541992191</v>
      </c>
      <c r="D196">
        <v>23.700906753540039</v>
      </c>
      <c r="E196">
        <v>21.3746223449707</v>
      </c>
      <c r="F196">
        <v>22.703926086425781</v>
      </c>
      <c r="G196">
        <v>1035320203</v>
      </c>
      <c r="H196">
        <v>14.49882888793945</v>
      </c>
      <c r="I196">
        <v>0.51</v>
      </c>
      <c r="J196" t="s">
        <v>655</v>
      </c>
      <c r="K196" s="22">
        <v>45530</v>
      </c>
      <c r="L196">
        <v>0</v>
      </c>
      <c r="O196">
        <v>1.178245544433594</v>
      </c>
      <c r="P196">
        <v>2.175226211547852</v>
      </c>
      <c r="Q196" t="s">
        <v>588</v>
      </c>
      <c r="R196">
        <v>2019</v>
      </c>
    </row>
    <row r="197" spans="1:18" hidden="1" x14ac:dyDescent="0.35">
      <c r="A197" t="s">
        <v>656</v>
      </c>
      <c r="B197" s="22">
        <v>43497</v>
      </c>
      <c r="C197">
        <v>22.817220687866211</v>
      </c>
      <c r="D197">
        <v>23.73867034912109</v>
      </c>
      <c r="E197">
        <v>21.842899322509769</v>
      </c>
      <c r="F197">
        <v>23.504531860351559</v>
      </c>
      <c r="G197">
        <v>734370370</v>
      </c>
      <c r="H197">
        <v>15.341274261474609</v>
      </c>
      <c r="I197">
        <v>0</v>
      </c>
      <c r="J197" t="s">
        <v>655</v>
      </c>
      <c r="K197" s="22">
        <v>45530</v>
      </c>
      <c r="L197">
        <v>0</v>
      </c>
      <c r="M197">
        <v>0.84244537353515625</v>
      </c>
      <c r="N197">
        <v>3.5262877921561131E-2</v>
      </c>
      <c r="O197">
        <v>0.68731117248535156</v>
      </c>
      <c r="P197">
        <v>0.92144966125488281</v>
      </c>
      <c r="Q197" t="s">
        <v>586</v>
      </c>
      <c r="R197">
        <v>2019</v>
      </c>
    </row>
    <row r="198" spans="1:18" hidden="1" x14ac:dyDescent="0.35">
      <c r="A198" t="s">
        <v>656</v>
      </c>
      <c r="B198" s="22">
        <v>43525</v>
      </c>
      <c r="C198">
        <v>23.56495475769043</v>
      </c>
      <c r="D198">
        <v>23.897281646728519</v>
      </c>
      <c r="E198">
        <v>22.409366607666019</v>
      </c>
      <c r="F198">
        <v>23.685800552368161</v>
      </c>
      <c r="G198">
        <v>809223372</v>
      </c>
      <c r="H198">
        <v>15.45958232879639</v>
      </c>
      <c r="I198">
        <v>0</v>
      </c>
      <c r="J198" t="s">
        <v>655</v>
      </c>
      <c r="K198" s="22">
        <v>45530</v>
      </c>
      <c r="L198">
        <v>0</v>
      </c>
      <c r="M198">
        <v>0.1183080673217773</v>
      </c>
      <c r="N198">
        <v>7.7120741265377379E-3</v>
      </c>
      <c r="O198">
        <v>0.1208457946777344</v>
      </c>
      <c r="P198">
        <v>0.33232688903808588</v>
      </c>
      <c r="Q198" t="s">
        <v>586</v>
      </c>
      <c r="R198">
        <v>2019</v>
      </c>
    </row>
    <row r="199" spans="1:18" hidden="1" x14ac:dyDescent="0.35">
      <c r="A199" t="s">
        <v>656</v>
      </c>
      <c r="B199" s="22">
        <v>43556</v>
      </c>
      <c r="C199">
        <v>23.867069244384769</v>
      </c>
      <c r="D199">
        <v>24.561933517456051</v>
      </c>
      <c r="E199">
        <v>22.69637489318848</v>
      </c>
      <c r="F199">
        <v>23.383686065673832</v>
      </c>
      <c r="G199">
        <v>875160822</v>
      </c>
      <c r="H199">
        <v>15.26239585876465</v>
      </c>
      <c r="I199">
        <v>0.51</v>
      </c>
      <c r="J199" t="s">
        <v>655</v>
      </c>
      <c r="K199" s="22">
        <v>45530</v>
      </c>
      <c r="L199">
        <v>0</v>
      </c>
      <c r="M199">
        <v>-0.19718647003173831</v>
      </c>
      <c r="N199">
        <v>-1.275508868810982E-2</v>
      </c>
      <c r="O199">
        <v>-0.4833831787109375</v>
      </c>
      <c r="P199">
        <v>0.69486427307128906</v>
      </c>
      <c r="Q199" t="s">
        <v>587</v>
      </c>
      <c r="R199">
        <v>2019</v>
      </c>
    </row>
    <row r="200" spans="1:18" hidden="1" x14ac:dyDescent="0.35">
      <c r="A200" t="s">
        <v>656</v>
      </c>
      <c r="B200" s="22">
        <v>43586</v>
      </c>
      <c r="C200">
        <v>23.451662063598629</v>
      </c>
      <c r="D200">
        <v>24.984893798828121</v>
      </c>
      <c r="E200">
        <v>22.75679779052734</v>
      </c>
      <c r="F200">
        <v>23.096677780151371</v>
      </c>
      <c r="G200">
        <v>816153717</v>
      </c>
      <c r="H200">
        <v>15.39603424072266</v>
      </c>
      <c r="I200">
        <v>0</v>
      </c>
      <c r="J200" t="s">
        <v>655</v>
      </c>
      <c r="K200" s="22">
        <v>45530</v>
      </c>
      <c r="L200">
        <v>0</v>
      </c>
      <c r="M200">
        <v>0.13363838195800781</v>
      </c>
      <c r="N200">
        <v>-1.2273868401944331E-2</v>
      </c>
      <c r="O200">
        <v>-0.35498428344726563</v>
      </c>
      <c r="P200">
        <v>1.533231735229492</v>
      </c>
      <c r="Q200" t="s">
        <v>583</v>
      </c>
      <c r="R200">
        <v>2019</v>
      </c>
    </row>
    <row r="201" spans="1:18" hidden="1" x14ac:dyDescent="0.35">
      <c r="A201" t="s">
        <v>656</v>
      </c>
      <c r="B201" s="22">
        <v>43617</v>
      </c>
      <c r="C201">
        <v>23.20241737365723</v>
      </c>
      <c r="D201">
        <v>25.339878082275391</v>
      </c>
      <c r="E201">
        <v>23.17220497131348</v>
      </c>
      <c r="F201">
        <v>25.30966758728027</v>
      </c>
      <c r="G201">
        <v>679868042</v>
      </c>
      <c r="H201">
        <v>16.87119102478027</v>
      </c>
      <c r="I201">
        <v>0</v>
      </c>
      <c r="J201" t="s">
        <v>655</v>
      </c>
      <c r="K201" s="22">
        <v>45530</v>
      </c>
      <c r="L201">
        <v>0</v>
      </c>
      <c r="M201">
        <v>1.475156784057617</v>
      </c>
      <c r="N201">
        <v>9.5814204458040564E-2</v>
      </c>
      <c r="O201">
        <v>2.1072502136230469</v>
      </c>
      <c r="P201">
        <v>2.1374607086181641</v>
      </c>
      <c r="Q201" t="s">
        <v>584</v>
      </c>
      <c r="R201">
        <v>2019</v>
      </c>
    </row>
    <row r="202" spans="1:18" hidden="1" x14ac:dyDescent="0.35">
      <c r="A202" t="s">
        <v>656</v>
      </c>
      <c r="B202" s="22">
        <v>43647</v>
      </c>
      <c r="C202">
        <v>25.5362548828125</v>
      </c>
      <c r="D202">
        <v>26.163141250610352</v>
      </c>
      <c r="E202">
        <v>23.806646347045898</v>
      </c>
      <c r="F202">
        <v>25.717523574829102</v>
      </c>
      <c r="G202">
        <v>891283965</v>
      </c>
      <c r="H202">
        <v>17.143062591552731</v>
      </c>
      <c r="I202">
        <v>0.51</v>
      </c>
      <c r="J202" t="s">
        <v>655</v>
      </c>
      <c r="K202" s="22">
        <v>45530</v>
      </c>
      <c r="L202">
        <v>0</v>
      </c>
      <c r="M202">
        <v>0.27187156677246088</v>
      </c>
      <c r="N202">
        <v>1.6114632329418791E-2</v>
      </c>
      <c r="O202">
        <v>0.18126869201660159</v>
      </c>
      <c r="P202">
        <v>0.62688636779785156</v>
      </c>
      <c r="Q202" t="s">
        <v>587</v>
      </c>
      <c r="R202">
        <v>2019</v>
      </c>
    </row>
    <row r="203" spans="1:18" hidden="1" x14ac:dyDescent="0.35">
      <c r="A203" t="s">
        <v>656</v>
      </c>
      <c r="B203" s="22">
        <v>43678</v>
      </c>
      <c r="C203">
        <v>26.042295455932621</v>
      </c>
      <c r="D203">
        <v>26.812688827514648</v>
      </c>
      <c r="E203">
        <v>25.067975997924801</v>
      </c>
      <c r="F203">
        <v>26.63142013549805</v>
      </c>
      <c r="G203">
        <v>834448749</v>
      </c>
      <c r="H203">
        <v>18.109279632568359</v>
      </c>
      <c r="I203">
        <v>0</v>
      </c>
      <c r="J203" t="s">
        <v>655</v>
      </c>
      <c r="K203" s="22">
        <v>45530</v>
      </c>
      <c r="L203">
        <v>0</v>
      </c>
      <c r="M203">
        <v>0.966217041015625</v>
      </c>
      <c r="N203">
        <v>3.5535947231070793E-2</v>
      </c>
      <c r="O203">
        <v>0.58912467956542969</v>
      </c>
      <c r="P203">
        <v>0.77039337158203125</v>
      </c>
      <c r="Q203" t="s">
        <v>589</v>
      </c>
      <c r="R203">
        <v>2019</v>
      </c>
    </row>
    <row r="204" spans="1:18" hidden="1" x14ac:dyDescent="0.35">
      <c r="A204" t="s">
        <v>656</v>
      </c>
      <c r="B204" s="22">
        <v>43709</v>
      </c>
      <c r="C204">
        <v>26.495468139648441</v>
      </c>
      <c r="D204">
        <v>29.26737213134766</v>
      </c>
      <c r="E204">
        <v>26.3746223449707</v>
      </c>
      <c r="F204">
        <v>28.580059051513668</v>
      </c>
      <c r="G204">
        <v>1012501065</v>
      </c>
      <c r="H204">
        <v>19.43435096740723</v>
      </c>
      <c r="I204">
        <v>0</v>
      </c>
      <c r="J204" t="s">
        <v>655</v>
      </c>
      <c r="K204" s="22">
        <v>45530</v>
      </c>
      <c r="L204">
        <v>0</v>
      </c>
      <c r="M204">
        <v>1.325071334838867</v>
      </c>
      <c r="N204">
        <v>7.3170672314925023E-2</v>
      </c>
      <c r="O204">
        <v>2.0845909118652339</v>
      </c>
      <c r="P204">
        <v>2.7719039916992192</v>
      </c>
      <c r="Q204" t="s">
        <v>585</v>
      </c>
      <c r="R204">
        <v>2019</v>
      </c>
    </row>
    <row r="205" spans="1:18" hidden="1" x14ac:dyDescent="0.35">
      <c r="A205" t="s">
        <v>656</v>
      </c>
      <c r="B205" s="22">
        <v>43739</v>
      </c>
      <c r="C205">
        <v>28.663141250610352</v>
      </c>
      <c r="D205">
        <v>29.358005523681641</v>
      </c>
      <c r="E205">
        <v>27.598186492919918</v>
      </c>
      <c r="F205">
        <v>29.07099723815918</v>
      </c>
      <c r="G205">
        <v>853834224</v>
      </c>
      <c r="H205">
        <v>19.768186569213871</v>
      </c>
      <c r="I205">
        <v>0.51</v>
      </c>
      <c r="J205" t="s">
        <v>655</v>
      </c>
      <c r="K205" s="22">
        <v>45530</v>
      </c>
      <c r="L205">
        <v>0</v>
      </c>
      <c r="M205">
        <v>0.33383560180664063</v>
      </c>
      <c r="N205">
        <v>1.7177647735458601E-2</v>
      </c>
      <c r="O205">
        <v>0.40785598754882813</v>
      </c>
      <c r="P205">
        <v>0.69486427307128906</v>
      </c>
      <c r="Q205" t="s">
        <v>588</v>
      </c>
      <c r="R205">
        <v>2019</v>
      </c>
    </row>
    <row r="206" spans="1:18" hidden="1" x14ac:dyDescent="0.35">
      <c r="A206" t="s">
        <v>656</v>
      </c>
      <c r="B206" s="22">
        <v>43770</v>
      </c>
      <c r="C206">
        <v>29.418428421020511</v>
      </c>
      <c r="D206">
        <v>29.984893798828121</v>
      </c>
      <c r="E206">
        <v>27.492446899414059</v>
      </c>
      <c r="F206">
        <v>28.23262786865234</v>
      </c>
      <c r="G206">
        <v>802378688</v>
      </c>
      <c r="H206">
        <v>19.55031585693359</v>
      </c>
      <c r="I206">
        <v>0</v>
      </c>
      <c r="J206" t="s">
        <v>655</v>
      </c>
      <c r="K206" s="22">
        <v>45530</v>
      </c>
      <c r="L206">
        <v>0</v>
      </c>
      <c r="M206">
        <v>-0.21787071228027341</v>
      </c>
      <c r="N206">
        <v>-2.8838686290622809E-2</v>
      </c>
      <c r="O206">
        <v>-1.1858005523681641</v>
      </c>
      <c r="P206">
        <v>0.56646537780761719</v>
      </c>
      <c r="Q206" t="s">
        <v>586</v>
      </c>
      <c r="R206">
        <v>2019</v>
      </c>
    </row>
    <row r="207" spans="1:18" hidden="1" x14ac:dyDescent="0.35">
      <c r="A207" t="s">
        <v>656</v>
      </c>
      <c r="B207" s="22">
        <v>43800</v>
      </c>
      <c r="C207">
        <v>28.308156967163089</v>
      </c>
      <c r="D207">
        <v>29.78096771240234</v>
      </c>
      <c r="E207">
        <v>27.877643585205082</v>
      </c>
      <c r="F207">
        <v>29.516616821289059</v>
      </c>
      <c r="G207">
        <v>679722535</v>
      </c>
      <c r="H207">
        <v>20.4394416809082</v>
      </c>
      <c r="I207">
        <v>0</v>
      </c>
      <c r="J207" t="s">
        <v>655</v>
      </c>
      <c r="K207" s="22">
        <v>45530</v>
      </c>
      <c r="L207">
        <v>0</v>
      </c>
      <c r="M207">
        <v>0.88912582397460938</v>
      </c>
      <c r="N207">
        <v>4.5478903296223949E-2</v>
      </c>
      <c r="O207">
        <v>1.208459854125977</v>
      </c>
      <c r="P207">
        <v>1.472810745239258</v>
      </c>
      <c r="Q207" t="s">
        <v>585</v>
      </c>
      <c r="R207">
        <v>2019</v>
      </c>
    </row>
    <row r="208" spans="1:18" hidden="1" x14ac:dyDescent="0.35">
      <c r="A208" t="s">
        <v>656</v>
      </c>
      <c r="B208" s="22">
        <v>43831</v>
      </c>
      <c r="C208">
        <v>29.57703971862793</v>
      </c>
      <c r="D208">
        <v>29.871601104736332</v>
      </c>
      <c r="E208">
        <v>27.432024002075199</v>
      </c>
      <c r="F208">
        <v>28.413896560668949</v>
      </c>
      <c r="G208">
        <v>982957591</v>
      </c>
      <c r="H208">
        <v>19.675840377807621</v>
      </c>
      <c r="I208">
        <v>0.52</v>
      </c>
      <c r="J208" t="s">
        <v>655</v>
      </c>
      <c r="K208" s="22">
        <v>45530</v>
      </c>
      <c r="L208">
        <v>0</v>
      </c>
      <c r="M208">
        <v>-0.76360130310058594</v>
      </c>
      <c r="N208">
        <v>-3.7359303991261417E-2</v>
      </c>
      <c r="O208">
        <v>-1.1631431579589839</v>
      </c>
      <c r="P208">
        <v>0.29456138610839838</v>
      </c>
      <c r="Q208" t="s">
        <v>583</v>
      </c>
      <c r="R208">
        <v>2020</v>
      </c>
    </row>
    <row r="209" spans="1:18" hidden="1" x14ac:dyDescent="0.35">
      <c r="A209" t="s">
        <v>656</v>
      </c>
      <c r="B209" s="22">
        <v>43862</v>
      </c>
      <c r="C209">
        <v>28.670694351196289</v>
      </c>
      <c r="D209">
        <v>29.320241928100589</v>
      </c>
      <c r="E209">
        <v>24.932024002075199</v>
      </c>
      <c r="F209">
        <v>26.6012077331543</v>
      </c>
      <c r="G209">
        <v>922054388</v>
      </c>
      <c r="H209">
        <v>18.74846076965332</v>
      </c>
      <c r="I209">
        <v>0</v>
      </c>
      <c r="J209" t="s">
        <v>655</v>
      </c>
      <c r="K209" s="22">
        <v>45530</v>
      </c>
      <c r="L209">
        <v>0</v>
      </c>
      <c r="M209">
        <v>-0.92737960815429688</v>
      </c>
      <c r="N209">
        <v>-6.3795855089576414E-2</v>
      </c>
      <c r="O209">
        <v>-2.0694866180419922</v>
      </c>
      <c r="P209">
        <v>0.64954757690429688</v>
      </c>
      <c r="Q209" t="s">
        <v>584</v>
      </c>
      <c r="R209">
        <v>2020</v>
      </c>
    </row>
    <row r="210" spans="1:18" hidden="1" x14ac:dyDescent="0.35">
      <c r="A210" t="s">
        <v>656</v>
      </c>
      <c r="B210" s="22">
        <v>43891</v>
      </c>
      <c r="C210">
        <v>26.71450233459473</v>
      </c>
      <c r="D210">
        <v>28.867069244384769</v>
      </c>
      <c r="E210">
        <v>19.697885513305661</v>
      </c>
      <c r="F210">
        <v>22.016616821289059</v>
      </c>
      <c r="G210">
        <v>1883263293</v>
      </c>
      <c r="H210">
        <v>15.517255783081049</v>
      </c>
      <c r="I210">
        <v>0</v>
      </c>
      <c r="J210" t="s">
        <v>655</v>
      </c>
      <c r="K210" s="22">
        <v>45530</v>
      </c>
      <c r="L210">
        <v>0</v>
      </c>
      <c r="M210">
        <v>-3.2312049865722661</v>
      </c>
      <c r="N210">
        <v>-0.17234521672304559</v>
      </c>
      <c r="O210">
        <v>-4.6978855133056641</v>
      </c>
      <c r="P210">
        <v>2.1525669097900391</v>
      </c>
      <c r="Q210" t="s">
        <v>585</v>
      </c>
      <c r="R210">
        <v>2020</v>
      </c>
    </row>
    <row r="211" spans="1:18" hidden="1" x14ac:dyDescent="0.35">
      <c r="A211" t="s">
        <v>656</v>
      </c>
      <c r="B211" s="22">
        <v>43922</v>
      </c>
      <c r="C211">
        <v>21.43504524230957</v>
      </c>
      <c r="D211">
        <v>24.07099723815918</v>
      </c>
      <c r="E211">
        <v>20.581571578979489</v>
      </c>
      <c r="F211">
        <v>23.013595581054691</v>
      </c>
      <c r="G211">
        <v>1117249324</v>
      </c>
      <c r="H211">
        <v>16.219924926757809</v>
      </c>
      <c r="I211">
        <v>0.52</v>
      </c>
      <c r="J211" t="s">
        <v>655</v>
      </c>
      <c r="K211" s="22">
        <v>45530</v>
      </c>
      <c r="L211">
        <v>0</v>
      </c>
      <c r="M211">
        <v>0.70266914367675781</v>
      </c>
      <c r="N211">
        <v>4.5283013637299252E-2</v>
      </c>
      <c r="O211">
        <v>1.578550338745117</v>
      </c>
      <c r="P211">
        <v>2.6359519958496089</v>
      </c>
      <c r="Q211" t="s">
        <v>583</v>
      </c>
      <c r="R211">
        <v>2020</v>
      </c>
    </row>
    <row r="212" spans="1:18" hidden="1" x14ac:dyDescent="0.35">
      <c r="A212" t="s">
        <v>656</v>
      </c>
      <c r="B212" s="22">
        <v>43952</v>
      </c>
      <c r="C212">
        <v>23.240180969238281</v>
      </c>
      <c r="D212">
        <v>24.222053527832031</v>
      </c>
      <c r="E212">
        <v>20.853473663330082</v>
      </c>
      <c r="F212">
        <v>23.308156967163089</v>
      </c>
      <c r="G212">
        <v>959846510</v>
      </c>
      <c r="H212">
        <v>16.812337875366211</v>
      </c>
      <c r="I212">
        <v>0</v>
      </c>
      <c r="J212" t="s">
        <v>655</v>
      </c>
      <c r="K212" s="22">
        <v>45530</v>
      </c>
      <c r="L212">
        <v>0</v>
      </c>
      <c r="M212">
        <v>0.59241294860839844</v>
      </c>
      <c r="N212">
        <v>1.279945087550294E-2</v>
      </c>
      <c r="O212">
        <v>6.7975997924804688E-2</v>
      </c>
      <c r="P212">
        <v>0.98187255859375</v>
      </c>
      <c r="Q212" t="s">
        <v>586</v>
      </c>
      <c r="R212">
        <v>2020</v>
      </c>
    </row>
    <row r="213" spans="1:18" hidden="1" x14ac:dyDescent="0.35">
      <c r="A213" t="s">
        <v>656</v>
      </c>
      <c r="B213" s="22">
        <v>43983</v>
      </c>
      <c r="C213">
        <v>23.225076675415039</v>
      </c>
      <c r="D213">
        <v>25.105739593505859</v>
      </c>
      <c r="E213">
        <v>21.842899322509769</v>
      </c>
      <c r="F213">
        <v>22.832326889038089</v>
      </c>
      <c r="G213">
        <v>1170276053</v>
      </c>
      <c r="H213">
        <v>16.469120025634769</v>
      </c>
      <c r="I213">
        <v>0</v>
      </c>
      <c r="J213" t="s">
        <v>655</v>
      </c>
      <c r="K213" s="22">
        <v>45530</v>
      </c>
      <c r="L213">
        <v>0</v>
      </c>
      <c r="M213">
        <v>-0.34321784973144531</v>
      </c>
      <c r="N213">
        <v>-2.0414744880745239E-2</v>
      </c>
      <c r="O213">
        <v>-0.39274978637695313</v>
      </c>
      <c r="P213">
        <v>1.8806629180908201</v>
      </c>
      <c r="Q213" t="s">
        <v>587</v>
      </c>
      <c r="R213">
        <v>2020</v>
      </c>
    </row>
    <row r="214" spans="1:18" hidden="1" x14ac:dyDescent="0.35">
      <c r="A214" t="s">
        <v>656</v>
      </c>
      <c r="B214" s="22">
        <v>44013</v>
      </c>
      <c r="C214">
        <v>22.75679779052734</v>
      </c>
      <c r="D214">
        <v>23.111782073974609</v>
      </c>
      <c r="E214">
        <v>22.054380416870121</v>
      </c>
      <c r="F214">
        <v>22.341390609741211</v>
      </c>
      <c r="G214">
        <v>1003774316</v>
      </c>
      <c r="H214">
        <v>16.11500358581543</v>
      </c>
      <c r="I214">
        <v>0.52</v>
      </c>
      <c r="J214" t="s">
        <v>655</v>
      </c>
      <c r="K214" s="22">
        <v>45530</v>
      </c>
      <c r="L214">
        <v>0</v>
      </c>
      <c r="M214">
        <v>-0.35411643981933588</v>
      </c>
      <c r="N214">
        <v>-2.1501806700769292E-2</v>
      </c>
      <c r="O214">
        <v>-0.41540718078613281</v>
      </c>
      <c r="P214">
        <v>0.35498428344726563</v>
      </c>
      <c r="Q214" t="s">
        <v>583</v>
      </c>
      <c r="R214">
        <v>2020</v>
      </c>
    </row>
    <row r="215" spans="1:18" hidden="1" x14ac:dyDescent="0.35">
      <c r="A215" t="s">
        <v>656</v>
      </c>
      <c r="B215" s="22">
        <v>44044</v>
      </c>
      <c r="C215">
        <v>22.620845794677731</v>
      </c>
      <c r="D215">
        <v>23.240180969238281</v>
      </c>
      <c r="E215">
        <v>22.212991714477539</v>
      </c>
      <c r="F215">
        <v>22.515106201171879</v>
      </c>
      <c r="G215">
        <v>762810420</v>
      </c>
      <c r="H215">
        <v>16.61586952209473</v>
      </c>
      <c r="I215">
        <v>0</v>
      </c>
      <c r="J215" t="s">
        <v>655</v>
      </c>
      <c r="K215" s="22">
        <v>45530</v>
      </c>
      <c r="L215">
        <v>0</v>
      </c>
      <c r="M215">
        <v>0.50086593627929688</v>
      </c>
      <c r="N215">
        <v>7.7755048674061911E-3</v>
      </c>
      <c r="O215">
        <v>-0.1057395935058594</v>
      </c>
      <c r="P215">
        <v>0.61933517456054688</v>
      </c>
      <c r="Q215" t="s">
        <v>584</v>
      </c>
      <c r="R215">
        <v>2020</v>
      </c>
    </row>
    <row r="216" spans="1:18" hidden="1" x14ac:dyDescent="0.35">
      <c r="A216" t="s">
        <v>656</v>
      </c>
      <c r="B216" s="22">
        <v>44075</v>
      </c>
      <c r="C216">
        <v>22.462236404418949</v>
      </c>
      <c r="D216">
        <v>22.794561386108398</v>
      </c>
      <c r="E216">
        <v>20.95921516418457</v>
      </c>
      <c r="F216">
        <v>21.533233642578121</v>
      </c>
      <c r="G216">
        <v>1017387416</v>
      </c>
      <c r="H216">
        <v>15.89125919342041</v>
      </c>
      <c r="I216">
        <v>0</v>
      </c>
      <c r="J216" t="s">
        <v>655</v>
      </c>
      <c r="K216" s="22">
        <v>45530</v>
      </c>
      <c r="L216">
        <v>0</v>
      </c>
      <c r="M216">
        <v>-0.72461032867431641</v>
      </c>
      <c r="N216">
        <v>-4.360950154179799E-2</v>
      </c>
      <c r="O216">
        <v>-0.92900276184082031</v>
      </c>
      <c r="P216">
        <v>0.33232498168945313</v>
      </c>
      <c r="Q216" t="s">
        <v>588</v>
      </c>
      <c r="R216">
        <v>2020</v>
      </c>
    </row>
    <row r="217" spans="1:18" hidden="1" x14ac:dyDescent="0.35">
      <c r="A217" t="s">
        <v>656</v>
      </c>
      <c r="B217" s="22">
        <v>44105</v>
      </c>
      <c r="C217">
        <v>21.54078483581543</v>
      </c>
      <c r="D217">
        <v>22.024169921875</v>
      </c>
      <c r="E217">
        <v>19.901813507080082</v>
      </c>
      <c r="F217">
        <v>20.407854080200199</v>
      </c>
      <c r="G217">
        <v>1248679758</v>
      </c>
      <c r="H217">
        <v>15.06074142456055</v>
      </c>
      <c r="I217">
        <v>0.52</v>
      </c>
      <c r="J217" t="s">
        <v>655</v>
      </c>
      <c r="K217" s="22">
        <v>45530</v>
      </c>
      <c r="L217">
        <v>0</v>
      </c>
      <c r="M217">
        <v>-0.83051776885986328</v>
      </c>
      <c r="N217">
        <v>-5.226245073348823E-2</v>
      </c>
      <c r="O217">
        <v>-1.1329307556152339</v>
      </c>
      <c r="P217">
        <v>0.48338508605957031</v>
      </c>
      <c r="Q217" t="s">
        <v>589</v>
      </c>
      <c r="R217">
        <v>2020</v>
      </c>
    </row>
    <row r="218" spans="1:18" hidden="1" x14ac:dyDescent="0.35">
      <c r="A218" t="s">
        <v>656</v>
      </c>
      <c r="B218" s="22">
        <v>44136</v>
      </c>
      <c r="C218">
        <v>20.694864273071289</v>
      </c>
      <c r="D218">
        <v>22.235649108886719</v>
      </c>
      <c r="E218">
        <v>20.287008285522461</v>
      </c>
      <c r="F218">
        <v>21.71450233459473</v>
      </c>
      <c r="G218">
        <v>971405428</v>
      </c>
      <c r="H218">
        <v>16.417501449584961</v>
      </c>
      <c r="I218">
        <v>0</v>
      </c>
      <c r="J218" t="s">
        <v>655</v>
      </c>
      <c r="K218" s="22">
        <v>45530</v>
      </c>
      <c r="L218">
        <v>0</v>
      </c>
      <c r="M218">
        <v>1.3567600250244141</v>
      </c>
      <c r="N218">
        <v>6.4026734474853297E-2</v>
      </c>
      <c r="O218">
        <v>1.0196380615234379</v>
      </c>
      <c r="P218">
        <v>1.5407848358154299</v>
      </c>
      <c r="Q218" t="s">
        <v>585</v>
      </c>
      <c r="R218">
        <v>2020</v>
      </c>
    </row>
    <row r="219" spans="1:18" hidden="1" x14ac:dyDescent="0.35">
      <c r="A219" t="s">
        <v>656</v>
      </c>
      <c r="B219" s="22">
        <v>44166</v>
      </c>
      <c r="C219">
        <v>21.76737213134766</v>
      </c>
      <c r="D219">
        <v>24.086103439331051</v>
      </c>
      <c r="E219">
        <v>21.389728546142582</v>
      </c>
      <c r="F219">
        <v>21.722053527832031</v>
      </c>
      <c r="G219">
        <v>1284157530</v>
      </c>
      <c r="H219">
        <v>16.423212051391602</v>
      </c>
      <c r="I219">
        <v>0</v>
      </c>
      <c r="J219" t="s">
        <v>655</v>
      </c>
      <c r="K219" s="22">
        <v>45530</v>
      </c>
      <c r="L219">
        <v>0</v>
      </c>
      <c r="M219">
        <v>5.710601806640625E-3</v>
      </c>
      <c r="N219">
        <v>3.477488510190696E-4</v>
      </c>
      <c r="O219">
        <v>-4.5318603515625E-2</v>
      </c>
      <c r="P219">
        <v>2.318731307983398</v>
      </c>
      <c r="Q219" t="s">
        <v>588</v>
      </c>
      <c r="R219">
        <v>2020</v>
      </c>
    </row>
    <row r="220" spans="1:18" hidden="1" x14ac:dyDescent="0.35">
      <c r="A220" t="s">
        <v>656</v>
      </c>
      <c r="B220" s="22">
        <v>44197</v>
      </c>
      <c r="C220">
        <v>22.197885513305661</v>
      </c>
      <c r="D220">
        <v>22.80966758728027</v>
      </c>
      <c r="E220">
        <v>21.503021240234379</v>
      </c>
      <c r="F220">
        <v>21.623867034912109</v>
      </c>
      <c r="G220">
        <v>1224161530</v>
      </c>
      <c r="H220">
        <v>16.348978042602539</v>
      </c>
      <c r="I220">
        <v>0.52</v>
      </c>
      <c r="J220" t="s">
        <v>655</v>
      </c>
      <c r="K220" s="22">
        <v>45530</v>
      </c>
      <c r="L220">
        <v>0</v>
      </c>
      <c r="M220">
        <v>-7.42340087890625E-2</v>
      </c>
      <c r="N220">
        <v>-4.5201294064631803E-3</v>
      </c>
      <c r="O220">
        <v>-0.57401847839355469</v>
      </c>
      <c r="P220">
        <v>0.61178207397460938</v>
      </c>
      <c r="Q220" t="s">
        <v>586</v>
      </c>
      <c r="R220">
        <v>2021</v>
      </c>
    </row>
    <row r="221" spans="1:18" hidden="1" x14ac:dyDescent="0.35">
      <c r="A221" t="s">
        <v>656</v>
      </c>
      <c r="B221" s="22">
        <v>44228</v>
      </c>
      <c r="C221">
        <v>21.858005523681641</v>
      </c>
      <c r="D221">
        <v>22.515106201171879</v>
      </c>
      <c r="E221">
        <v>21.06495475769043</v>
      </c>
      <c r="F221">
        <v>21.06495475769043</v>
      </c>
      <c r="G221">
        <v>998358098</v>
      </c>
      <c r="H221">
        <v>16.301641464233398</v>
      </c>
      <c r="I221">
        <v>0</v>
      </c>
      <c r="J221" t="s">
        <v>655</v>
      </c>
      <c r="K221" s="22">
        <v>45530</v>
      </c>
      <c r="L221">
        <v>0</v>
      </c>
      <c r="M221">
        <v>-4.7336578369140618E-2</v>
      </c>
      <c r="N221">
        <v>-2.5847008600233479E-2</v>
      </c>
      <c r="O221">
        <v>-0.79305076599121094</v>
      </c>
      <c r="P221">
        <v>0.65710067749023438</v>
      </c>
      <c r="Q221" t="s">
        <v>587</v>
      </c>
      <c r="R221">
        <v>2021</v>
      </c>
    </row>
    <row r="222" spans="1:18" hidden="1" x14ac:dyDescent="0.35">
      <c r="A222" t="s">
        <v>656</v>
      </c>
      <c r="B222" s="22">
        <v>44256</v>
      </c>
      <c r="C222">
        <v>21.26888275146484</v>
      </c>
      <c r="D222">
        <v>23.31571006774902</v>
      </c>
      <c r="E222">
        <v>21.163141250610352</v>
      </c>
      <c r="F222">
        <v>22.8625373840332</v>
      </c>
      <c r="G222">
        <v>1398177232</v>
      </c>
      <c r="H222">
        <v>17.692743301391602</v>
      </c>
      <c r="I222">
        <v>0</v>
      </c>
      <c r="J222" t="s">
        <v>655</v>
      </c>
      <c r="K222" s="22">
        <v>45530</v>
      </c>
      <c r="L222">
        <v>0</v>
      </c>
      <c r="M222">
        <v>1.3911018371582029</v>
      </c>
      <c r="N222">
        <v>8.5335223693585593E-2</v>
      </c>
      <c r="O222">
        <v>1.5936546325683589</v>
      </c>
      <c r="P222">
        <v>2.0468273162841801</v>
      </c>
      <c r="Q222" t="s">
        <v>587</v>
      </c>
      <c r="R222">
        <v>2021</v>
      </c>
    </row>
    <row r="223" spans="1:18" hidden="1" x14ac:dyDescent="0.35">
      <c r="A223" t="s">
        <v>656</v>
      </c>
      <c r="B223" s="22">
        <v>44287</v>
      </c>
      <c r="C223">
        <v>22.839878082275391</v>
      </c>
      <c r="D223">
        <v>24.086103439331051</v>
      </c>
      <c r="E223">
        <v>22.129909515380859</v>
      </c>
      <c r="F223">
        <v>23.723564147949219</v>
      </c>
      <c r="G223">
        <v>1058549388</v>
      </c>
      <c r="H223">
        <v>18.359071731567379</v>
      </c>
      <c r="I223">
        <v>0.52</v>
      </c>
      <c r="J223" t="s">
        <v>655</v>
      </c>
      <c r="K223" s="22">
        <v>45530</v>
      </c>
      <c r="L223">
        <v>0</v>
      </c>
      <c r="M223">
        <v>0.66632843017578125</v>
      </c>
      <c r="N223">
        <v>3.7661032520272197E-2</v>
      </c>
      <c r="O223">
        <v>0.88368606567382813</v>
      </c>
      <c r="P223">
        <v>1.2462253570556641</v>
      </c>
      <c r="Q223" t="s">
        <v>589</v>
      </c>
      <c r="R223">
        <v>2021</v>
      </c>
    </row>
    <row r="224" spans="1:18" hidden="1" x14ac:dyDescent="0.35">
      <c r="A224" t="s">
        <v>656</v>
      </c>
      <c r="B224" s="22">
        <v>44317</v>
      </c>
      <c r="C224">
        <v>24.003021240234379</v>
      </c>
      <c r="D224">
        <v>25.58912467956543</v>
      </c>
      <c r="E224">
        <v>21.654079437255859</v>
      </c>
      <c r="F224">
        <v>22.228097915649411</v>
      </c>
      <c r="G224">
        <v>1665976094</v>
      </c>
      <c r="H224">
        <v>17.593385696411129</v>
      </c>
      <c r="I224">
        <v>0</v>
      </c>
      <c r="J224" t="s">
        <v>655</v>
      </c>
      <c r="K224" s="22">
        <v>45530</v>
      </c>
      <c r="L224">
        <v>0</v>
      </c>
      <c r="M224">
        <v>-0.76568603515625</v>
      </c>
      <c r="N224">
        <v>-6.3037165198850609E-2</v>
      </c>
      <c r="O224">
        <v>-1.7749233245849609</v>
      </c>
      <c r="P224">
        <v>1.5861034393310549</v>
      </c>
      <c r="Q224" t="s">
        <v>584</v>
      </c>
      <c r="R224">
        <v>2021</v>
      </c>
    </row>
    <row r="225" spans="1:18" hidden="1" x14ac:dyDescent="0.35">
      <c r="A225" t="s">
        <v>656</v>
      </c>
      <c r="B225" s="22">
        <v>44348</v>
      </c>
      <c r="C225">
        <v>22.25075531005859</v>
      </c>
      <c r="D225">
        <v>22.3867073059082</v>
      </c>
      <c r="E225">
        <v>21.457704544067379</v>
      </c>
      <c r="F225">
        <v>21.73715972900391</v>
      </c>
      <c r="G225">
        <v>1032169347</v>
      </c>
      <c r="H225">
        <v>17.20481109619141</v>
      </c>
      <c r="I225">
        <v>0</v>
      </c>
      <c r="J225" t="s">
        <v>655</v>
      </c>
      <c r="K225" s="22">
        <v>45530</v>
      </c>
      <c r="L225">
        <v>0</v>
      </c>
      <c r="M225">
        <v>-0.38857460021972662</v>
      </c>
      <c r="N225">
        <v>-2.2086378623510931E-2</v>
      </c>
      <c r="O225">
        <v>-0.5135955810546875</v>
      </c>
      <c r="P225">
        <v>0.1359519958496094</v>
      </c>
      <c r="Q225" t="s">
        <v>588</v>
      </c>
      <c r="R225">
        <v>2021</v>
      </c>
    </row>
    <row r="226" spans="1:18" hidden="1" x14ac:dyDescent="0.35">
      <c r="A226" t="s">
        <v>656</v>
      </c>
      <c r="B226" s="22">
        <v>44378</v>
      </c>
      <c r="C226">
        <v>21.820241928100589</v>
      </c>
      <c r="D226">
        <v>22.167673110961911</v>
      </c>
      <c r="E226">
        <v>20.770393371582031</v>
      </c>
      <c r="F226">
        <v>21.185800552368161</v>
      </c>
      <c r="G226">
        <v>935588977</v>
      </c>
      <c r="H226">
        <v>16.768413543701168</v>
      </c>
      <c r="I226">
        <v>0.52</v>
      </c>
      <c r="J226" t="s">
        <v>655</v>
      </c>
      <c r="K226" s="22">
        <v>45530</v>
      </c>
      <c r="L226">
        <v>0</v>
      </c>
      <c r="M226">
        <v>-0.43639755249023438</v>
      </c>
      <c r="N226">
        <v>-2.5364821508858989E-2</v>
      </c>
      <c r="O226">
        <v>-0.63444137573242188</v>
      </c>
      <c r="P226">
        <v>0.34743118286132813</v>
      </c>
      <c r="Q226" t="s">
        <v>589</v>
      </c>
      <c r="R226">
        <v>2021</v>
      </c>
    </row>
    <row r="227" spans="1:18" hidden="1" x14ac:dyDescent="0.35">
      <c r="A227" t="s">
        <v>656</v>
      </c>
      <c r="B227" s="22">
        <v>44409</v>
      </c>
      <c r="C227">
        <v>21.329305648803711</v>
      </c>
      <c r="D227">
        <v>21.563444137573239</v>
      </c>
      <c r="E227">
        <v>20.302114486694339</v>
      </c>
      <c r="F227">
        <v>20.709970474243161</v>
      </c>
      <c r="G227">
        <v>789806781</v>
      </c>
      <c r="H227">
        <v>16.791400909423832</v>
      </c>
      <c r="I227">
        <v>0</v>
      </c>
      <c r="J227" t="s">
        <v>655</v>
      </c>
      <c r="K227" s="22">
        <v>45530</v>
      </c>
      <c r="L227">
        <v>0</v>
      </c>
      <c r="M227">
        <v>2.298736572265625E-2</v>
      </c>
      <c r="N227">
        <v>-2.2459858288046201E-2</v>
      </c>
      <c r="O227">
        <v>-0.61933517456054688</v>
      </c>
      <c r="P227">
        <v>0.23413848876953119</v>
      </c>
      <c r="Q227" t="s">
        <v>585</v>
      </c>
      <c r="R227">
        <v>2021</v>
      </c>
    </row>
    <row r="228" spans="1:18" hidden="1" x14ac:dyDescent="0.35">
      <c r="A228" t="s">
        <v>656</v>
      </c>
      <c r="B228" s="22">
        <v>44440</v>
      </c>
      <c r="C228">
        <v>20.725076675415039</v>
      </c>
      <c r="D228">
        <v>21.102718353271481</v>
      </c>
      <c r="E228">
        <v>20.347431182861332</v>
      </c>
      <c r="F228">
        <v>20.400302886962891</v>
      </c>
      <c r="G228">
        <v>984413994</v>
      </c>
      <c r="H228">
        <v>16.540327072143551</v>
      </c>
      <c r="I228">
        <v>0</v>
      </c>
      <c r="J228" t="s">
        <v>655</v>
      </c>
      <c r="K228" s="22">
        <v>45530</v>
      </c>
      <c r="L228">
        <v>0</v>
      </c>
      <c r="M228">
        <v>-0.25107383728027338</v>
      </c>
      <c r="N228">
        <v>-1.4952584682117459E-2</v>
      </c>
      <c r="O228">
        <v>-0.32477378845214838</v>
      </c>
      <c r="P228">
        <v>0.37764167785644531</v>
      </c>
      <c r="Q228" t="s">
        <v>583</v>
      </c>
      <c r="R228">
        <v>2021</v>
      </c>
    </row>
    <row r="229" spans="1:18" hidden="1" x14ac:dyDescent="0.35">
      <c r="A229" t="s">
        <v>656</v>
      </c>
      <c r="B229" s="22">
        <v>44470</v>
      </c>
      <c r="C229">
        <v>20.498489379882809</v>
      </c>
      <c r="D229">
        <v>20.75528717041016</v>
      </c>
      <c r="E229">
        <v>18.889728546142582</v>
      </c>
      <c r="F229">
        <v>19.078550338745121</v>
      </c>
      <c r="G229">
        <v>1339836364</v>
      </c>
      <c r="H229">
        <v>15.46866607666016</v>
      </c>
      <c r="I229">
        <v>0.52</v>
      </c>
      <c r="J229" t="s">
        <v>655</v>
      </c>
      <c r="K229" s="22">
        <v>45530</v>
      </c>
      <c r="L229">
        <v>0</v>
      </c>
      <c r="M229">
        <v>-1.071660995483398</v>
      </c>
      <c r="N229">
        <v>-6.4790829603930011E-2</v>
      </c>
      <c r="O229">
        <v>-1.4199390411376951</v>
      </c>
      <c r="P229">
        <v>0.25679779052734381</v>
      </c>
      <c r="Q229" t="s">
        <v>586</v>
      </c>
      <c r="R229">
        <v>2021</v>
      </c>
    </row>
    <row r="230" spans="1:18" hidden="1" x14ac:dyDescent="0.35">
      <c r="A230" t="s">
        <v>656</v>
      </c>
      <c r="B230" s="22">
        <v>44501</v>
      </c>
      <c r="C230">
        <v>19.229606628417969</v>
      </c>
      <c r="D230">
        <v>19.320241928100589</v>
      </c>
      <c r="E230">
        <v>17.031721115112301</v>
      </c>
      <c r="F230">
        <v>17.24320220947266</v>
      </c>
      <c r="G230">
        <v>1278172519</v>
      </c>
      <c r="H230">
        <v>14.34214878082275</v>
      </c>
      <c r="I230">
        <v>0</v>
      </c>
      <c r="J230" t="s">
        <v>655</v>
      </c>
      <c r="K230" s="22">
        <v>45530</v>
      </c>
      <c r="L230">
        <v>0</v>
      </c>
      <c r="M230">
        <v>-1.1265172958374019</v>
      </c>
      <c r="N230">
        <v>-9.6199559017080993E-2</v>
      </c>
      <c r="O230">
        <v>-1.9864044189453121</v>
      </c>
      <c r="P230">
        <v>9.0635299682617188E-2</v>
      </c>
      <c r="Q230" t="s">
        <v>587</v>
      </c>
      <c r="R230">
        <v>2021</v>
      </c>
    </row>
    <row r="231" spans="1:18" hidden="1" x14ac:dyDescent="0.35">
      <c r="A231" t="s">
        <v>656</v>
      </c>
      <c r="B231" s="22">
        <v>44531</v>
      </c>
      <c r="C231">
        <v>17.371601104736332</v>
      </c>
      <c r="D231">
        <v>18.972810745239261</v>
      </c>
      <c r="E231">
        <v>16.63142013549805</v>
      </c>
      <c r="F231">
        <v>18.580059051513668</v>
      </c>
      <c r="G231">
        <v>1834795096</v>
      </c>
      <c r="H231">
        <v>15.45408725738525</v>
      </c>
      <c r="I231">
        <v>0</v>
      </c>
      <c r="J231" t="s">
        <v>655</v>
      </c>
      <c r="K231" s="22">
        <v>45530</v>
      </c>
      <c r="L231">
        <v>0</v>
      </c>
      <c r="M231">
        <v>1.1119384765625</v>
      </c>
      <c r="N231">
        <v>7.7529499787841294E-2</v>
      </c>
      <c r="O231">
        <v>1.208457946777344</v>
      </c>
      <c r="P231">
        <v>1.6012096405029299</v>
      </c>
      <c r="Q231" t="s">
        <v>583</v>
      </c>
      <c r="R231">
        <v>2021</v>
      </c>
    </row>
    <row r="232" spans="1:18" hidden="1" x14ac:dyDescent="0.35">
      <c r="A232" t="s">
        <v>656</v>
      </c>
      <c r="B232" s="22">
        <v>44562</v>
      </c>
      <c r="C232">
        <v>18.716011047363281</v>
      </c>
      <c r="D232">
        <v>20.75528717041016</v>
      </c>
      <c r="E232">
        <v>17.794561386108398</v>
      </c>
      <c r="F232">
        <v>19.259819030761719</v>
      </c>
      <c r="G232">
        <v>1828521981</v>
      </c>
      <c r="H232">
        <v>16.01948356628418</v>
      </c>
      <c r="I232">
        <v>0.52</v>
      </c>
      <c r="J232" t="s">
        <v>655</v>
      </c>
      <c r="K232" s="22">
        <v>45530</v>
      </c>
      <c r="L232">
        <v>0</v>
      </c>
      <c r="M232">
        <v>0.56539630889892578</v>
      </c>
      <c r="N232">
        <v>3.6585458494152068E-2</v>
      </c>
      <c r="O232">
        <v>0.5438079833984375</v>
      </c>
      <c r="P232">
        <v>2.039276123046875</v>
      </c>
      <c r="Q232" t="s">
        <v>584</v>
      </c>
      <c r="R232">
        <v>2022</v>
      </c>
    </row>
    <row r="233" spans="1:18" hidden="1" x14ac:dyDescent="0.35">
      <c r="A233" t="s">
        <v>656</v>
      </c>
      <c r="B233" s="22">
        <v>44593</v>
      </c>
      <c r="C233">
        <v>18.270393371582031</v>
      </c>
      <c r="D233">
        <v>18.814199447631839</v>
      </c>
      <c r="E233">
        <v>17.10725021362305</v>
      </c>
      <c r="F233">
        <v>17.89274978637695</v>
      </c>
      <c r="G233">
        <v>1300035599</v>
      </c>
      <c r="H233">
        <v>15.285470008850099</v>
      </c>
      <c r="I233">
        <v>0</v>
      </c>
      <c r="J233" t="s">
        <v>655</v>
      </c>
      <c r="K233" s="22">
        <v>45530</v>
      </c>
      <c r="L233">
        <v>0</v>
      </c>
      <c r="M233">
        <v>-0.73401355743408203</v>
      </c>
      <c r="N233">
        <v>-7.0980378486489748E-2</v>
      </c>
      <c r="O233">
        <v>-0.37764358520507813</v>
      </c>
      <c r="P233">
        <v>0.54380607604980469</v>
      </c>
      <c r="Q233" t="s">
        <v>588</v>
      </c>
      <c r="R233">
        <v>2022</v>
      </c>
    </row>
    <row r="234" spans="1:18" hidden="1" x14ac:dyDescent="0.35">
      <c r="A234" t="s">
        <v>656</v>
      </c>
      <c r="B234" s="22">
        <v>44621</v>
      </c>
      <c r="C234">
        <v>17.832326889038089</v>
      </c>
      <c r="D234">
        <v>18.240180969238281</v>
      </c>
      <c r="E234">
        <v>17.228097915649411</v>
      </c>
      <c r="F234">
        <v>17.847431182861332</v>
      </c>
      <c r="G234">
        <v>1210104223</v>
      </c>
      <c r="H234">
        <v>15.24675178527832</v>
      </c>
      <c r="I234">
        <v>0</v>
      </c>
      <c r="J234" t="s">
        <v>655</v>
      </c>
      <c r="K234" s="22">
        <v>45530</v>
      </c>
      <c r="L234">
        <v>0</v>
      </c>
      <c r="M234">
        <v>-3.8718223571777337E-2</v>
      </c>
      <c r="N234">
        <v>-2.5327914410410162E-3</v>
      </c>
      <c r="O234">
        <v>1.5104293823242189E-2</v>
      </c>
      <c r="P234">
        <v>0.40785408020019531</v>
      </c>
      <c r="Q234" t="s">
        <v>588</v>
      </c>
      <c r="R234">
        <v>2022</v>
      </c>
    </row>
    <row r="235" spans="1:18" hidden="1" x14ac:dyDescent="0.35">
      <c r="A235" t="s">
        <v>656</v>
      </c>
      <c r="B235" s="22">
        <v>44652</v>
      </c>
      <c r="C235">
        <v>17.915407180786129</v>
      </c>
      <c r="D235">
        <v>20.35000038146973</v>
      </c>
      <c r="E235">
        <v>17.66616249084473</v>
      </c>
      <c r="F235">
        <v>18.860000610351559</v>
      </c>
      <c r="G235">
        <v>1346823217</v>
      </c>
      <c r="H235">
        <v>16.111774444580082</v>
      </c>
      <c r="I235">
        <v>0.27800000000000002</v>
      </c>
      <c r="J235" t="s">
        <v>655</v>
      </c>
      <c r="K235" s="22">
        <v>45530</v>
      </c>
      <c r="L235">
        <v>1.3240000000000001</v>
      </c>
      <c r="M235">
        <v>0.86502265930175781</v>
      </c>
      <c r="N235">
        <v>5.6734743342929488E-2</v>
      </c>
      <c r="O235">
        <v>0.94459342956542969</v>
      </c>
      <c r="P235">
        <v>2.4345932006835942</v>
      </c>
      <c r="Q235" t="s">
        <v>586</v>
      </c>
      <c r="R235">
        <v>2022</v>
      </c>
    </row>
    <row r="236" spans="1:18" hidden="1" x14ac:dyDescent="0.35">
      <c r="A236" t="s">
        <v>656</v>
      </c>
      <c r="B236" s="22">
        <v>44682</v>
      </c>
      <c r="C236">
        <v>19</v>
      </c>
      <c r="D236">
        <v>21.530000686645511</v>
      </c>
      <c r="E236">
        <v>18.860000610351559</v>
      </c>
      <c r="F236">
        <v>21.29000091552734</v>
      </c>
      <c r="G236">
        <v>1005195300</v>
      </c>
      <c r="H236">
        <v>18.44990348815918</v>
      </c>
      <c r="I236">
        <v>0</v>
      </c>
      <c r="J236" t="s">
        <v>655</v>
      </c>
      <c r="K236" s="22">
        <v>45530</v>
      </c>
      <c r="L236">
        <v>0</v>
      </c>
      <c r="M236">
        <v>2.338129043579102</v>
      </c>
      <c r="N236">
        <v>0.1288441265395317</v>
      </c>
      <c r="O236">
        <v>2.2900009155273442</v>
      </c>
      <c r="P236">
        <v>2.5300006866455078</v>
      </c>
      <c r="Q236" t="s">
        <v>585</v>
      </c>
      <c r="R236">
        <v>2022</v>
      </c>
    </row>
    <row r="237" spans="1:18" hidden="1" x14ac:dyDescent="0.35">
      <c r="A237" t="s">
        <v>656</v>
      </c>
      <c r="B237" s="22">
        <v>44713</v>
      </c>
      <c r="C237">
        <v>21.440000534057621</v>
      </c>
      <c r="D237">
        <v>21.469999313354489</v>
      </c>
      <c r="E237">
        <v>18.670000076293949</v>
      </c>
      <c r="F237">
        <v>20.95999908447266</v>
      </c>
      <c r="G237">
        <v>838975300</v>
      </c>
      <c r="H237">
        <v>18.16392707824707</v>
      </c>
      <c r="I237">
        <v>0</v>
      </c>
      <c r="J237" t="s">
        <v>655</v>
      </c>
      <c r="K237" s="22">
        <v>45530</v>
      </c>
      <c r="L237">
        <v>0</v>
      </c>
      <c r="M237">
        <v>-0.28597640991210938</v>
      </c>
      <c r="N237">
        <v>-1.550032019087466E-2</v>
      </c>
      <c r="O237">
        <v>-0.48000144958496088</v>
      </c>
      <c r="P237">
        <v>2.9998779296875E-2</v>
      </c>
      <c r="Q237" t="s">
        <v>583</v>
      </c>
      <c r="R237">
        <v>2022</v>
      </c>
    </row>
    <row r="238" spans="1:18" hidden="1" x14ac:dyDescent="0.35">
      <c r="A238" t="s">
        <v>656</v>
      </c>
      <c r="B238" s="22">
        <v>44743</v>
      </c>
      <c r="C238">
        <v>20.969999313354489</v>
      </c>
      <c r="D238">
        <v>21.389999389648441</v>
      </c>
      <c r="E238">
        <v>18.180000305175781</v>
      </c>
      <c r="F238">
        <v>18.780000686645511</v>
      </c>
      <c r="G238">
        <v>743894600</v>
      </c>
      <c r="H238">
        <v>16.274738311767582</v>
      </c>
      <c r="I238">
        <v>0.27800000000000002</v>
      </c>
      <c r="J238" t="s">
        <v>655</v>
      </c>
      <c r="K238" s="22">
        <v>45530</v>
      </c>
      <c r="L238">
        <v>0</v>
      </c>
      <c r="M238">
        <v>-1.889188766479492</v>
      </c>
      <c r="N238">
        <v>-0.104007561691265</v>
      </c>
      <c r="O238">
        <v>-2.1899986267089839</v>
      </c>
      <c r="P238">
        <v>0.42000007629394531</v>
      </c>
      <c r="Q238" t="s">
        <v>586</v>
      </c>
      <c r="R238">
        <v>2022</v>
      </c>
    </row>
    <row r="239" spans="1:18" hidden="1" x14ac:dyDescent="0.35">
      <c r="A239" t="s">
        <v>656</v>
      </c>
      <c r="B239" s="22">
        <v>44774</v>
      </c>
      <c r="C239">
        <v>18.85000038146973</v>
      </c>
      <c r="D239">
        <v>18.870000839233398</v>
      </c>
      <c r="E239">
        <v>17.510000228881839</v>
      </c>
      <c r="F239">
        <v>17.54000091552734</v>
      </c>
      <c r="G239">
        <v>769649200</v>
      </c>
      <c r="H239">
        <v>15.40261077880859</v>
      </c>
      <c r="I239">
        <v>0</v>
      </c>
      <c r="J239" t="s">
        <v>655</v>
      </c>
      <c r="K239" s="22">
        <v>45530</v>
      </c>
      <c r="L239">
        <v>0</v>
      </c>
      <c r="M239">
        <v>-0.87212753295898438</v>
      </c>
      <c r="N239">
        <v>-6.6027674429209648E-2</v>
      </c>
      <c r="O239">
        <v>-1.309999465942383</v>
      </c>
      <c r="P239">
        <v>2.0000457763671878E-2</v>
      </c>
      <c r="Q239" t="s">
        <v>587</v>
      </c>
      <c r="R239">
        <v>2022</v>
      </c>
    </row>
    <row r="240" spans="1:18" hidden="1" x14ac:dyDescent="0.35">
      <c r="A240" t="s">
        <v>656</v>
      </c>
      <c r="B240" s="22">
        <v>44805</v>
      </c>
      <c r="C240">
        <v>17.489999771118161</v>
      </c>
      <c r="D240">
        <v>17.670000076293949</v>
      </c>
      <c r="E240">
        <v>15.340000152587891</v>
      </c>
      <c r="F240">
        <v>15.340000152587891</v>
      </c>
      <c r="G240">
        <v>958698100</v>
      </c>
      <c r="H240">
        <v>13.4706974029541</v>
      </c>
      <c r="I240">
        <v>0</v>
      </c>
      <c r="J240" t="s">
        <v>655</v>
      </c>
      <c r="K240" s="22">
        <v>45530</v>
      </c>
      <c r="L240">
        <v>0</v>
      </c>
      <c r="M240">
        <v>-1.931913375854492</v>
      </c>
      <c r="N240">
        <v>-0.12542763102092511</v>
      </c>
      <c r="O240">
        <v>-2.149999618530273</v>
      </c>
      <c r="P240">
        <v>0.18000030517578119</v>
      </c>
      <c r="Q240" t="s">
        <v>589</v>
      </c>
      <c r="R240">
        <v>2022</v>
      </c>
    </row>
    <row r="241" spans="1:18" hidden="1" x14ac:dyDescent="0.35">
      <c r="A241" t="s">
        <v>656</v>
      </c>
      <c r="B241" s="22">
        <v>44835</v>
      </c>
      <c r="C241">
        <v>15.72999954223633</v>
      </c>
      <c r="D241">
        <v>18.590000152587891</v>
      </c>
      <c r="E241">
        <v>14.460000038146971</v>
      </c>
      <c r="F241">
        <v>18.229999542236332</v>
      </c>
      <c r="G241">
        <v>1188340400</v>
      </c>
      <c r="H241">
        <v>16.008529663085941</v>
      </c>
      <c r="I241">
        <v>0.27800000000000002</v>
      </c>
      <c r="J241" t="s">
        <v>655</v>
      </c>
      <c r="K241" s="22">
        <v>45530</v>
      </c>
      <c r="L241">
        <v>0</v>
      </c>
      <c r="M241">
        <v>2.5378322601318359</v>
      </c>
      <c r="N241">
        <v>0.188396307751072</v>
      </c>
      <c r="O241">
        <v>2.5</v>
      </c>
      <c r="P241">
        <v>2.8600006103515621</v>
      </c>
      <c r="Q241" t="s">
        <v>584</v>
      </c>
      <c r="R241">
        <v>2022</v>
      </c>
    </row>
    <row r="242" spans="1:18" hidden="1" x14ac:dyDescent="0.35">
      <c r="A242" t="s">
        <v>656</v>
      </c>
      <c r="B242" s="22">
        <v>44866</v>
      </c>
      <c r="C242">
        <v>18.569999694824219</v>
      </c>
      <c r="D242">
        <v>19.389999389648441</v>
      </c>
      <c r="E242">
        <v>18.069999694824219</v>
      </c>
      <c r="F242">
        <v>19.280000686645511</v>
      </c>
      <c r="G242">
        <v>803114100</v>
      </c>
      <c r="H242">
        <v>17.231288909912109</v>
      </c>
      <c r="I242">
        <v>0</v>
      </c>
      <c r="J242" t="s">
        <v>655</v>
      </c>
      <c r="K242" s="22">
        <v>45530</v>
      </c>
      <c r="L242">
        <v>0</v>
      </c>
      <c r="M242">
        <v>1.2227592468261721</v>
      </c>
      <c r="N242">
        <v>5.759743119995564E-2</v>
      </c>
      <c r="O242">
        <v>0.71000099182128906</v>
      </c>
      <c r="P242">
        <v>0.81999969482421875</v>
      </c>
      <c r="Q242" t="s">
        <v>588</v>
      </c>
      <c r="R242">
        <v>2022</v>
      </c>
    </row>
    <row r="243" spans="1:18" hidden="1" x14ac:dyDescent="0.35">
      <c r="A243" t="s">
        <v>656</v>
      </c>
      <c r="B243" s="22">
        <v>44896</v>
      </c>
      <c r="C243">
        <v>19.29000091552734</v>
      </c>
      <c r="D243">
        <v>19.520000457763668</v>
      </c>
      <c r="E243">
        <v>17.639999389648441</v>
      </c>
      <c r="F243">
        <v>18.409999847412109</v>
      </c>
      <c r="G243">
        <v>824021900</v>
      </c>
      <c r="H243">
        <v>16.453733444213871</v>
      </c>
      <c r="I243">
        <v>0</v>
      </c>
      <c r="J243" t="s">
        <v>655</v>
      </c>
      <c r="K243" s="22">
        <v>45530</v>
      </c>
      <c r="L243">
        <v>0</v>
      </c>
      <c r="M243">
        <v>-0.77755546569824219</v>
      </c>
      <c r="N243">
        <v>-4.5124523249421511E-2</v>
      </c>
      <c r="O243">
        <v>-0.88000106811523438</v>
      </c>
      <c r="P243">
        <v>0.2299995422363281</v>
      </c>
      <c r="Q243" t="s">
        <v>589</v>
      </c>
      <c r="R243">
        <v>2022</v>
      </c>
    </row>
    <row r="244" spans="1:18" hidden="1" x14ac:dyDescent="0.35">
      <c r="A244" t="s">
        <v>656</v>
      </c>
      <c r="B244" s="22">
        <v>44927</v>
      </c>
      <c r="C244">
        <v>18.510000228881839</v>
      </c>
      <c r="D244">
        <v>21.530000686645511</v>
      </c>
      <c r="E244">
        <v>18.409999847412109</v>
      </c>
      <c r="F244">
        <v>20.370000839233398</v>
      </c>
      <c r="G244">
        <v>777779600</v>
      </c>
      <c r="H244">
        <v>18.205461502075199</v>
      </c>
      <c r="I244">
        <v>0.27800000000000002</v>
      </c>
      <c r="J244" t="s">
        <v>655</v>
      </c>
      <c r="K244" s="22">
        <v>45530</v>
      </c>
      <c r="L244">
        <v>0</v>
      </c>
      <c r="M244">
        <v>1.7517280578613279</v>
      </c>
      <c r="N244">
        <v>0.1064639330834545</v>
      </c>
      <c r="O244">
        <v>1.8600006103515621</v>
      </c>
      <c r="P244">
        <v>3.0200004577636719</v>
      </c>
      <c r="Q244" t="s">
        <v>585</v>
      </c>
      <c r="R244">
        <v>2023</v>
      </c>
    </row>
    <row r="245" spans="1:18" hidden="1" x14ac:dyDescent="0.35">
      <c r="A245" t="s">
        <v>656</v>
      </c>
      <c r="B245" s="22">
        <v>44958</v>
      </c>
      <c r="C245">
        <v>20.469999313354489</v>
      </c>
      <c r="D245">
        <v>20.5</v>
      </c>
      <c r="E245">
        <v>18.829999923706051</v>
      </c>
      <c r="F245">
        <v>18.909999847412109</v>
      </c>
      <c r="G245">
        <v>563079500</v>
      </c>
      <c r="H245">
        <v>17.144647598266602</v>
      </c>
      <c r="I245">
        <v>0</v>
      </c>
      <c r="J245" t="s">
        <v>655</v>
      </c>
      <c r="K245" s="22">
        <v>45530</v>
      </c>
      <c r="L245">
        <v>0</v>
      </c>
      <c r="M245">
        <v>-1.060813903808594</v>
      </c>
      <c r="N245">
        <v>-7.1674076174276458E-2</v>
      </c>
      <c r="O245">
        <v>-1.559999465942383</v>
      </c>
      <c r="P245">
        <v>3.0000686645507809E-2</v>
      </c>
      <c r="Q245" t="s">
        <v>583</v>
      </c>
      <c r="R245">
        <v>2023</v>
      </c>
    </row>
    <row r="246" spans="1:18" hidden="1" x14ac:dyDescent="0.35">
      <c r="A246" t="s">
        <v>656</v>
      </c>
      <c r="B246" s="22">
        <v>44986</v>
      </c>
      <c r="C246">
        <v>18.829999923706051</v>
      </c>
      <c r="D246">
        <v>19.25</v>
      </c>
      <c r="E246">
        <v>18.030000686645511</v>
      </c>
      <c r="F246">
        <v>19.25</v>
      </c>
      <c r="G246">
        <v>660086700</v>
      </c>
      <c r="H246">
        <v>17.452907562255859</v>
      </c>
      <c r="I246">
        <v>0</v>
      </c>
      <c r="J246" t="s">
        <v>655</v>
      </c>
      <c r="K246" s="22">
        <v>45530</v>
      </c>
      <c r="L246">
        <v>0</v>
      </c>
      <c r="M246">
        <v>0.30825996398925781</v>
      </c>
      <c r="N246">
        <v>1.7979913026515471E-2</v>
      </c>
      <c r="O246">
        <v>0.42000007629394531</v>
      </c>
      <c r="P246">
        <v>0.42000007629394531</v>
      </c>
      <c r="Q246" t="s">
        <v>583</v>
      </c>
      <c r="R246">
        <v>2023</v>
      </c>
    </row>
    <row r="247" spans="1:18" hidden="1" x14ac:dyDescent="0.35">
      <c r="A247" t="s">
        <v>656</v>
      </c>
      <c r="B247" s="22">
        <v>45017</v>
      </c>
      <c r="C247">
        <v>19.270000457763668</v>
      </c>
      <c r="D247">
        <v>19.989999771118161</v>
      </c>
      <c r="E247">
        <v>17.190000534057621</v>
      </c>
      <c r="F247">
        <v>17.670000076293949</v>
      </c>
      <c r="G247">
        <v>777350500</v>
      </c>
      <c r="H247">
        <v>16.020406723022461</v>
      </c>
      <c r="I247">
        <v>0.27800000000000002</v>
      </c>
      <c r="J247" t="s">
        <v>655</v>
      </c>
      <c r="K247" s="22">
        <v>45530</v>
      </c>
      <c r="L247">
        <v>0</v>
      </c>
      <c r="M247">
        <v>-1.432500839233398</v>
      </c>
      <c r="N247">
        <v>-8.207791811460019E-2</v>
      </c>
      <c r="O247">
        <v>-1.600000381469727</v>
      </c>
      <c r="P247">
        <v>0.71999931335449219</v>
      </c>
      <c r="Q247" t="s">
        <v>584</v>
      </c>
      <c r="R247">
        <v>2023</v>
      </c>
    </row>
    <row r="248" spans="1:18" hidden="1" x14ac:dyDescent="0.35">
      <c r="A248" t="s">
        <v>656</v>
      </c>
      <c r="B248" s="22">
        <v>45047</v>
      </c>
      <c r="C248">
        <v>17.739999771118161</v>
      </c>
      <c r="D248">
        <v>17.760000228881839</v>
      </c>
      <c r="E248">
        <v>15</v>
      </c>
      <c r="F248">
        <v>15.72999954223633</v>
      </c>
      <c r="G248">
        <v>860925100</v>
      </c>
      <c r="H248">
        <v>14.463778495788571</v>
      </c>
      <c r="I248">
        <v>0</v>
      </c>
      <c r="J248" t="s">
        <v>655</v>
      </c>
      <c r="K248" s="22">
        <v>45530</v>
      </c>
      <c r="L248">
        <v>0</v>
      </c>
      <c r="M248">
        <v>-1.5566282272338869</v>
      </c>
      <c r="N248">
        <v>-0.109790635296053</v>
      </c>
      <c r="O248">
        <v>-2.0100002288818359</v>
      </c>
      <c r="P248">
        <v>2.0000457763671878E-2</v>
      </c>
      <c r="Q248" t="s">
        <v>587</v>
      </c>
      <c r="R248">
        <v>2023</v>
      </c>
    </row>
    <row r="249" spans="1:18" hidden="1" x14ac:dyDescent="0.35">
      <c r="A249" t="s">
        <v>656</v>
      </c>
      <c r="B249" s="22">
        <v>45078</v>
      </c>
      <c r="C249">
        <v>15.75</v>
      </c>
      <c r="D249">
        <v>16.129999160766602</v>
      </c>
      <c r="E249">
        <v>14.85000038146973</v>
      </c>
      <c r="F249">
        <v>15.94999980926514</v>
      </c>
      <c r="G249">
        <v>804420200</v>
      </c>
      <c r="H249">
        <v>14.666069030761721</v>
      </c>
      <c r="I249">
        <v>0</v>
      </c>
      <c r="J249" t="s">
        <v>655</v>
      </c>
      <c r="K249" s="22">
        <v>45530</v>
      </c>
      <c r="L249">
        <v>0</v>
      </c>
      <c r="M249">
        <v>0.2022905349731445</v>
      </c>
      <c r="N249">
        <v>1.398603136879251E-2</v>
      </c>
      <c r="O249">
        <v>0.19999980926513669</v>
      </c>
      <c r="P249">
        <v>0.37999916076660162</v>
      </c>
      <c r="Q249" t="s">
        <v>589</v>
      </c>
      <c r="R249">
        <v>2023</v>
      </c>
    </row>
    <row r="250" spans="1:18" hidden="1" x14ac:dyDescent="0.35">
      <c r="A250" t="s">
        <v>656</v>
      </c>
      <c r="B250" s="22">
        <v>45108</v>
      </c>
      <c r="C250">
        <v>15.94999980926514</v>
      </c>
      <c r="D250">
        <v>16.229999542236332</v>
      </c>
      <c r="E250">
        <v>13.430000305175779</v>
      </c>
      <c r="F250">
        <v>14.52000045776367</v>
      </c>
      <c r="G250">
        <v>1285717500</v>
      </c>
      <c r="H250">
        <v>13.351180076599119</v>
      </c>
      <c r="I250">
        <v>0.27800000000000002</v>
      </c>
      <c r="J250" t="s">
        <v>655</v>
      </c>
      <c r="K250" s="22">
        <v>45530</v>
      </c>
      <c r="L250">
        <v>0</v>
      </c>
      <c r="M250">
        <v>-1.3148889541625981</v>
      </c>
      <c r="N250">
        <v>-8.9655132827700545E-2</v>
      </c>
      <c r="O250">
        <v>-1.4299993515014651</v>
      </c>
      <c r="P250">
        <v>0.27999973297119141</v>
      </c>
      <c r="Q250" t="s">
        <v>584</v>
      </c>
      <c r="R250">
        <v>2023</v>
      </c>
    </row>
    <row r="251" spans="1:18" hidden="1" x14ac:dyDescent="0.35">
      <c r="A251" t="s">
        <v>656</v>
      </c>
      <c r="B251" s="22">
        <v>45139</v>
      </c>
      <c r="C251">
        <v>14.560000419616699</v>
      </c>
      <c r="D251">
        <v>14.989999771118161</v>
      </c>
      <c r="E251">
        <v>13.89000034332275</v>
      </c>
      <c r="F251">
        <v>14.789999961853029</v>
      </c>
      <c r="G251">
        <v>813956600</v>
      </c>
      <c r="H251">
        <v>13.8419189453125</v>
      </c>
      <c r="I251">
        <v>0</v>
      </c>
      <c r="J251" t="s">
        <v>655</v>
      </c>
      <c r="K251" s="22">
        <v>45530</v>
      </c>
      <c r="L251">
        <v>0</v>
      </c>
      <c r="M251">
        <v>0.49073886871337891</v>
      </c>
      <c r="N251">
        <v>1.859500658245428E-2</v>
      </c>
      <c r="O251">
        <v>0.2299995422363281</v>
      </c>
      <c r="P251">
        <v>0.42999935150146479</v>
      </c>
      <c r="Q251" t="s">
        <v>588</v>
      </c>
      <c r="R251">
        <v>2023</v>
      </c>
    </row>
    <row r="252" spans="1:18" hidden="1" x14ac:dyDescent="0.35">
      <c r="A252" t="s">
        <v>656</v>
      </c>
      <c r="B252" s="22">
        <v>45170</v>
      </c>
      <c r="C252">
        <v>14.810000419616699</v>
      </c>
      <c r="D252">
        <v>15.72999954223633</v>
      </c>
      <c r="E252">
        <v>14.319999694824221</v>
      </c>
      <c r="F252">
        <v>15.02000045776367</v>
      </c>
      <c r="G252">
        <v>699432300</v>
      </c>
      <c r="H252">
        <v>14.0571756362915</v>
      </c>
      <c r="I252">
        <v>0</v>
      </c>
      <c r="J252" t="s">
        <v>655</v>
      </c>
      <c r="K252" s="22">
        <v>45530</v>
      </c>
      <c r="L252">
        <v>0</v>
      </c>
      <c r="M252">
        <v>0.21525669097900391</v>
      </c>
      <c r="N252">
        <v>1.5551081575650549E-2</v>
      </c>
      <c r="O252">
        <v>0.21000003814697271</v>
      </c>
      <c r="P252">
        <v>0.91999912261962891</v>
      </c>
      <c r="Q252" t="s">
        <v>586</v>
      </c>
      <c r="R252">
        <v>2023</v>
      </c>
    </row>
    <row r="253" spans="1:18" hidden="1" x14ac:dyDescent="0.35">
      <c r="A253" t="s">
        <v>656</v>
      </c>
      <c r="B253" s="22">
        <v>45200</v>
      </c>
      <c r="C253">
        <v>15.039999961853029</v>
      </c>
      <c r="D253">
        <v>15.909999847412109</v>
      </c>
      <c r="E253">
        <v>14.11999988555908</v>
      </c>
      <c r="F253">
        <v>15.39999961853027</v>
      </c>
      <c r="G253">
        <v>950723100</v>
      </c>
      <c r="H253">
        <v>14.41281700134277</v>
      </c>
      <c r="I253">
        <v>0.27800000000000002</v>
      </c>
      <c r="J253" t="s">
        <v>655</v>
      </c>
      <c r="K253" s="22">
        <v>45530</v>
      </c>
      <c r="L253">
        <v>0</v>
      </c>
      <c r="M253">
        <v>0.35564136505126948</v>
      </c>
      <c r="N253">
        <v>2.5299543887176371E-2</v>
      </c>
      <c r="O253">
        <v>0.35999965667724609</v>
      </c>
      <c r="P253">
        <v>0.86999988555908203</v>
      </c>
      <c r="Q253" t="s">
        <v>585</v>
      </c>
      <c r="R253">
        <v>2023</v>
      </c>
    </row>
    <row r="254" spans="1:18" hidden="1" x14ac:dyDescent="0.35">
      <c r="A254" t="s">
        <v>656</v>
      </c>
      <c r="B254" s="22">
        <v>45231</v>
      </c>
      <c r="C254">
        <v>15.489999771118161</v>
      </c>
      <c r="D254">
        <v>16.60000038146973</v>
      </c>
      <c r="E254">
        <v>15.430000305175779</v>
      </c>
      <c r="F254">
        <v>16.569999694824219</v>
      </c>
      <c r="G254">
        <v>613144100</v>
      </c>
      <c r="H254">
        <v>15.804075241088871</v>
      </c>
      <c r="I254">
        <v>0</v>
      </c>
      <c r="J254" t="s">
        <v>655</v>
      </c>
      <c r="K254" s="22">
        <v>45530</v>
      </c>
      <c r="L254">
        <v>0</v>
      </c>
      <c r="M254">
        <v>1.391258239746094</v>
      </c>
      <c r="N254">
        <v>7.5974032810112835E-2</v>
      </c>
      <c r="O254">
        <v>1.0799999237060549</v>
      </c>
      <c r="P254">
        <v>1.1100006103515621</v>
      </c>
      <c r="Q254" t="s">
        <v>583</v>
      </c>
      <c r="R254">
        <v>2023</v>
      </c>
    </row>
    <row r="255" spans="1:18" hidden="1" x14ac:dyDescent="0.35">
      <c r="A255" t="s">
        <v>656</v>
      </c>
      <c r="B255" s="22">
        <v>45261</v>
      </c>
      <c r="C255">
        <v>16.60000038146973</v>
      </c>
      <c r="D255">
        <v>17.340000152587891</v>
      </c>
      <c r="E255">
        <v>16.10000038146973</v>
      </c>
      <c r="F255">
        <v>16.780000686645511</v>
      </c>
      <c r="G255">
        <v>801833200</v>
      </c>
      <c r="H255">
        <v>16.00436973571777</v>
      </c>
      <c r="I255">
        <v>0</v>
      </c>
      <c r="J255" t="s">
        <v>655</v>
      </c>
      <c r="K255" s="22">
        <v>45530</v>
      </c>
      <c r="L255">
        <v>0</v>
      </c>
      <c r="M255">
        <v>0.20029449462890619</v>
      </c>
      <c r="N255">
        <v>1.2673566426611551E-2</v>
      </c>
      <c r="O255">
        <v>0.18000030517578119</v>
      </c>
      <c r="P255">
        <v>0.73999977111816406</v>
      </c>
      <c r="Q255" t="s">
        <v>586</v>
      </c>
      <c r="R255">
        <v>2023</v>
      </c>
    </row>
    <row r="256" spans="1:18" hidden="1" x14ac:dyDescent="0.35">
      <c r="A256" t="s">
        <v>658</v>
      </c>
      <c r="B256" s="22">
        <v>43466</v>
      </c>
      <c r="C256">
        <v>71.370002746582031</v>
      </c>
      <c r="D256">
        <v>77.089996337890625</v>
      </c>
      <c r="E256">
        <v>70.419998168945313</v>
      </c>
      <c r="F256">
        <v>76.709999084472656</v>
      </c>
      <c r="G256">
        <v>26024000</v>
      </c>
      <c r="H256">
        <v>70.348541259765625</v>
      </c>
      <c r="I256">
        <v>0.375</v>
      </c>
      <c r="J256" t="s">
        <v>657</v>
      </c>
      <c r="K256" s="22">
        <v>45530</v>
      </c>
      <c r="O256">
        <v>5.339996337890625</v>
      </c>
      <c r="P256">
        <v>5.7199935913085938</v>
      </c>
      <c r="Q256" t="s">
        <v>588</v>
      </c>
      <c r="R256">
        <v>2019</v>
      </c>
    </row>
    <row r="257" spans="1:18" hidden="1" x14ac:dyDescent="0.35">
      <c r="A257" t="s">
        <v>658</v>
      </c>
      <c r="B257" s="22">
        <v>43497</v>
      </c>
      <c r="C257">
        <v>76.800003051757813</v>
      </c>
      <c r="D257">
        <v>78.550003051757813</v>
      </c>
      <c r="E257">
        <v>75.029998779296875</v>
      </c>
      <c r="F257">
        <v>78.430000305175781</v>
      </c>
      <c r="G257">
        <v>26356000</v>
      </c>
      <c r="H257">
        <v>71.925918579101563</v>
      </c>
      <c r="I257">
        <v>0</v>
      </c>
      <c r="J257" t="s">
        <v>657</v>
      </c>
      <c r="K257" s="22">
        <v>45530</v>
      </c>
      <c r="M257">
        <v>1.5773773193359379</v>
      </c>
      <c r="N257">
        <v>2.242212542342847E-2</v>
      </c>
      <c r="O257">
        <v>1.629997253417969</v>
      </c>
      <c r="P257">
        <v>1.75</v>
      </c>
      <c r="Q257" t="s">
        <v>586</v>
      </c>
      <c r="R257">
        <v>2019</v>
      </c>
    </row>
    <row r="258" spans="1:18" hidden="1" x14ac:dyDescent="0.35">
      <c r="A258" t="s">
        <v>658</v>
      </c>
      <c r="B258" s="22">
        <v>43525</v>
      </c>
      <c r="C258">
        <v>78.839996337890625</v>
      </c>
      <c r="D258">
        <v>81.199996948242188</v>
      </c>
      <c r="E258">
        <v>77.44000244140625</v>
      </c>
      <c r="F258">
        <v>80.379997253417969</v>
      </c>
      <c r="G258">
        <v>25261800</v>
      </c>
      <c r="H258">
        <v>73.714195251464844</v>
      </c>
      <c r="I258">
        <v>0.375</v>
      </c>
      <c r="J258" t="s">
        <v>657</v>
      </c>
      <c r="K258" s="22">
        <v>45530</v>
      </c>
      <c r="M258">
        <v>1.788276672363281</v>
      </c>
      <c r="N258">
        <v>2.4862896094028249E-2</v>
      </c>
      <c r="O258">
        <v>1.540000915527344</v>
      </c>
      <c r="P258">
        <v>2.3600006103515621</v>
      </c>
      <c r="Q258" t="s">
        <v>586</v>
      </c>
      <c r="R258">
        <v>2019</v>
      </c>
    </row>
    <row r="259" spans="1:18" hidden="1" x14ac:dyDescent="0.35">
      <c r="A259" t="s">
        <v>658</v>
      </c>
      <c r="B259" s="22">
        <v>43556</v>
      </c>
      <c r="C259">
        <v>80.839996337890625</v>
      </c>
      <c r="D259">
        <v>82.870002746582031</v>
      </c>
      <c r="E259">
        <v>76.129997253417969</v>
      </c>
      <c r="F259">
        <v>82.819999694824219</v>
      </c>
      <c r="G259">
        <v>27666800</v>
      </c>
      <c r="H259">
        <v>76.306831359863281</v>
      </c>
      <c r="I259">
        <v>0</v>
      </c>
      <c r="J259" t="s">
        <v>657</v>
      </c>
      <c r="K259" s="22">
        <v>45530</v>
      </c>
      <c r="M259">
        <v>2.5926361083984379</v>
      </c>
      <c r="N259">
        <v>3.035584131352409E-2</v>
      </c>
      <c r="O259">
        <v>1.980003356933594</v>
      </c>
      <c r="P259">
        <v>2.0300064086914058</v>
      </c>
      <c r="Q259" t="s">
        <v>587</v>
      </c>
      <c r="R259">
        <v>2019</v>
      </c>
    </row>
    <row r="260" spans="1:18" hidden="1" x14ac:dyDescent="0.35">
      <c r="A260" t="s">
        <v>658</v>
      </c>
      <c r="B260" s="22">
        <v>43586</v>
      </c>
      <c r="C260">
        <v>82.730003356933594</v>
      </c>
      <c r="D260">
        <v>85.400001525878906</v>
      </c>
      <c r="E260">
        <v>81.489997863769531</v>
      </c>
      <c r="F260">
        <v>84.589996337890625</v>
      </c>
      <c r="G260">
        <v>23730100</v>
      </c>
      <c r="H260">
        <v>77.937629699707031</v>
      </c>
      <c r="I260">
        <v>0</v>
      </c>
      <c r="J260" t="s">
        <v>657</v>
      </c>
      <c r="K260" s="22">
        <v>45530</v>
      </c>
      <c r="M260">
        <v>1.63079833984375</v>
      </c>
      <c r="N260">
        <v>2.1371608905922601E-2</v>
      </c>
      <c r="O260">
        <v>1.859992980957031</v>
      </c>
      <c r="P260">
        <v>2.6699981689453121</v>
      </c>
      <c r="Q260" t="s">
        <v>583</v>
      </c>
      <c r="R260">
        <v>2019</v>
      </c>
    </row>
    <row r="261" spans="1:18" hidden="1" x14ac:dyDescent="0.35">
      <c r="A261" t="s">
        <v>658</v>
      </c>
      <c r="B261" s="22">
        <v>43617</v>
      </c>
      <c r="C261">
        <v>84.849998474121094</v>
      </c>
      <c r="D261">
        <v>87.779998779296875</v>
      </c>
      <c r="E261">
        <v>84.120002746582031</v>
      </c>
      <c r="F261">
        <v>86.639999389648438</v>
      </c>
      <c r="G261">
        <v>20027400</v>
      </c>
      <c r="H261">
        <v>79.826408386230469</v>
      </c>
      <c r="I261">
        <v>0.375</v>
      </c>
      <c r="J261" t="s">
        <v>657</v>
      </c>
      <c r="K261" s="22">
        <v>45530</v>
      </c>
      <c r="M261">
        <v>1.8887786865234379</v>
      </c>
      <c r="N261">
        <v>2.423458021642633E-2</v>
      </c>
      <c r="O261">
        <v>1.790000915527344</v>
      </c>
      <c r="P261">
        <v>2.9300003051757808</v>
      </c>
      <c r="Q261" t="s">
        <v>584</v>
      </c>
      <c r="R261">
        <v>2019</v>
      </c>
    </row>
    <row r="262" spans="1:18" hidden="1" x14ac:dyDescent="0.35">
      <c r="A262" t="s">
        <v>658</v>
      </c>
      <c r="B262" s="22">
        <v>43647</v>
      </c>
      <c r="C262">
        <v>87.050003051757813</v>
      </c>
      <c r="D262">
        <v>90.599998474121094</v>
      </c>
      <c r="E262">
        <v>85.599998474121094</v>
      </c>
      <c r="F262">
        <v>88.650001525878906</v>
      </c>
      <c r="G262">
        <v>19194000</v>
      </c>
      <c r="H262">
        <v>82.033660888671875</v>
      </c>
      <c r="I262">
        <v>0</v>
      </c>
      <c r="J262" t="s">
        <v>657</v>
      </c>
      <c r="K262" s="22">
        <v>45530</v>
      </c>
      <c r="M262">
        <v>2.2072525024414058</v>
      </c>
      <c r="N262">
        <v>2.319947080321216E-2</v>
      </c>
      <c r="O262">
        <v>1.599998474121094</v>
      </c>
      <c r="P262">
        <v>3.5499954223632808</v>
      </c>
      <c r="Q262" t="s">
        <v>587</v>
      </c>
      <c r="R262">
        <v>2019</v>
      </c>
    </row>
    <row r="263" spans="1:18" hidden="1" x14ac:dyDescent="0.35">
      <c r="A263" t="s">
        <v>658</v>
      </c>
      <c r="B263" s="22">
        <v>43678</v>
      </c>
      <c r="C263">
        <v>88.569999694824219</v>
      </c>
      <c r="D263">
        <v>90.620002746582031</v>
      </c>
      <c r="E263">
        <v>86.339996337890625</v>
      </c>
      <c r="F263">
        <v>89.25</v>
      </c>
      <c r="G263">
        <v>23957200</v>
      </c>
      <c r="H263">
        <v>82.5888671875</v>
      </c>
      <c r="I263">
        <v>0</v>
      </c>
      <c r="J263" t="s">
        <v>657</v>
      </c>
      <c r="K263" s="22">
        <v>45530</v>
      </c>
      <c r="M263">
        <v>0.555206298828125</v>
      </c>
      <c r="N263">
        <v>6.7681721804138117E-3</v>
      </c>
      <c r="O263">
        <v>0.68000030517578125</v>
      </c>
      <c r="P263">
        <v>2.0500030517578121</v>
      </c>
      <c r="Q263" t="s">
        <v>589</v>
      </c>
      <c r="R263">
        <v>2019</v>
      </c>
    </row>
    <row r="264" spans="1:18" hidden="1" x14ac:dyDescent="0.35">
      <c r="A264" t="s">
        <v>658</v>
      </c>
      <c r="B264" s="22">
        <v>43709</v>
      </c>
      <c r="C264">
        <v>89.050003051757813</v>
      </c>
      <c r="D264">
        <v>90.419998168945313</v>
      </c>
      <c r="E264">
        <v>84.599998474121094</v>
      </c>
      <c r="F264">
        <v>86.550003051757813</v>
      </c>
      <c r="G264">
        <v>22512000</v>
      </c>
      <c r="H264">
        <v>80.090408325195313</v>
      </c>
      <c r="I264">
        <v>0.40500000000000003</v>
      </c>
      <c r="J264" t="s">
        <v>657</v>
      </c>
      <c r="K264" s="22">
        <v>45530</v>
      </c>
      <c r="M264">
        <v>-2.4984588623046879</v>
      </c>
      <c r="N264">
        <v>-3.0252066646971328E-2</v>
      </c>
      <c r="O264">
        <v>-2.5</v>
      </c>
      <c r="P264">
        <v>1.3699951171875</v>
      </c>
      <c r="Q264" t="s">
        <v>585</v>
      </c>
      <c r="R264">
        <v>2019</v>
      </c>
    </row>
    <row r="265" spans="1:18" hidden="1" x14ac:dyDescent="0.35">
      <c r="A265" t="s">
        <v>658</v>
      </c>
      <c r="B265" s="22">
        <v>43739</v>
      </c>
      <c r="C265">
        <v>86.870002746582031</v>
      </c>
      <c r="D265">
        <v>89</v>
      </c>
      <c r="E265">
        <v>84.279998779296875</v>
      </c>
      <c r="F265">
        <v>87.510002136230469</v>
      </c>
      <c r="G265">
        <v>21848100</v>
      </c>
      <c r="H265">
        <v>81.36090087890625</v>
      </c>
      <c r="I265">
        <v>0</v>
      </c>
      <c r="J265" t="s">
        <v>657</v>
      </c>
      <c r="K265" s="22">
        <v>45530</v>
      </c>
      <c r="M265">
        <v>1.2704925537109379</v>
      </c>
      <c r="N265">
        <v>1.1091843450295119E-2</v>
      </c>
      <c r="O265">
        <v>0.6399993896484375</v>
      </c>
      <c r="P265">
        <v>2.1299972534179692</v>
      </c>
      <c r="Q265" t="s">
        <v>588</v>
      </c>
      <c r="R265">
        <v>2019</v>
      </c>
    </row>
    <row r="266" spans="1:18" hidden="1" x14ac:dyDescent="0.35">
      <c r="A266" t="s">
        <v>658</v>
      </c>
      <c r="B266" s="22">
        <v>43770</v>
      </c>
      <c r="C266">
        <v>87.650001525878906</v>
      </c>
      <c r="D266">
        <v>89.220001220703125</v>
      </c>
      <c r="E266">
        <v>84.889999389648438</v>
      </c>
      <c r="F266">
        <v>88.650001525878906</v>
      </c>
      <c r="G266">
        <v>18756800</v>
      </c>
      <c r="H266">
        <v>82.420814514160156</v>
      </c>
      <c r="I266">
        <v>0</v>
      </c>
      <c r="J266" t="s">
        <v>657</v>
      </c>
      <c r="K266" s="22">
        <v>45530</v>
      </c>
      <c r="M266">
        <v>1.059913635253906</v>
      </c>
      <c r="N266">
        <v>1.302707532647251E-2</v>
      </c>
      <c r="O266">
        <v>1</v>
      </c>
      <c r="P266">
        <v>1.569999694824219</v>
      </c>
      <c r="Q266" t="s">
        <v>586</v>
      </c>
      <c r="R266">
        <v>2019</v>
      </c>
    </row>
    <row r="267" spans="1:18" hidden="1" x14ac:dyDescent="0.35">
      <c r="A267" t="s">
        <v>658</v>
      </c>
      <c r="B267" s="22">
        <v>43800</v>
      </c>
      <c r="C267">
        <v>88.569999694824219</v>
      </c>
      <c r="D267">
        <v>90.360000610351563</v>
      </c>
      <c r="E267">
        <v>87.300003051757813</v>
      </c>
      <c r="F267">
        <v>89.629997253417969</v>
      </c>
      <c r="G267">
        <v>20314000</v>
      </c>
      <c r="H267">
        <v>83.331954956054688</v>
      </c>
      <c r="I267">
        <v>0.40500000000000003</v>
      </c>
      <c r="J267" t="s">
        <v>657</v>
      </c>
      <c r="K267" s="22">
        <v>45530</v>
      </c>
      <c r="M267">
        <v>0.91114044189453125</v>
      </c>
      <c r="N267">
        <v>1.1054661146880919E-2</v>
      </c>
      <c r="O267">
        <v>1.05999755859375</v>
      </c>
      <c r="P267">
        <v>1.790000915527344</v>
      </c>
      <c r="Q267" t="s">
        <v>585</v>
      </c>
      <c r="R267">
        <v>2019</v>
      </c>
    </row>
    <row r="268" spans="1:18" hidden="1" x14ac:dyDescent="0.35">
      <c r="A268" t="s">
        <v>658</v>
      </c>
      <c r="B268" s="22">
        <v>43831</v>
      </c>
      <c r="C268">
        <v>89.720001220703125</v>
      </c>
      <c r="D268">
        <v>96.400001525878906</v>
      </c>
      <c r="E268">
        <v>88.769996643066406</v>
      </c>
      <c r="F268">
        <v>95.050003051757813</v>
      </c>
      <c r="G268">
        <v>24223100</v>
      </c>
      <c r="H268">
        <v>88.77056884765625</v>
      </c>
      <c r="I268">
        <v>0</v>
      </c>
      <c r="J268" t="s">
        <v>657</v>
      </c>
      <c r="K268" s="22">
        <v>45530</v>
      </c>
      <c r="M268">
        <v>5.4386138916015616</v>
      </c>
      <c r="N268">
        <v>6.0470891045722563E-2</v>
      </c>
      <c r="O268">
        <v>5.3300018310546884</v>
      </c>
      <c r="P268">
        <v>6.6800003051757813</v>
      </c>
      <c r="Q268" t="s">
        <v>583</v>
      </c>
      <c r="R268">
        <v>2020</v>
      </c>
    </row>
    <row r="269" spans="1:18" hidden="1" x14ac:dyDescent="0.35">
      <c r="A269" t="s">
        <v>658</v>
      </c>
      <c r="B269" s="22">
        <v>43862</v>
      </c>
      <c r="C269">
        <v>95.389999389648438</v>
      </c>
      <c r="D269">
        <v>100.9100036621094</v>
      </c>
      <c r="E269">
        <v>86.959999084472656</v>
      </c>
      <c r="F269">
        <v>90.260002136230469</v>
      </c>
      <c r="G269">
        <v>24544900</v>
      </c>
      <c r="H269">
        <v>84.297012329101563</v>
      </c>
      <c r="I269">
        <v>0</v>
      </c>
      <c r="J269" t="s">
        <v>657</v>
      </c>
      <c r="K269" s="22">
        <v>45530</v>
      </c>
      <c r="M269">
        <v>-4.4735565185546884</v>
      </c>
      <c r="N269">
        <v>-5.0394537209210173E-2</v>
      </c>
      <c r="O269">
        <v>-5.1299972534179688</v>
      </c>
      <c r="P269">
        <v>5.5200042724609384</v>
      </c>
      <c r="Q269" t="s">
        <v>584</v>
      </c>
      <c r="R269">
        <v>2020</v>
      </c>
    </row>
    <row r="270" spans="1:18" hidden="1" x14ac:dyDescent="0.35">
      <c r="A270" t="s">
        <v>658</v>
      </c>
      <c r="B270" s="22">
        <v>43891</v>
      </c>
      <c r="C270">
        <v>90.900001525878906</v>
      </c>
      <c r="D270">
        <v>96.620002746582031</v>
      </c>
      <c r="E270">
        <v>65.370002746582031</v>
      </c>
      <c r="F270">
        <v>75.05999755859375</v>
      </c>
      <c r="G270">
        <v>46943500</v>
      </c>
      <c r="H270">
        <v>70.1011962890625</v>
      </c>
      <c r="I270">
        <v>0.40500000000000003</v>
      </c>
      <c r="J270" t="s">
        <v>657</v>
      </c>
      <c r="K270" s="22">
        <v>45530</v>
      </c>
      <c r="M270">
        <v>-14.195816040039061</v>
      </c>
      <c r="N270">
        <v>-0.16840243981708719</v>
      </c>
      <c r="O270">
        <v>-15.84000396728516</v>
      </c>
      <c r="P270">
        <v>5.720001220703125</v>
      </c>
      <c r="Q270" t="s">
        <v>585</v>
      </c>
      <c r="R270">
        <v>2020</v>
      </c>
    </row>
    <row r="271" spans="1:18" hidden="1" x14ac:dyDescent="0.35">
      <c r="A271" t="s">
        <v>658</v>
      </c>
      <c r="B271" s="22">
        <v>43922</v>
      </c>
      <c r="C271">
        <v>72.870002746582031</v>
      </c>
      <c r="D271">
        <v>82.919998168945313</v>
      </c>
      <c r="E271">
        <v>71.319999694824219</v>
      </c>
      <c r="F271">
        <v>78.339996337890625</v>
      </c>
      <c r="G271">
        <v>31785200</v>
      </c>
      <c r="H271">
        <v>73.553138732910156</v>
      </c>
      <c r="I271">
        <v>0</v>
      </c>
      <c r="J271" t="s">
        <v>657</v>
      </c>
      <c r="K271" s="22">
        <v>45530</v>
      </c>
      <c r="M271">
        <v>3.4519424438476558</v>
      </c>
      <c r="N271">
        <v>4.3698359791930708E-2</v>
      </c>
      <c r="O271">
        <v>5.4699935913085938</v>
      </c>
      <c r="P271">
        <v>10.049995422363279</v>
      </c>
      <c r="Q271" t="s">
        <v>583</v>
      </c>
      <c r="R271">
        <v>2020</v>
      </c>
    </row>
    <row r="272" spans="1:18" hidden="1" x14ac:dyDescent="0.35">
      <c r="A272" t="s">
        <v>658</v>
      </c>
      <c r="B272" s="22">
        <v>43952</v>
      </c>
      <c r="C272">
        <v>77.30999755859375</v>
      </c>
      <c r="D272">
        <v>86.139999389648438</v>
      </c>
      <c r="E272">
        <v>76.19000244140625</v>
      </c>
      <c r="F272">
        <v>85.459999084472656</v>
      </c>
      <c r="G272">
        <v>26239800</v>
      </c>
      <c r="H272">
        <v>80.238082885742188</v>
      </c>
      <c r="I272">
        <v>0</v>
      </c>
      <c r="J272" t="s">
        <v>657</v>
      </c>
      <c r="K272" s="22">
        <v>45530</v>
      </c>
      <c r="M272">
        <v>6.6849441528320313</v>
      </c>
      <c r="N272">
        <v>9.0885921360942312E-2</v>
      </c>
      <c r="O272">
        <v>8.1500015258789063</v>
      </c>
      <c r="P272">
        <v>8.8300018310546875</v>
      </c>
      <c r="Q272" t="s">
        <v>586</v>
      </c>
      <c r="R272">
        <v>2020</v>
      </c>
    </row>
    <row r="273" spans="1:18" hidden="1" x14ac:dyDescent="0.35">
      <c r="A273" t="s">
        <v>658</v>
      </c>
      <c r="B273" s="22">
        <v>43983</v>
      </c>
      <c r="C273">
        <v>85.470001220703125</v>
      </c>
      <c r="D273">
        <v>90.199996948242188</v>
      </c>
      <c r="E273">
        <v>78.220001220703125</v>
      </c>
      <c r="F273">
        <v>82.050003051757813</v>
      </c>
      <c r="G273">
        <v>29586700</v>
      </c>
      <c r="H273">
        <v>77.036453247070313</v>
      </c>
      <c r="I273">
        <v>0.40500000000000003</v>
      </c>
      <c r="J273" t="s">
        <v>657</v>
      </c>
      <c r="K273" s="22">
        <v>45530</v>
      </c>
      <c r="M273">
        <v>-3.201629638671875</v>
      </c>
      <c r="N273">
        <v>-3.9901662406341083E-2</v>
      </c>
      <c r="O273">
        <v>-3.4199981689453121</v>
      </c>
      <c r="P273">
        <v>4.7299957275390616</v>
      </c>
      <c r="Q273" t="s">
        <v>587</v>
      </c>
      <c r="R273">
        <v>2020</v>
      </c>
    </row>
    <row r="274" spans="1:18" hidden="1" x14ac:dyDescent="0.35">
      <c r="A274" t="s">
        <v>658</v>
      </c>
      <c r="B274" s="22">
        <v>44013</v>
      </c>
      <c r="C274">
        <v>82.319999694824219</v>
      </c>
      <c r="D274">
        <v>87.379997253417969</v>
      </c>
      <c r="E274">
        <v>78.800003051757813</v>
      </c>
      <c r="F274">
        <v>87.25</v>
      </c>
      <c r="G274">
        <v>23106900</v>
      </c>
      <c r="H274">
        <v>82.329902648925781</v>
      </c>
      <c r="I274">
        <v>0</v>
      </c>
      <c r="J274" t="s">
        <v>657</v>
      </c>
      <c r="K274" s="22">
        <v>45530</v>
      </c>
      <c r="M274">
        <v>5.2934494018554688</v>
      </c>
      <c r="N274">
        <v>6.3375950698770778E-2</v>
      </c>
      <c r="O274">
        <v>4.9300003051757813</v>
      </c>
      <c r="P274">
        <v>5.05999755859375</v>
      </c>
      <c r="Q274" t="s">
        <v>583</v>
      </c>
      <c r="R274">
        <v>2020</v>
      </c>
    </row>
    <row r="275" spans="1:18" hidden="1" x14ac:dyDescent="0.35">
      <c r="A275" t="s">
        <v>658</v>
      </c>
      <c r="B275" s="22">
        <v>44044</v>
      </c>
      <c r="C275">
        <v>87.419998168945313</v>
      </c>
      <c r="D275">
        <v>93.510002136230469</v>
      </c>
      <c r="E275">
        <v>86</v>
      </c>
      <c r="F275">
        <v>92.720001220703125</v>
      </c>
      <c r="G275">
        <v>19629200</v>
      </c>
      <c r="H275">
        <v>87.491439819335938</v>
      </c>
      <c r="I275">
        <v>0</v>
      </c>
      <c r="J275" t="s">
        <v>657</v>
      </c>
      <c r="K275" s="22">
        <v>45530</v>
      </c>
      <c r="M275">
        <v>5.1615371704101563</v>
      </c>
      <c r="N275">
        <v>6.269342373298703E-2</v>
      </c>
      <c r="O275">
        <v>5.3000030517578116</v>
      </c>
      <c r="P275">
        <v>6.0900039672851563</v>
      </c>
      <c r="Q275" t="s">
        <v>584</v>
      </c>
      <c r="R275">
        <v>2020</v>
      </c>
    </row>
    <row r="276" spans="1:18" hidden="1" x14ac:dyDescent="0.35">
      <c r="A276" t="s">
        <v>658</v>
      </c>
      <c r="B276" s="22">
        <v>44075</v>
      </c>
      <c r="C276">
        <v>92.330001831054688</v>
      </c>
      <c r="D276">
        <v>98.110000610351563</v>
      </c>
      <c r="E276">
        <v>91.129997253417969</v>
      </c>
      <c r="F276">
        <v>93.349998474121094</v>
      </c>
      <c r="G276">
        <v>25190800</v>
      </c>
      <c r="H276">
        <v>88.085914611816406</v>
      </c>
      <c r="I276">
        <v>0.42499999999999999</v>
      </c>
      <c r="J276" t="s">
        <v>657</v>
      </c>
      <c r="K276" s="22">
        <v>45530</v>
      </c>
      <c r="M276">
        <v>0.59447479248046875</v>
      </c>
      <c r="N276">
        <v>6.7946208490483606E-3</v>
      </c>
      <c r="O276">
        <v>1.019996643066406</v>
      </c>
      <c r="P276">
        <v>5.779998779296875</v>
      </c>
      <c r="Q276" t="s">
        <v>588</v>
      </c>
      <c r="R276">
        <v>2020</v>
      </c>
    </row>
    <row r="277" spans="1:18" hidden="1" x14ac:dyDescent="0.35">
      <c r="A277" t="s">
        <v>658</v>
      </c>
      <c r="B277" s="22">
        <v>44105</v>
      </c>
      <c r="C277">
        <v>93.669998168945313</v>
      </c>
      <c r="D277">
        <v>95.19000244140625</v>
      </c>
      <c r="E277">
        <v>86.180000305175781</v>
      </c>
      <c r="F277">
        <v>88.169998168945313</v>
      </c>
      <c r="G277">
        <v>22100200</v>
      </c>
      <c r="H277">
        <v>83.576217651367188</v>
      </c>
      <c r="I277">
        <v>0</v>
      </c>
      <c r="J277" t="s">
        <v>657</v>
      </c>
      <c r="K277" s="22">
        <v>45530</v>
      </c>
      <c r="M277">
        <v>-4.5096969604492188</v>
      </c>
      <c r="N277">
        <v>-5.5490095231354508E-2</v>
      </c>
      <c r="O277">
        <v>-5.5</v>
      </c>
      <c r="P277">
        <v>1.5200042724609379</v>
      </c>
      <c r="Q277" t="s">
        <v>589</v>
      </c>
      <c r="R277">
        <v>2020</v>
      </c>
    </row>
    <row r="278" spans="1:18" hidden="1" x14ac:dyDescent="0.35">
      <c r="A278" t="s">
        <v>658</v>
      </c>
      <c r="B278" s="22">
        <v>44136</v>
      </c>
      <c r="C278">
        <v>88.989997863769531</v>
      </c>
      <c r="D278">
        <v>103.7900009155273</v>
      </c>
      <c r="E278">
        <v>88.879997253417969</v>
      </c>
      <c r="F278">
        <v>96.720001220703125</v>
      </c>
      <c r="G278">
        <v>27641500</v>
      </c>
      <c r="H278">
        <v>91.680763244628906</v>
      </c>
      <c r="I278">
        <v>0</v>
      </c>
      <c r="J278" t="s">
        <v>657</v>
      </c>
      <c r="K278" s="22">
        <v>45530</v>
      </c>
      <c r="M278">
        <v>8.1045455932617188</v>
      </c>
      <c r="N278">
        <v>9.6971795727781362E-2</v>
      </c>
      <c r="O278">
        <v>7.7300033569335938</v>
      </c>
      <c r="P278">
        <v>14.800003051757811</v>
      </c>
      <c r="Q278" t="s">
        <v>585</v>
      </c>
      <c r="R278">
        <v>2020</v>
      </c>
    </row>
    <row r="279" spans="1:18" hidden="1" x14ac:dyDescent="0.35">
      <c r="A279" t="s">
        <v>658</v>
      </c>
      <c r="B279" s="22">
        <v>44166</v>
      </c>
      <c r="C279">
        <v>97.580001831054688</v>
      </c>
      <c r="D279">
        <v>98.410003662109375</v>
      </c>
      <c r="E279">
        <v>93.290000915527344</v>
      </c>
      <c r="F279">
        <v>96.300003051757813</v>
      </c>
      <c r="G279">
        <v>30121500</v>
      </c>
      <c r="H279">
        <v>91.282623291015625</v>
      </c>
      <c r="I279">
        <v>0.42499999999999999</v>
      </c>
      <c r="J279" t="s">
        <v>657</v>
      </c>
      <c r="K279" s="22">
        <v>45530</v>
      </c>
      <c r="M279">
        <v>-0.39813995361328119</v>
      </c>
      <c r="N279">
        <v>-4.3424127754809749E-3</v>
      </c>
      <c r="O279">
        <v>-1.279998779296875</v>
      </c>
      <c r="P279">
        <v>0.8300018310546875</v>
      </c>
      <c r="Q279" t="s">
        <v>588</v>
      </c>
      <c r="R279">
        <v>2020</v>
      </c>
    </row>
    <row r="280" spans="1:18" hidden="1" x14ac:dyDescent="0.35">
      <c r="A280" t="s">
        <v>658</v>
      </c>
      <c r="B280" s="22">
        <v>44197</v>
      </c>
      <c r="C280">
        <v>96.180000305175781</v>
      </c>
      <c r="D280">
        <v>97.569999694824219</v>
      </c>
      <c r="E280">
        <v>90.010002136230469</v>
      </c>
      <c r="F280">
        <v>90.519996643066406</v>
      </c>
      <c r="G280">
        <v>20750200</v>
      </c>
      <c r="H280">
        <v>86.186470031738281</v>
      </c>
      <c r="I280">
        <v>0</v>
      </c>
      <c r="J280" t="s">
        <v>657</v>
      </c>
      <c r="K280" s="22">
        <v>45530</v>
      </c>
      <c r="M280">
        <v>-5.0961532592773438</v>
      </c>
      <c r="N280">
        <v>-6.002083307915218E-2</v>
      </c>
      <c r="O280">
        <v>-5.660003662109375</v>
      </c>
      <c r="P280">
        <v>1.3899993896484379</v>
      </c>
      <c r="Q280" t="s">
        <v>586</v>
      </c>
      <c r="R280">
        <v>2021</v>
      </c>
    </row>
    <row r="281" spans="1:18" hidden="1" x14ac:dyDescent="0.35">
      <c r="A281" t="s">
        <v>658</v>
      </c>
      <c r="B281" s="22">
        <v>44228</v>
      </c>
      <c r="C281">
        <v>90.930000305175781</v>
      </c>
      <c r="D281">
        <v>92.430000305175781</v>
      </c>
      <c r="E281">
        <v>88.620002746582031</v>
      </c>
      <c r="F281">
        <v>89.089996337890625</v>
      </c>
      <c r="G281">
        <v>29484500</v>
      </c>
      <c r="H281">
        <v>84.824943542480469</v>
      </c>
      <c r="I281">
        <v>0</v>
      </c>
      <c r="J281" t="s">
        <v>657</v>
      </c>
      <c r="K281" s="22">
        <v>45530</v>
      </c>
      <c r="M281">
        <v>-1.3615264892578121</v>
      </c>
      <c r="N281">
        <v>-1.5797617744225941E-2</v>
      </c>
      <c r="O281">
        <v>-1.840003967285156</v>
      </c>
      <c r="P281">
        <v>1.5</v>
      </c>
      <c r="Q281" t="s">
        <v>587</v>
      </c>
      <c r="R281">
        <v>2021</v>
      </c>
    </row>
    <row r="282" spans="1:18" hidden="1" x14ac:dyDescent="0.35">
      <c r="A282" t="s">
        <v>658</v>
      </c>
      <c r="B282" s="22">
        <v>44256</v>
      </c>
      <c r="C282">
        <v>89.769996643066406</v>
      </c>
      <c r="D282">
        <v>101.9899978637695</v>
      </c>
      <c r="E282">
        <v>89.629997253417969</v>
      </c>
      <c r="F282">
        <v>99.349998474121094</v>
      </c>
      <c r="G282">
        <v>31819000</v>
      </c>
      <c r="H282">
        <v>94.593757629394531</v>
      </c>
      <c r="I282">
        <v>0.42499999999999999</v>
      </c>
      <c r="J282" t="s">
        <v>657</v>
      </c>
      <c r="K282" s="22">
        <v>45530</v>
      </c>
      <c r="M282">
        <v>9.7688140869140625</v>
      </c>
      <c r="N282">
        <v>0.11516446916573519</v>
      </c>
      <c r="O282">
        <v>9.5800018310546875</v>
      </c>
      <c r="P282">
        <v>12.22000122070312</v>
      </c>
      <c r="Q282" t="s">
        <v>587</v>
      </c>
      <c r="R282">
        <v>2021</v>
      </c>
    </row>
    <row r="283" spans="1:18" hidden="1" x14ac:dyDescent="0.35">
      <c r="A283" t="s">
        <v>658</v>
      </c>
      <c r="B283" s="22">
        <v>44287</v>
      </c>
      <c r="C283">
        <v>99.760002136230469</v>
      </c>
      <c r="D283">
        <v>106.65000152587891</v>
      </c>
      <c r="E283">
        <v>98.720001220703125</v>
      </c>
      <c r="F283">
        <v>106.3000030517578</v>
      </c>
      <c r="G283">
        <v>19870200</v>
      </c>
      <c r="H283">
        <v>101.6411819458008</v>
      </c>
      <c r="I283">
        <v>0</v>
      </c>
      <c r="J283" t="s">
        <v>657</v>
      </c>
      <c r="K283" s="22">
        <v>45530</v>
      </c>
      <c r="M283">
        <v>7.04742431640625</v>
      </c>
      <c r="N283">
        <v>6.9954752736579806E-2</v>
      </c>
      <c r="O283">
        <v>6.5400009155273438</v>
      </c>
      <c r="P283">
        <v>6.8899993896484384</v>
      </c>
      <c r="Q283" t="s">
        <v>589</v>
      </c>
      <c r="R283">
        <v>2021</v>
      </c>
    </row>
    <row r="284" spans="1:18" hidden="1" x14ac:dyDescent="0.35">
      <c r="A284" t="s">
        <v>658</v>
      </c>
      <c r="B284" s="22">
        <v>44317</v>
      </c>
      <c r="C284">
        <v>106.8199996948242</v>
      </c>
      <c r="D284">
        <v>113.2799987792969</v>
      </c>
      <c r="E284">
        <v>106.5699996948242</v>
      </c>
      <c r="F284">
        <v>109.1800003051758</v>
      </c>
      <c r="G284">
        <v>25231700</v>
      </c>
      <c r="H284">
        <v>104.3949432373047</v>
      </c>
      <c r="I284">
        <v>0</v>
      </c>
      <c r="J284" t="s">
        <v>657</v>
      </c>
      <c r="K284" s="22">
        <v>45530</v>
      </c>
      <c r="M284">
        <v>2.7537612915039058</v>
      </c>
      <c r="N284">
        <v>2.7093106027623381E-2</v>
      </c>
      <c r="O284">
        <v>2.3600006103515621</v>
      </c>
      <c r="P284">
        <v>6.4599990844726563</v>
      </c>
      <c r="Q284" t="s">
        <v>584</v>
      </c>
      <c r="R284">
        <v>2021</v>
      </c>
    </row>
    <row r="285" spans="1:18" hidden="1" x14ac:dyDescent="0.35">
      <c r="A285" t="s">
        <v>658</v>
      </c>
      <c r="B285" s="22">
        <v>44348</v>
      </c>
      <c r="C285">
        <v>109.75</v>
      </c>
      <c r="D285">
        <v>110.870002746582</v>
      </c>
      <c r="E285">
        <v>106.4599990844727</v>
      </c>
      <c r="F285">
        <v>110.0100021362305</v>
      </c>
      <c r="G285">
        <v>24345900</v>
      </c>
      <c r="H285">
        <v>105.1885681152344</v>
      </c>
      <c r="I285">
        <v>0.42499999999999999</v>
      </c>
      <c r="J285" t="s">
        <v>657</v>
      </c>
      <c r="K285" s="22">
        <v>45530</v>
      </c>
      <c r="M285">
        <v>0.7936248779296875</v>
      </c>
      <c r="N285">
        <v>7.6021416810285736E-3</v>
      </c>
      <c r="O285">
        <v>0.26000213623046881</v>
      </c>
      <c r="P285">
        <v>1.120002746582031</v>
      </c>
      <c r="Q285" t="s">
        <v>588</v>
      </c>
      <c r="R285">
        <v>2021</v>
      </c>
    </row>
    <row r="286" spans="1:18" hidden="1" x14ac:dyDescent="0.35">
      <c r="A286" t="s">
        <v>658</v>
      </c>
      <c r="B286" s="22">
        <v>44378</v>
      </c>
      <c r="C286">
        <v>110.73000335693359</v>
      </c>
      <c r="D286">
        <v>118.55999755859381</v>
      </c>
      <c r="E286">
        <v>110.0699996948242</v>
      </c>
      <c r="F286">
        <v>118.36000061035161</v>
      </c>
      <c r="G286">
        <v>22273100</v>
      </c>
      <c r="H286">
        <v>113.6128463745117</v>
      </c>
      <c r="I286">
        <v>0</v>
      </c>
      <c r="J286" t="s">
        <v>657</v>
      </c>
      <c r="K286" s="22">
        <v>45530</v>
      </c>
      <c r="M286">
        <v>8.4242782592773438</v>
      </c>
      <c r="N286">
        <v>7.5902175365662794E-2</v>
      </c>
      <c r="O286">
        <v>7.6299972534179688</v>
      </c>
      <c r="P286">
        <v>7.8299942016601563</v>
      </c>
      <c r="Q286" t="s">
        <v>589</v>
      </c>
      <c r="R286">
        <v>2021</v>
      </c>
    </row>
    <row r="287" spans="1:18" hidden="1" x14ac:dyDescent="0.35">
      <c r="A287" t="s">
        <v>658</v>
      </c>
      <c r="B287" s="22">
        <v>44409</v>
      </c>
      <c r="C287">
        <v>118.7600021362305</v>
      </c>
      <c r="D287">
        <v>124.9100036621094</v>
      </c>
      <c r="E287">
        <v>117.0500030517578</v>
      </c>
      <c r="F287">
        <v>124.129997253418</v>
      </c>
      <c r="G287">
        <v>20736300</v>
      </c>
      <c r="H287">
        <v>119.1514205932617</v>
      </c>
      <c r="I287">
        <v>0</v>
      </c>
      <c r="J287" t="s">
        <v>657</v>
      </c>
      <c r="K287" s="22">
        <v>45530</v>
      </c>
      <c r="M287">
        <v>5.53857421875</v>
      </c>
      <c r="N287">
        <v>4.8749548946536381E-2</v>
      </c>
      <c r="O287">
        <v>5.3699951171875</v>
      </c>
      <c r="P287">
        <v>6.1500015258789063</v>
      </c>
      <c r="Q287" t="s">
        <v>585</v>
      </c>
      <c r="R287">
        <v>2021</v>
      </c>
    </row>
    <row r="288" spans="1:18" hidden="1" x14ac:dyDescent="0.35">
      <c r="A288" t="s">
        <v>658</v>
      </c>
      <c r="B288" s="22">
        <v>44440</v>
      </c>
      <c r="C288">
        <v>123.51999664306641</v>
      </c>
      <c r="D288">
        <v>126.25</v>
      </c>
      <c r="E288">
        <v>120.05999755859381</v>
      </c>
      <c r="F288">
        <v>120.05999755859381</v>
      </c>
      <c r="G288">
        <v>23750500</v>
      </c>
      <c r="H288">
        <v>115.24465179443359</v>
      </c>
      <c r="I288">
        <v>0.46</v>
      </c>
      <c r="J288" t="s">
        <v>657</v>
      </c>
      <c r="K288" s="22">
        <v>45530</v>
      </c>
      <c r="M288">
        <v>-3.906768798828125</v>
      </c>
      <c r="N288">
        <v>-3.2788204180131397E-2</v>
      </c>
      <c r="O288">
        <v>-3.4599990844726558</v>
      </c>
      <c r="P288">
        <v>2.7300033569335942</v>
      </c>
      <c r="Q288" t="s">
        <v>583</v>
      </c>
      <c r="R288">
        <v>2021</v>
      </c>
    </row>
    <row r="289" spans="1:18" hidden="1" x14ac:dyDescent="0.35">
      <c r="A289" t="s">
        <v>658</v>
      </c>
      <c r="B289" s="22">
        <v>44470</v>
      </c>
      <c r="C289">
        <v>120.6999969482422</v>
      </c>
      <c r="D289">
        <v>145.97999572753909</v>
      </c>
      <c r="E289">
        <v>118.36000061035161</v>
      </c>
      <c r="F289">
        <v>134.6000061035156</v>
      </c>
      <c r="G289">
        <v>21809700</v>
      </c>
      <c r="H289">
        <v>129.68852233886719</v>
      </c>
      <c r="I289">
        <v>0</v>
      </c>
      <c r="J289" t="s">
        <v>657</v>
      </c>
      <c r="K289" s="22">
        <v>45530</v>
      </c>
      <c r="M289">
        <v>14.44387054443359</v>
      </c>
      <c r="N289">
        <v>0.1211061872446384</v>
      </c>
      <c r="O289">
        <v>13.900009155273439</v>
      </c>
      <c r="P289">
        <v>25.279998779296879</v>
      </c>
      <c r="Q289" t="s">
        <v>586</v>
      </c>
      <c r="R289">
        <v>2021</v>
      </c>
    </row>
    <row r="290" spans="1:18" hidden="1" x14ac:dyDescent="0.35">
      <c r="A290" t="s">
        <v>658</v>
      </c>
      <c r="B290" s="22">
        <v>44501</v>
      </c>
      <c r="C290">
        <v>135.17999267578119</v>
      </c>
      <c r="D290">
        <v>139</v>
      </c>
      <c r="E290">
        <v>131.3500061035156</v>
      </c>
      <c r="F290">
        <v>132.25999450683591</v>
      </c>
      <c r="G290">
        <v>19207100</v>
      </c>
      <c r="H290">
        <v>127.43389892578119</v>
      </c>
      <c r="I290">
        <v>0</v>
      </c>
      <c r="J290" t="s">
        <v>657</v>
      </c>
      <c r="K290" s="22">
        <v>45530</v>
      </c>
      <c r="M290">
        <v>-2.2546234130859379</v>
      </c>
      <c r="N290">
        <v>-1.7384929350449441E-2</v>
      </c>
      <c r="O290">
        <v>-2.9199981689453121</v>
      </c>
      <c r="P290">
        <v>3.82000732421875</v>
      </c>
      <c r="Q290" t="s">
        <v>587</v>
      </c>
      <c r="R290">
        <v>2021</v>
      </c>
    </row>
    <row r="291" spans="1:18" hidden="1" x14ac:dyDescent="0.35">
      <c r="A291" t="s">
        <v>658</v>
      </c>
      <c r="B291" s="22">
        <v>44531</v>
      </c>
      <c r="C291">
        <v>133.5</v>
      </c>
      <c r="D291">
        <v>140.0899963378906</v>
      </c>
      <c r="E291">
        <v>131.8699951171875</v>
      </c>
      <c r="F291">
        <v>139.44999694824219</v>
      </c>
      <c r="G291">
        <v>19022100</v>
      </c>
      <c r="H291">
        <v>134.36155700683591</v>
      </c>
      <c r="I291">
        <v>0.46</v>
      </c>
      <c r="J291" t="s">
        <v>657</v>
      </c>
      <c r="K291" s="22">
        <v>45530</v>
      </c>
      <c r="M291">
        <v>6.9276580810546884</v>
      </c>
      <c r="N291">
        <v>5.4362639800613621E-2</v>
      </c>
      <c r="O291">
        <v>5.9499969482421884</v>
      </c>
      <c r="P291">
        <v>6.589996337890625</v>
      </c>
      <c r="Q291" t="s">
        <v>583</v>
      </c>
      <c r="R291">
        <v>2021</v>
      </c>
    </row>
    <row r="292" spans="1:18" hidden="1" x14ac:dyDescent="0.35">
      <c r="A292" t="s">
        <v>658</v>
      </c>
      <c r="B292" s="22">
        <v>44562</v>
      </c>
      <c r="C292">
        <v>139.19000244140619</v>
      </c>
      <c r="D292">
        <v>139.46000671386719</v>
      </c>
      <c r="E292">
        <v>122.3300018310547</v>
      </c>
      <c r="F292">
        <v>127.6600036621094</v>
      </c>
      <c r="G292">
        <v>24899600</v>
      </c>
      <c r="H292">
        <v>123.4114151000977</v>
      </c>
      <c r="I292">
        <v>0</v>
      </c>
      <c r="J292" t="s">
        <v>657</v>
      </c>
      <c r="K292" s="22">
        <v>45530</v>
      </c>
      <c r="M292">
        <v>-10.950141906738279</v>
      </c>
      <c r="N292">
        <v>-8.4546386117948402E-2</v>
      </c>
      <c r="O292">
        <v>-11.52999877929688</v>
      </c>
      <c r="P292">
        <v>0.2700042724609375</v>
      </c>
      <c r="Q292" t="s">
        <v>584</v>
      </c>
      <c r="R292">
        <v>2022</v>
      </c>
    </row>
    <row r="293" spans="1:18" hidden="1" x14ac:dyDescent="0.35">
      <c r="A293" t="s">
        <v>658</v>
      </c>
      <c r="B293" s="22">
        <v>44593</v>
      </c>
      <c r="C293">
        <v>127.629997253418</v>
      </c>
      <c r="D293">
        <v>129.05999755859381</v>
      </c>
      <c r="E293">
        <v>113.5699996948242</v>
      </c>
      <c r="F293">
        <v>120.2799987792969</v>
      </c>
      <c r="G293">
        <v>33646200</v>
      </c>
      <c r="H293">
        <v>116.2770156860352</v>
      </c>
      <c r="I293">
        <v>0</v>
      </c>
      <c r="J293" t="s">
        <v>657</v>
      </c>
      <c r="K293" s="22">
        <v>45530</v>
      </c>
      <c r="M293">
        <v>-7.1343994140625</v>
      </c>
      <c r="N293">
        <v>-5.7809843890854862E-2</v>
      </c>
      <c r="O293">
        <v>-7.3499984741210938</v>
      </c>
      <c r="P293">
        <v>1.430000305175781</v>
      </c>
      <c r="Q293" t="s">
        <v>588</v>
      </c>
      <c r="R293">
        <v>2022</v>
      </c>
    </row>
    <row r="294" spans="1:18" hidden="1" x14ac:dyDescent="0.35">
      <c r="A294" t="s">
        <v>658</v>
      </c>
      <c r="B294" s="22">
        <v>44621</v>
      </c>
      <c r="C294">
        <v>120.3000030517578</v>
      </c>
      <c r="D294">
        <v>135.27000427246091</v>
      </c>
      <c r="E294">
        <v>120.0100021362305</v>
      </c>
      <c r="F294">
        <v>132.5</v>
      </c>
      <c r="G294">
        <v>28526200</v>
      </c>
      <c r="H294">
        <v>128.0903015136719</v>
      </c>
      <c r="I294">
        <v>0.46</v>
      </c>
      <c r="J294" t="s">
        <v>657</v>
      </c>
      <c r="K294" s="22">
        <v>45530</v>
      </c>
      <c r="M294">
        <v>11.813285827636721</v>
      </c>
      <c r="N294">
        <v>0.10159628653742959</v>
      </c>
      <c r="O294">
        <v>12.199996948242189</v>
      </c>
      <c r="P294">
        <v>14.97000122070312</v>
      </c>
      <c r="Q294" t="s">
        <v>588</v>
      </c>
      <c r="R294">
        <v>2022</v>
      </c>
    </row>
    <row r="295" spans="1:18" hidden="1" x14ac:dyDescent="0.35">
      <c r="A295" t="s">
        <v>658</v>
      </c>
      <c r="B295" s="22">
        <v>44652</v>
      </c>
      <c r="C295">
        <v>132.6300048828125</v>
      </c>
      <c r="D295">
        <v>138.3999938964844</v>
      </c>
      <c r="E295">
        <v>130.38999938964841</v>
      </c>
      <c r="F295">
        <v>134.27000427246091</v>
      </c>
      <c r="G295">
        <v>23149400</v>
      </c>
      <c r="H295">
        <v>130.24626159667969</v>
      </c>
      <c r="I295">
        <v>0</v>
      </c>
      <c r="J295" t="s">
        <v>657</v>
      </c>
      <c r="K295" s="22">
        <v>45530</v>
      </c>
      <c r="M295">
        <v>2.1559600830078121</v>
      </c>
      <c r="N295">
        <v>1.335852281102601E-2</v>
      </c>
      <c r="O295">
        <v>1.6399993896484379</v>
      </c>
      <c r="P295">
        <v>5.769989013671875</v>
      </c>
      <c r="Q295" t="s">
        <v>586</v>
      </c>
      <c r="R295">
        <v>2022</v>
      </c>
    </row>
    <row r="296" spans="1:18" hidden="1" x14ac:dyDescent="0.35">
      <c r="A296" t="s">
        <v>658</v>
      </c>
      <c r="B296" s="22">
        <v>44682</v>
      </c>
      <c r="C296">
        <v>134.03999328613281</v>
      </c>
      <c r="D296">
        <v>136.94000244140619</v>
      </c>
      <c r="E296">
        <v>125.4100036621094</v>
      </c>
      <c r="F296">
        <v>133.8399963378906</v>
      </c>
      <c r="G296">
        <v>32749100</v>
      </c>
      <c r="H296">
        <v>129.82911682128909</v>
      </c>
      <c r="I296">
        <v>0</v>
      </c>
      <c r="J296" t="s">
        <v>657</v>
      </c>
      <c r="K296" s="22">
        <v>45530</v>
      </c>
      <c r="M296">
        <v>-0.417144775390625</v>
      </c>
      <c r="N296">
        <v>-3.2025614127317859E-3</v>
      </c>
      <c r="O296">
        <v>-0.1999969482421875</v>
      </c>
      <c r="P296">
        <v>2.9000091552734379</v>
      </c>
      <c r="Q296" t="s">
        <v>585</v>
      </c>
      <c r="R296">
        <v>2022</v>
      </c>
    </row>
    <row r="297" spans="1:18" hidden="1" x14ac:dyDescent="0.35">
      <c r="A297" t="s">
        <v>658</v>
      </c>
      <c r="B297" s="22">
        <v>44713</v>
      </c>
      <c r="C297">
        <v>133.41999816894531</v>
      </c>
      <c r="D297">
        <v>135.6000061035156</v>
      </c>
      <c r="E297">
        <v>119.7200012207031</v>
      </c>
      <c r="F297">
        <v>130.8699951171875</v>
      </c>
      <c r="G297">
        <v>25308200</v>
      </c>
      <c r="H297">
        <v>126.94814300537109</v>
      </c>
      <c r="I297">
        <v>0.46</v>
      </c>
      <c r="J297" t="s">
        <v>657</v>
      </c>
      <c r="K297" s="22">
        <v>45530</v>
      </c>
      <c r="M297">
        <v>-2.8809738159179692</v>
      </c>
      <c r="N297">
        <v>-2.2190685161146421E-2</v>
      </c>
      <c r="O297">
        <v>-2.5500030517578121</v>
      </c>
      <c r="P297">
        <v>2.1800079345703121</v>
      </c>
      <c r="Q297" t="s">
        <v>583</v>
      </c>
      <c r="R297">
        <v>2022</v>
      </c>
    </row>
    <row r="298" spans="1:18" hidden="1" x14ac:dyDescent="0.35">
      <c r="A298" t="s">
        <v>658</v>
      </c>
      <c r="B298" s="22">
        <v>44743</v>
      </c>
      <c r="C298">
        <v>130.96000671386719</v>
      </c>
      <c r="D298">
        <v>140.27000427246091</v>
      </c>
      <c r="E298">
        <v>126.0400009155273</v>
      </c>
      <c r="F298">
        <v>138.6600036621094</v>
      </c>
      <c r="G298">
        <v>17594400</v>
      </c>
      <c r="H298">
        <v>134.98155212402341</v>
      </c>
      <c r="I298">
        <v>0</v>
      </c>
      <c r="J298" t="s">
        <v>657</v>
      </c>
      <c r="K298" s="22">
        <v>45530</v>
      </c>
      <c r="M298">
        <v>8.0334091186523438</v>
      </c>
      <c r="N298">
        <v>5.9524786701079302E-2</v>
      </c>
      <c r="O298">
        <v>7.6999969482421884</v>
      </c>
      <c r="P298">
        <v>9.30999755859375</v>
      </c>
      <c r="Q298" t="s">
        <v>586</v>
      </c>
      <c r="R298">
        <v>2022</v>
      </c>
    </row>
    <row r="299" spans="1:18" hidden="1" x14ac:dyDescent="0.35">
      <c r="A299" t="s">
        <v>658</v>
      </c>
      <c r="B299" s="22">
        <v>44774</v>
      </c>
      <c r="C299">
        <v>137.94000244140619</v>
      </c>
      <c r="D299">
        <v>148.25999450683591</v>
      </c>
      <c r="E299">
        <v>136.94999694824219</v>
      </c>
      <c r="F299">
        <v>142.7200012207031</v>
      </c>
      <c r="G299">
        <v>22141400</v>
      </c>
      <c r="H299">
        <v>138.933837890625</v>
      </c>
      <c r="I299">
        <v>0</v>
      </c>
      <c r="J299" t="s">
        <v>657</v>
      </c>
      <c r="K299" s="22">
        <v>45530</v>
      </c>
      <c r="M299">
        <v>3.9522857666015621</v>
      </c>
      <c r="N299">
        <v>2.9280235477905151E-2</v>
      </c>
      <c r="O299">
        <v>4.779998779296875</v>
      </c>
      <c r="P299">
        <v>10.319992065429689</v>
      </c>
      <c r="Q299" t="s">
        <v>587</v>
      </c>
      <c r="R299">
        <v>2022</v>
      </c>
    </row>
    <row r="300" spans="1:18" hidden="1" x14ac:dyDescent="0.35">
      <c r="A300" t="s">
        <v>658</v>
      </c>
      <c r="B300" s="22">
        <v>44805</v>
      </c>
      <c r="C300">
        <v>141.94999694824219</v>
      </c>
      <c r="D300">
        <v>149.16999816894531</v>
      </c>
      <c r="E300">
        <v>135.91999816894531</v>
      </c>
      <c r="F300">
        <v>136.03999328613281</v>
      </c>
      <c r="G300">
        <v>24598500</v>
      </c>
      <c r="H300">
        <v>132.4310302734375</v>
      </c>
      <c r="I300">
        <v>0.495</v>
      </c>
      <c r="J300" t="s">
        <v>657</v>
      </c>
      <c r="K300" s="22">
        <v>45530</v>
      </c>
      <c r="M300">
        <v>-6.5028076171875</v>
      </c>
      <c r="N300">
        <v>-4.6804987930460507E-2</v>
      </c>
      <c r="O300">
        <v>-5.910003662109375</v>
      </c>
      <c r="P300">
        <v>7.220001220703125</v>
      </c>
      <c r="Q300" t="s">
        <v>589</v>
      </c>
      <c r="R300">
        <v>2022</v>
      </c>
    </row>
    <row r="301" spans="1:18" hidden="1" x14ac:dyDescent="0.35">
      <c r="A301" t="s">
        <v>658</v>
      </c>
      <c r="B301" s="22">
        <v>44835</v>
      </c>
      <c r="C301">
        <v>137.1300048828125</v>
      </c>
      <c r="D301">
        <v>143.17999267578119</v>
      </c>
      <c r="E301">
        <v>125.11000061035161</v>
      </c>
      <c r="F301">
        <v>132.6199951171875</v>
      </c>
      <c r="G301">
        <v>27100900</v>
      </c>
      <c r="H301">
        <v>129.56840515136719</v>
      </c>
      <c r="I301">
        <v>0</v>
      </c>
      <c r="J301" t="s">
        <v>657</v>
      </c>
      <c r="K301" s="22">
        <v>45530</v>
      </c>
      <c r="M301">
        <v>-2.8626251220703121</v>
      </c>
      <c r="N301">
        <v>-2.5139652585486671E-2</v>
      </c>
      <c r="O301">
        <v>-4.510009765625</v>
      </c>
      <c r="P301">
        <v>6.04998779296875</v>
      </c>
      <c r="Q301" t="s">
        <v>584</v>
      </c>
      <c r="R301">
        <v>2022</v>
      </c>
    </row>
    <row r="302" spans="1:18" hidden="1" x14ac:dyDescent="0.35">
      <c r="A302" t="s">
        <v>658</v>
      </c>
      <c r="B302" s="22">
        <v>44866</v>
      </c>
      <c r="C302">
        <v>133.47999572753909</v>
      </c>
      <c r="D302">
        <v>139.28999328613281</v>
      </c>
      <c r="E302">
        <v>128.1499938964844</v>
      </c>
      <c r="F302">
        <v>139.28999328613281</v>
      </c>
      <c r="G302">
        <v>29674100</v>
      </c>
      <c r="H302">
        <v>136.08491516113281</v>
      </c>
      <c r="I302">
        <v>0</v>
      </c>
      <c r="J302" t="s">
        <v>657</v>
      </c>
      <c r="K302" s="22">
        <v>45530</v>
      </c>
      <c r="M302">
        <v>6.516510009765625</v>
      </c>
      <c r="N302">
        <v>5.0294061337066598E-2</v>
      </c>
      <c r="O302">
        <v>5.80999755859375</v>
      </c>
      <c r="P302">
        <v>5.80999755859375</v>
      </c>
      <c r="Q302" t="s">
        <v>588</v>
      </c>
      <c r="R302">
        <v>2022</v>
      </c>
    </row>
    <row r="303" spans="1:18" hidden="1" x14ac:dyDescent="0.35">
      <c r="A303" t="s">
        <v>658</v>
      </c>
      <c r="B303" s="22">
        <v>44896</v>
      </c>
      <c r="C303">
        <v>140.4100036621094</v>
      </c>
      <c r="D303">
        <v>140.97999572753909</v>
      </c>
      <c r="E303">
        <v>128</v>
      </c>
      <c r="F303">
        <v>128.99000549316409</v>
      </c>
      <c r="G303">
        <v>20420200</v>
      </c>
      <c r="H303">
        <v>126.0219345092773</v>
      </c>
      <c r="I303">
        <v>0.495</v>
      </c>
      <c r="J303" t="s">
        <v>657</v>
      </c>
      <c r="K303" s="22">
        <v>45530</v>
      </c>
      <c r="M303">
        <v>-10.062980651855471</v>
      </c>
      <c r="N303">
        <v>-7.394635860029275E-2</v>
      </c>
      <c r="O303">
        <v>-11.419998168945311</v>
      </c>
      <c r="P303">
        <v>0.5699920654296875</v>
      </c>
      <c r="Q303" t="s">
        <v>589</v>
      </c>
      <c r="R303">
        <v>2022</v>
      </c>
    </row>
    <row r="304" spans="1:18" hidden="1" x14ac:dyDescent="0.35">
      <c r="A304" t="s">
        <v>658</v>
      </c>
      <c r="B304" s="22">
        <v>44927</v>
      </c>
      <c r="C304">
        <v>129.67999267578119</v>
      </c>
      <c r="D304">
        <v>129.99000549316409</v>
      </c>
      <c r="E304">
        <v>120.5800018310547</v>
      </c>
      <c r="F304">
        <v>124.8199996948242</v>
      </c>
      <c r="G304">
        <v>32673900</v>
      </c>
      <c r="H304">
        <v>122.4113082885742</v>
      </c>
      <c r="I304">
        <v>0</v>
      </c>
      <c r="J304" t="s">
        <v>657</v>
      </c>
      <c r="K304" s="22">
        <v>45530</v>
      </c>
      <c r="M304">
        <v>-3.610626220703125</v>
      </c>
      <c r="N304">
        <v>-3.232813102377019E-2</v>
      </c>
      <c r="O304">
        <v>-4.8599929809570313</v>
      </c>
      <c r="P304">
        <v>0.3100128173828125</v>
      </c>
      <c r="Q304" t="s">
        <v>585</v>
      </c>
      <c r="R304">
        <v>2023</v>
      </c>
    </row>
    <row r="305" spans="1:18" hidden="1" x14ac:dyDescent="0.35">
      <c r="A305" t="s">
        <v>658</v>
      </c>
      <c r="B305" s="22">
        <v>44958</v>
      </c>
      <c r="C305">
        <v>123.44000244140619</v>
      </c>
      <c r="D305">
        <v>132.6000061035156</v>
      </c>
      <c r="E305">
        <v>121.1699981689453</v>
      </c>
      <c r="F305">
        <v>128.92999267578119</v>
      </c>
      <c r="G305">
        <v>31149900</v>
      </c>
      <c r="H305">
        <v>126.44199371337891</v>
      </c>
      <c r="I305">
        <v>0</v>
      </c>
      <c r="J305" t="s">
        <v>657</v>
      </c>
      <c r="K305" s="22">
        <v>45530</v>
      </c>
      <c r="M305">
        <v>4.0306854248046884</v>
      </c>
      <c r="N305">
        <v>3.292735932547397E-2</v>
      </c>
      <c r="O305">
        <v>5.489990234375</v>
      </c>
      <c r="P305">
        <v>9.160003662109375</v>
      </c>
      <c r="Q305" t="s">
        <v>583</v>
      </c>
      <c r="R305">
        <v>2023</v>
      </c>
    </row>
    <row r="306" spans="1:18" hidden="1" x14ac:dyDescent="0.35">
      <c r="A306" t="s">
        <v>658</v>
      </c>
      <c r="B306" s="22">
        <v>44986</v>
      </c>
      <c r="C306">
        <v>129.1499938964844</v>
      </c>
      <c r="D306">
        <v>135.8500061035156</v>
      </c>
      <c r="E306">
        <v>126.5800018310547</v>
      </c>
      <c r="F306">
        <v>135.2200012207031</v>
      </c>
      <c r="G306">
        <v>33687000</v>
      </c>
      <c r="H306">
        <v>132.6106262207031</v>
      </c>
      <c r="I306">
        <v>0.495</v>
      </c>
      <c r="J306" t="s">
        <v>657</v>
      </c>
      <c r="K306" s="22">
        <v>45530</v>
      </c>
      <c r="M306">
        <v>6.1686325073242188</v>
      </c>
      <c r="N306">
        <v>4.8786232081307057E-2</v>
      </c>
      <c r="O306">
        <v>6.07000732421875</v>
      </c>
      <c r="P306">
        <v>6.70001220703125</v>
      </c>
      <c r="Q306" t="s">
        <v>583</v>
      </c>
      <c r="R306">
        <v>2023</v>
      </c>
    </row>
    <row r="307" spans="1:18" hidden="1" x14ac:dyDescent="0.35">
      <c r="A307" t="s">
        <v>658</v>
      </c>
      <c r="B307" s="22">
        <v>45017</v>
      </c>
      <c r="C307">
        <v>135.1300048828125</v>
      </c>
      <c r="D307">
        <v>144.92999267578119</v>
      </c>
      <c r="E307">
        <v>133.80999755859381</v>
      </c>
      <c r="F307">
        <v>144.6199951171875</v>
      </c>
      <c r="G307">
        <v>20732100</v>
      </c>
      <c r="H307">
        <v>142.35174560546881</v>
      </c>
      <c r="I307">
        <v>0</v>
      </c>
      <c r="J307" t="s">
        <v>657</v>
      </c>
      <c r="K307" s="22">
        <v>45530</v>
      </c>
      <c r="M307">
        <v>9.741119384765625</v>
      </c>
      <c r="N307">
        <v>6.9516297970903862E-2</v>
      </c>
      <c r="O307">
        <v>9.489990234375</v>
      </c>
      <c r="P307">
        <v>9.79998779296875</v>
      </c>
      <c r="Q307" t="s">
        <v>584</v>
      </c>
      <c r="R307">
        <v>2023</v>
      </c>
    </row>
    <row r="308" spans="1:18" hidden="1" x14ac:dyDescent="0.35">
      <c r="A308" t="s">
        <v>658</v>
      </c>
      <c r="B308" s="22">
        <v>45047</v>
      </c>
      <c r="C308">
        <v>144.7200012207031</v>
      </c>
      <c r="D308">
        <v>149.30000305175781</v>
      </c>
      <c r="E308">
        <v>140.07000732421881</v>
      </c>
      <c r="F308">
        <v>141.6300048828125</v>
      </c>
      <c r="G308">
        <v>27077500</v>
      </c>
      <c r="H308">
        <v>139.40867614746091</v>
      </c>
      <c r="I308">
        <v>0</v>
      </c>
      <c r="J308" t="s">
        <v>657</v>
      </c>
      <c r="K308" s="22">
        <v>45530</v>
      </c>
      <c r="M308">
        <v>-2.9430694580078121</v>
      </c>
      <c r="N308">
        <v>-2.067480525049226E-2</v>
      </c>
      <c r="O308">
        <v>-3.089996337890625</v>
      </c>
      <c r="P308">
        <v>4.5800018310546884</v>
      </c>
      <c r="Q308" t="s">
        <v>587</v>
      </c>
      <c r="R308">
        <v>2023</v>
      </c>
    </row>
    <row r="309" spans="1:18" hidden="1" x14ac:dyDescent="0.35">
      <c r="A309" t="s">
        <v>658</v>
      </c>
      <c r="B309" s="22">
        <v>45078</v>
      </c>
      <c r="C309">
        <v>142.02000427246091</v>
      </c>
      <c r="D309">
        <v>153.38999938964841</v>
      </c>
      <c r="E309">
        <v>141.22999572753909</v>
      </c>
      <c r="F309">
        <v>153.16999816894531</v>
      </c>
      <c r="G309">
        <v>21741800</v>
      </c>
      <c r="H309">
        <v>150.76765441894531</v>
      </c>
      <c r="I309">
        <v>0.495</v>
      </c>
      <c r="J309" t="s">
        <v>657</v>
      </c>
      <c r="K309" s="22">
        <v>45530</v>
      </c>
      <c r="M309">
        <v>11.35897827148438</v>
      </c>
      <c r="N309">
        <v>8.147986223456849E-2</v>
      </c>
      <c r="O309">
        <v>11.14999389648438</v>
      </c>
      <c r="P309">
        <v>11.3699951171875</v>
      </c>
      <c r="Q309" t="s">
        <v>589</v>
      </c>
      <c r="R309">
        <v>2023</v>
      </c>
    </row>
    <row r="310" spans="1:18" hidden="1" x14ac:dyDescent="0.35">
      <c r="A310" t="s">
        <v>658</v>
      </c>
      <c r="B310" s="22">
        <v>45108</v>
      </c>
      <c r="C310">
        <v>152.16999816894531</v>
      </c>
      <c r="D310">
        <v>155.94000244140619</v>
      </c>
      <c r="E310">
        <v>148.05999755859381</v>
      </c>
      <c r="F310">
        <v>151.11000061035159</v>
      </c>
      <c r="G310">
        <v>20661300</v>
      </c>
      <c r="H310">
        <v>149.22773742675781</v>
      </c>
      <c r="I310">
        <v>0</v>
      </c>
      <c r="J310" t="s">
        <v>657</v>
      </c>
      <c r="K310" s="22">
        <v>45530</v>
      </c>
      <c r="M310">
        <v>-1.5399169921875</v>
      </c>
      <c r="N310">
        <v>-1.3449093054904829E-2</v>
      </c>
      <c r="O310">
        <v>-1.05999755859375</v>
      </c>
      <c r="P310">
        <v>3.7700042724609379</v>
      </c>
      <c r="Q310" t="s">
        <v>584</v>
      </c>
      <c r="R310">
        <v>2023</v>
      </c>
    </row>
    <row r="311" spans="1:18" hidden="1" x14ac:dyDescent="0.35">
      <c r="A311" t="s">
        <v>658</v>
      </c>
      <c r="B311" s="22">
        <v>45139</v>
      </c>
      <c r="C311">
        <v>153.44999694824219</v>
      </c>
      <c r="D311">
        <v>156.6499938964844</v>
      </c>
      <c r="E311">
        <v>144.1199951171875</v>
      </c>
      <c r="F311">
        <v>144.1300048828125</v>
      </c>
      <c r="G311">
        <v>24192500</v>
      </c>
      <c r="H311">
        <v>142.33467102050781</v>
      </c>
      <c r="I311">
        <v>0</v>
      </c>
      <c r="J311" t="s">
        <v>657</v>
      </c>
      <c r="K311" s="22">
        <v>45530</v>
      </c>
      <c r="M311">
        <v>-6.89306640625</v>
      </c>
      <c r="N311">
        <v>-4.6191487653669649E-2</v>
      </c>
      <c r="O311">
        <v>-9.3199920654296875</v>
      </c>
      <c r="P311">
        <v>3.1999969482421879</v>
      </c>
      <c r="Q311" t="s">
        <v>588</v>
      </c>
      <c r="R311">
        <v>2023</v>
      </c>
    </row>
    <row r="312" spans="1:18" hidden="1" x14ac:dyDescent="0.35">
      <c r="A312" t="s">
        <v>658</v>
      </c>
      <c r="B312" s="22">
        <v>45170</v>
      </c>
      <c r="C312">
        <v>144.42999267578119</v>
      </c>
      <c r="D312">
        <v>151.78999328613281</v>
      </c>
      <c r="E312">
        <v>142.25999450683591</v>
      </c>
      <c r="F312">
        <v>142.50999450683591</v>
      </c>
      <c r="G312">
        <v>19903800</v>
      </c>
      <c r="H312">
        <v>140.73486328125</v>
      </c>
      <c r="I312">
        <v>0.53500000000000003</v>
      </c>
      <c r="J312" t="s">
        <v>657</v>
      </c>
      <c r="K312" s="22">
        <v>45530</v>
      </c>
      <c r="M312">
        <v>-1.5998077392578121</v>
      </c>
      <c r="N312">
        <v>-1.123992452018396E-2</v>
      </c>
      <c r="O312">
        <v>-1.9199981689453121</v>
      </c>
      <c r="P312">
        <v>7.3600006103515616</v>
      </c>
      <c r="Q312" t="s">
        <v>586</v>
      </c>
      <c r="R312">
        <v>2023</v>
      </c>
    </row>
    <row r="313" spans="1:18" hidden="1" x14ac:dyDescent="0.35">
      <c r="A313" t="s">
        <v>658</v>
      </c>
      <c r="B313" s="22">
        <v>45200</v>
      </c>
      <c r="C313">
        <v>142.22999572753909</v>
      </c>
      <c r="D313">
        <v>149.72999572753909</v>
      </c>
      <c r="E313">
        <v>140.22999572753909</v>
      </c>
      <c r="F313">
        <v>148.49000549316409</v>
      </c>
      <c r="G313">
        <v>27541200</v>
      </c>
      <c r="H313">
        <v>147.1835021972656</v>
      </c>
      <c r="I313">
        <v>0</v>
      </c>
      <c r="J313" t="s">
        <v>657</v>
      </c>
      <c r="K313" s="22">
        <v>45530</v>
      </c>
      <c r="M313">
        <v>6.448638916015625</v>
      </c>
      <c r="N313">
        <v>4.1962046290313193E-2</v>
      </c>
      <c r="O313">
        <v>6.260009765625</v>
      </c>
      <c r="P313">
        <v>7.5</v>
      </c>
      <c r="Q313" t="s">
        <v>585</v>
      </c>
      <c r="R313">
        <v>2023</v>
      </c>
    </row>
    <row r="314" spans="1:18" hidden="1" x14ac:dyDescent="0.35">
      <c r="A314" t="s">
        <v>658</v>
      </c>
      <c r="B314" s="22">
        <v>45231</v>
      </c>
      <c r="C314">
        <v>148.7200012207031</v>
      </c>
      <c r="D314">
        <v>161.8500061035156</v>
      </c>
      <c r="E314">
        <v>147.36000061035159</v>
      </c>
      <c r="F314">
        <v>161.8399963378906</v>
      </c>
      <c r="G314">
        <v>24460600</v>
      </c>
      <c r="H314">
        <v>160.4160461425781</v>
      </c>
      <c r="I314">
        <v>0</v>
      </c>
      <c r="J314" t="s">
        <v>657</v>
      </c>
      <c r="K314" s="22">
        <v>45530</v>
      </c>
      <c r="M314">
        <v>13.2325439453125</v>
      </c>
      <c r="N314">
        <v>8.9904979128990314E-2</v>
      </c>
      <c r="O314">
        <v>13.1199951171875</v>
      </c>
      <c r="P314">
        <v>13.1300048828125</v>
      </c>
      <c r="Q314" t="s">
        <v>583</v>
      </c>
      <c r="R314">
        <v>2023</v>
      </c>
    </row>
    <row r="315" spans="1:18" hidden="1" x14ac:dyDescent="0.35">
      <c r="A315" t="s">
        <v>658</v>
      </c>
      <c r="B315" s="22">
        <v>45261</v>
      </c>
      <c r="C315">
        <v>161.96000671386719</v>
      </c>
      <c r="D315">
        <v>167.16999816894531</v>
      </c>
      <c r="E315">
        <v>160.38999938964841</v>
      </c>
      <c r="F315">
        <v>164.9100036621094</v>
      </c>
      <c r="G315">
        <v>23612900</v>
      </c>
      <c r="H315">
        <v>163.45903015136719</v>
      </c>
      <c r="I315">
        <v>0.53500000000000003</v>
      </c>
      <c r="J315" t="s">
        <v>657</v>
      </c>
      <c r="K315" s="22">
        <v>45530</v>
      </c>
      <c r="M315">
        <v>3.0429840087890621</v>
      </c>
      <c r="N315">
        <v>1.8969398132024029E-2</v>
      </c>
      <c r="O315">
        <v>2.9499969482421879</v>
      </c>
      <c r="P315">
        <v>5.209991455078125</v>
      </c>
      <c r="Q315" t="s">
        <v>586</v>
      </c>
      <c r="R315">
        <v>2023</v>
      </c>
    </row>
    <row r="316" spans="1:18" hidden="1" x14ac:dyDescent="0.35">
      <c r="A316" t="s">
        <v>660</v>
      </c>
      <c r="B316" s="22">
        <v>44197</v>
      </c>
      <c r="C316">
        <v>31.319999694824219</v>
      </c>
      <c r="D316">
        <v>42.220001220703118</v>
      </c>
      <c r="E316">
        <v>29.829999923706051</v>
      </c>
      <c r="F316">
        <v>35.450000762939453</v>
      </c>
      <c r="G316">
        <v>107735600</v>
      </c>
      <c r="H316">
        <v>32.032989501953118</v>
      </c>
      <c r="I316">
        <v>0</v>
      </c>
      <c r="J316" t="s">
        <v>659</v>
      </c>
      <c r="K316" s="22">
        <v>45530</v>
      </c>
      <c r="O316">
        <v>4.1300010681152344</v>
      </c>
      <c r="P316">
        <v>10.90000152587891</v>
      </c>
      <c r="Q316" t="s">
        <v>586</v>
      </c>
      <c r="R316">
        <v>2021</v>
      </c>
    </row>
    <row r="317" spans="1:18" hidden="1" x14ac:dyDescent="0.35">
      <c r="A317" t="s">
        <v>660</v>
      </c>
      <c r="B317" s="22">
        <v>44228</v>
      </c>
      <c r="C317">
        <v>35.580001831054688</v>
      </c>
      <c r="D317">
        <v>38.939998626708977</v>
      </c>
      <c r="E317">
        <v>33.080001831054688</v>
      </c>
      <c r="F317">
        <v>36.450000762939453</v>
      </c>
      <c r="G317">
        <v>68570000</v>
      </c>
      <c r="H317">
        <v>32.936603546142578</v>
      </c>
      <c r="I317">
        <v>0</v>
      </c>
      <c r="J317" t="s">
        <v>659</v>
      </c>
      <c r="K317" s="22">
        <v>45530</v>
      </c>
      <c r="M317">
        <v>0.90361404418945313</v>
      </c>
      <c r="N317">
        <v>2.8208744103764168E-2</v>
      </c>
      <c r="O317">
        <v>0.86999893188476563</v>
      </c>
      <c r="P317">
        <v>3.3599967956542969</v>
      </c>
      <c r="Q317" t="s">
        <v>587</v>
      </c>
      <c r="R317">
        <v>2021</v>
      </c>
    </row>
    <row r="318" spans="1:18" hidden="1" x14ac:dyDescent="0.35">
      <c r="A318" t="s">
        <v>660</v>
      </c>
      <c r="B318" s="22">
        <v>44256</v>
      </c>
      <c r="C318">
        <v>37.029998779296882</v>
      </c>
      <c r="D318">
        <v>46.450000762939453</v>
      </c>
      <c r="E318">
        <v>33.360000610351563</v>
      </c>
      <c r="F318">
        <v>37.869998931884773</v>
      </c>
      <c r="G318">
        <v>95063600</v>
      </c>
      <c r="H318">
        <v>34.2197265625</v>
      </c>
      <c r="I318">
        <v>0</v>
      </c>
      <c r="J318" t="s">
        <v>659</v>
      </c>
      <c r="K318" s="22">
        <v>45530</v>
      </c>
      <c r="M318">
        <v>1.2831230163574221</v>
      </c>
      <c r="N318">
        <v>3.8957424944393797E-2</v>
      </c>
      <c r="O318">
        <v>0.84000015258789063</v>
      </c>
      <c r="P318">
        <v>9.4200019836425781</v>
      </c>
      <c r="Q318" t="s">
        <v>587</v>
      </c>
      <c r="R318">
        <v>2021</v>
      </c>
    </row>
    <row r="319" spans="1:18" hidden="1" x14ac:dyDescent="0.35">
      <c r="A319" t="s">
        <v>660</v>
      </c>
      <c r="B319" s="22">
        <v>44287</v>
      </c>
      <c r="C319">
        <v>38.009998321533203</v>
      </c>
      <c r="D319">
        <v>38.790000915527337</v>
      </c>
      <c r="E319">
        <v>33.860000610351563</v>
      </c>
      <c r="F319">
        <v>36.680000305175781</v>
      </c>
      <c r="G319">
        <v>58683600</v>
      </c>
      <c r="H319">
        <v>33.144432067871087</v>
      </c>
      <c r="I319">
        <v>0</v>
      </c>
      <c r="J319" t="s">
        <v>659</v>
      </c>
      <c r="K319" s="22">
        <v>45530</v>
      </c>
      <c r="M319">
        <v>-1.075294494628906</v>
      </c>
      <c r="N319">
        <v>-3.142325482631747E-2</v>
      </c>
      <c r="O319">
        <v>-1.3299980163574221</v>
      </c>
      <c r="P319">
        <v>0.78000259399414063</v>
      </c>
      <c r="Q319" t="s">
        <v>589</v>
      </c>
      <c r="R319">
        <v>2021</v>
      </c>
    </row>
    <row r="320" spans="1:18" hidden="1" x14ac:dyDescent="0.35">
      <c r="A320" t="s">
        <v>660</v>
      </c>
      <c r="B320" s="22">
        <v>44317</v>
      </c>
      <c r="C320">
        <v>36.880001068115227</v>
      </c>
      <c r="D320">
        <v>43.799999237060547</v>
      </c>
      <c r="E320">
        <v>32.549999237060547</v>
      </c>
      <c r="F320">
        <v>33.540000915527337</v>
      </c>
      <c r="G320">
        <v>86897000</v>
      </c>
      <c r="H320">
        <v>30.307094573974609</v>
      </c>
      <c r="I320">
        <v>0</v>
      </c>
      <c r="J320" t="s">
        <v>659</v>
      </c>
      <c r="K320" s="22">
        <v>45530</v>
      </c>
      <c r="M320">
        <v>-2.8373374938964839</v>
      </c>
      <c r="N320">
        <v>-8.5605217108064346E-2</v>
      </c>
      <c r="O320">
        <v>-3.3400001525878911</v>
      </c>
      <c r="P320">
        <v>6.9199981689453116</v>
      </c>
      <c r="Q320" t="s">
        <v>584</v>
      </c>
      <c r="R320">
        <v>2021</v>
      </c>
    </row>
    <row r="321" spans="1:18" hidden="1" x14ac:dyDescent="0.35">
      <c r="A321" t="s">
        <v>660</v>
      </c>
      <c r="B321" s="22">
        <v>44348</v>
      </c>
      <c r="C321">
        <v>34.029998779296882</v>
      </c>
      <c r="D321">
        <v>37.049999237060547</v>
      </c>
      <c r="E321">
        <v>31.829999923706051</v>
      </c>
      <c r="F321">
        <v>36.569999694824219</v>
      </c>
      <c r="G321">
        <v>68082100</v>
      </c>
      <c r="H321">
        <v>33.045032501220703</v>
      </c>
      <c r="I321">
        <v>0</v>
      </c>
      <c r="J321" t="s">
        <v>659</v>
      </c>
      <c r="K321" s="22">
        <v>45530</v>
      </c>
      <c r="M321">
        <v>2.7379379272460942</v>
      </c>
      <c r="N321">
        <v>9.0339853804062953E-2</v>
      </c>
      <c r="O321">
        <v>2.5400009155273442</v>
      </c>
      <c r="P321">
        <v>3.0200004577636719</v>
      </c>
      <c r="Q321" t="s">
        <v>588</v>
      </c>
      <c r="R321">
        <v>2021</v>
      </c>
    </row>
    <row r="322" spans="1:18" hidden="1" x14ac:dyDescent="0.35">
      <c r="A322" t="s">
        <v>660</v>
      </c>
      <c r="B322" s="22">
        <v>44378</v>
      </c>
      <c r="C322">
        <v>36.869998931884773</v>
      </c>
      <c r="D322">
        <v>37.409999847412109</v>
      </c>
      <c r="E322">
        <v>30.75</v>
      </c>
      <c r="F322">
        <v>33.099998474121087</v>
      </c>
      <c r="G322">
        <v>56286700</v>
      </c>
      <c r="H322">
        <v>29.909503936767582</v>
      </c>
      <c r="I322">
        <v>0</v>
      </c>
      <c r="J322" t="s">
        <v>659</v>
      </c>
      <c r="K322" s="22">
        <v>45530</v>
      </c>
      <c r="M322">
        <v>-3.135528564453125</v>
      </c>
      <c r="N322">
        <v>-9.4886553176379618E-2</v>
      </c>
      <c r="O322">
        <v>-3.7700004577636719</v>
      </c>
      <c r="P322">
        <v>0.54000091552734375</v>
      </c>
      <c r="Q322" t="s">
        <v>589</v>
      </c>
      <c r="R322">
        <v>2021</v>
      </c>
    </row>
    <row r="323" spans="1:18" hidden="1" x14ac:dyDescent="0.35">
      <c r="A323" t="s">
        <v>660</v>
      </c>
      <c r="B323" s="22">
        <v>44409</v>
      </c>
      <c r="C323">
        <v>33.319999694824219</v>
      </c>
      <c r="D323">
        <v>38.479999542236328</v>
      </c>
      <c r="E323">
        <v>27.89999961853027</v>
      </c>
      <c r="F323">
        <v>28.610000610351559</v>
      </c>
      <c r="G323">
        <v>142558400</v>
      </c>
      <c r="H323">
        <v>25.852298736572269</v>
      </c>
      <c r="I323">
        <v>0</v>
      </c>
      <c r="J323" t="s">
        <v>659</v>
      </c>
      <c r="K323" s="22">
        <v>45530</v>
      </c>
      <c r="M323">
        <v>-4.0572052001953116</v>
      </c>
      <c r="N323">
        <v>-0.13564948854242359</v>
      </c>
      <c r="O323">
        <v>-4.7099990844726563</v>
      </c>
      <c r="P323">
        <v>5.1599998474121094</v>
      </c>
      <c r="Q323" t="s">
        <v>585</v>
      </c>
      <c r="R323">
        <v>2021</v>
      </c>
    </row>
    <row r="324" spans="1:18" hidden="1" x14ac:dyDescent="0.35">
      <c r="A324" t="s">
        <v>660</v>
      </c>
      <c r="B324" s="22">
        <v>44440</v>
      </c>
      <c r="C324">
        <v>28.780000686645511</v>
      </c>
      <c r="D324">
        <v>30.520000457763668</v>
      </c>
      <c r="E324">
        <v>26.069999694824219</v>
      </c>
      <c r="F324">
        <v>26.45000076293945</v>
      </c>
      <c r="G324">
        <v>95748100</v>
      </c>
      <c r="H324">
        <v>23.900495529174801</v>
      </c>
      <c r="I324">
        <v>0</v>
      </c>
      <c r="J324" t="s">
        <v>659</v>
      </c>
      <c r="K324" s="22">
        <v>45530</v>
      </c>
      <c r="M324">
        <v>-1.9518032073974609</v>
      </c>
      <c r="N324">
        <v>-7.549807065123193E-2</v>
      </c>
      <c r="O324">
        <v>-2.3299999237060551</v>
      </c>
      <c r="P324">
        <v>1.7399997711181641</v>
      </c>
      <c r="Q324" t="s">
        <v>583</v>
      </c>
      <c r="R324">
        <v>2021</v>
      </c>
    </row>
    <row r="325" spans="1:18" hidden="1" x14ac:dyDescent="0.35">
      <c r="A325" t="s">
        <v>660</v>
      </c>
      <c r="B325" s="22">
        <v>44470</v>
      </c>
      <c r="C325">
        <v>26.579999923706051</v>
      </c>
      <c r="D325">
        <v>29.879999160766602</v>
      </c>
      <c r="E325">
        <v>25.920000076293949</v>
      </c>
      <c r="F325">
        <v>28.729999542236332</v>
      </c>
      <c r="G325">
        <v>74620500</v>
      </c>
      <c r="H325">
        <v>25.960727691650391</v>
      </c>
      <c r="I325">
        <v>0</v>
      </c>
      <c r="J325" t="s">
        <v>659</v>
      </c>
      <c r="K325" s="22">
        <v>45530</v>
      </c>
      <c r="M325">
        <v>2.0602321624755859</v>
      </c>
      <c r="N325">
        <v>8.6200329434073408E-2</v>
      </c>
      <c r="O325">
        <v>2.149999618530273</v>
      </c>
      <c r="P325">
        <v>3.2999992370605469</v>
      </c>
      <c r="Q325" t="s">
        <v>586</v>
      </c>
      <c r="R325">
        <v>2021</v>
      </c>
    </row>
    <row r="326" spans="1:18" hidden="1" x14ac:dyDescent="0.35">
      <c r="A326" t="s">
        <v>660</v>
      </c>
      <c r="B326" s="22">
        <v>44501</v>
      </c>
      <c r="C326">
        <v>29.010000228881839</v>
      </c>
      <c r="D326">
        <v>36.430000305175781</v>
      </c>
      <c r="E326">
        <v>20.729999542236332</v>
      </c>
      <c r="F326">
        <v>21.170000076293949</v>
      </c>
      <c r="G326">
        <v>161058100</v>
      </c>
      <c r="H326">
        <v>19.129434585571289</v>
      </c>
      <c r="I326">
        <v>0</v>
      </c>
      <c r="J326" t="s">
        <v>659</v>
      </c>
      <c r="K326" s="22">
        <v>45530</v>
      </c>
      <c r="M326">
        <v>-6.8312931060791016</v>
      </c>
      <c r="N326">
        <v>-0.26313956096060259</v>
      </c>
      <c r="O326">
        <v>-7.8400001525878906</v>
      </c>
      <c r="P326">
        <v>7.4200000762939453</v>
      </c>
      <c r="Q326" t="s">
        <v>587</v>
      </c>
      <c r="R326">
        <v>2021</v>
      </c>
    </row>
    <row r="327" spans="1:18" hidden="1" x14ac:dyDescent="0.35">
      <c r="A327" t="s">
        <v>660</v>
      </c>
      <c r="B327" s="22">
        <v>44531</v>
      </c>
      <c r="C327">
        <v>21.520000457763668</v>
      </c>
      <c r="D327">
        <v>23.510000228881839</v>
      </c>
      <c r="E327">
        <v>18.95000076293945</v>
      </c>
      <c r="F327">
        <v>22.620000839233398</v>
      </c>
      <c r="G327">
        <v>123747300</v>
      </c>
      <c r="H327">
        <v>20.439668655395511</v>
      </c>
      <c r="I327">
        <v>0</v>
      </c>
      <c r="J327" t="s">
        <v>659</v>
      </c>
      <c r="K327" s="22">
        <v>45530</v>
      </c>
      <c r="M327">
        <v>1.310234069824219</v>
      </c>
      <c r="N327">
        <v>6.8493186476799028E-2</v>
      </c>
      <c r="O327">
        <v>1.100000381469727</v>
      </c>
      <c r="P327">
        <v>1.9899997711181641</v>
      </c>
      <c r="Q327" t="s">
        <v>583</v>
      </c>
      <c r="R327">
        <v>2021</v>
      </c>
    </row>
    <row r="328" spans="1:18" hidden="1" x14ac:dyDescent="0.35">
      <c r="A328" t="s">
        <v>660</v>
      </c>
      <c r="B328" s="22">
        <v>44562</v>
      </c>
      <c r="C328">
        <v>23.190000534057621</v>
      </c>
      <c r="D328">
        <v>24.54000091552734</v>
      </c>
      <c r="E328">
        <v>19.639999389648441</v>
      </c>
      <c r="F328">
        <v>22.5</v>
      </c>
      <c r="G328">
        <v>109893000</v>
      </c>
      <c r="H328">
        <v>20.331233978271481</v>
      </c>
      <c r="I328">
        <v>0</v>
      </c>
      <c r="J328" t="s">
        <v>659</v>
      </c>
      <c r="K328" s="22">
        <v>45530</v>
      </c>
      <c r="M328">
        <v>-0.1084346771240234</v>
      </c>
      <c r="N328">
        <v>-5.3050766923607986E-3</v>
      </c>
      <c r="O328">
        <v>-0.69000053405761719</v>
      </c>
      <c r="P328">
        <v>1.350000381469727</v>
      </c>
      <c r="Q328" t="s">
        <v>584</v>
      </c>
      <c r="R328">
        <v>2022</v>
      </c>
    </row>
    <row r="329" spans="1:18" hidden="1" x14ac:dyDescent="0.35">
      <c r="A329" t="s">
        <v>660</v>
      </c>
      <c r="B329" s="22">
        <v>44593</v>
      </c>
      <c r="C329">
        <v>22.54000091552734</v>
      </c>
      <c r="D329">
        <v>24.190000534057621</v>
      </c>
      <c r="E329">
        <v>18.64999961853027</v>
      </c>
      <c r="F329">
        <v>20.739999771118161</v>
      </c>
      <c r="G329">
        <v>94753300</v>
      </c>
      <c r="H329">
        <v>18.74088096618652</v>
      </c>
      <c r="I329">
        <v>0</v>
      </c>
      <c r="J329" t="s">
        <v>659</v>
      </c>
      <c r="K329" s="22">
        <v>45530</v>
      </c>
      <c r="M329">
        <v>-1.5903530120849609</v>
      </c>
      <c r="N329">
        <v>-7.8222232394748237E-2</v>
      </c>
      <c r="O329">
        <v>-1.8000011444091799</v>
      </c>
      <c r="P329">
        <v>1.649999618530273</v>
      </c>
      <c r="Q329" t="s">
        <v>588</v>
      </c>
      <c r="R329">
        <v>2022</v>
      </c>
    </row>
    <row r="330" spans="1:18" hidden="1" x14ac:dyDescent="0.35">
      <c r="A330" t="s">
        <v>660</v>
      </c>
      <c r="B330" s="22">
        <v>44621</v>
      </c>
      <c r="C330">
        <v>20.659999847412109</v>
      </c>
      <c r="D330">
        <v>28.780000686645511</v>
      </c>
      <c r="E330">
        <v>19.360000610351559</v>
      </c>
      <c r="F330">
        <v>27.110000610351559</v>
      </c>
      <c r="G330">
        <v>215088500</v>
      </c>
      <c r="H330">
        <v>24.496877670288089</v>
      </c>
      <c r="I330">
        <v>0.19</v>
      </c>
      <c r="J330" t="s">
        <v>659</v>
      </c>
      <c r="K330" s="22">
        <v>45530</v>
      </c>
      <c r="M330">
        <v>5.7559967041015616</v>
      </c>
      <c r="N330">
        <v>0.30713601299572102</v>
      </c>
      <c r="O330">
        <v>6.4500007629394531</v>
      </c>
      <c r="P330">
        <v>8.1200008392333984</v>
      </c>
      <c r="Q330" t="s">
        <v>588</v>
      </c>
      <c r="R330">
        <v>2022</v>
      </c>
    </row>
    <row r="331" spans="1:18" hidden="1" x14ac:dyDescent="0.35">
      <c r="A331" t="s">
        <v>660</v>
      </c>
      <c r="B331" s="22">
        <v>44652</v>
      </c>
      <c r="C331">
        <v>27.360000610351559</v>
      </c>
      <c r="D331">
        <v>29.590000152587891</v>
      </c>
      <c r="E331">
        <v>25.120000839233398</v>
      </c>
      <c r="F331">
        <v>25.70000076293945</v>
      </c>
      <c r="G331">
        <v>80737100</v>
      </c>
      <c r="H331">
        <v>23.387369155883789</v>
      </c>
      <c r="I331">
        <v>0</v>
      </c>
      <c r="J331" t="s">
        <v>659</v>
      </c>
      <c r="K331" s="22">
        <v>45530</v>
      </c>
      <c r="M331">
        <v>-1.1095085144042971</v>
      </c>
      <c r="N331">
        <v>-5.2010321492715887E-2</v>
      </c>
      <c r="O331">
        <v>-1.6599998474121089</v>
      </c>
      <c r="P331">
        <v>2.2299995422363281</v>
      </c>
      <c r="Q331" t="s">
        <v>586</v>
      </c>
      <c r="R331">
        <v>2022</v>
      </c>
    </row>
    <row r="332" spans="1:18" hidden="1" x14ac:dyDescent="0.35">
      <c r="A332" t="s">
        <v>660</v>
      </c>
      <c r="B332" s="22">
        <v>44682</v>
      </c>
      <c r="C332">
        <v>25.909999847412109</v>
      </c>
      <c r="D332">
        <v>27.670000076293949</v>
      </c>
      <c r="E332">
        <v>19.729999542236332</v>
      </c>
      <c r="F332">
        <v>26.430000305175781</v>
      </c>
      <c r="G332">
        <v>166326600</v>
      </c>
      <c r="H332">
        <v>24.051679611206051</v>
      </c>
      <c r="I332">
        <v>0.19</v>
      </c>
      <c r="J332" t="s">
        <v>659</v>
      </c>
      <c r="K332" s="22">
        <v>45530</v>
      </c>
      <c r="M332">
        <v>0.66431045532226563</v>
      </c>
      <c r="N332">
        <v>2.840465060565367E-2</v>
      </c>
      <c r="O332">
        <v>0.52000045776367188</v>
      </c>
      <c r="P332">
        <v>1.7600002288818359</v>
      </c>
      <c r="Q332" t="s">
        <v>585</v>
      </c>
      <c r="R332">
        <v>2022</v>
      </c>
    </row>
    <row r="333" spans="1:18" hidden="1" x14ac:dyDescent="0.35">
      <c r="A333" t="s">
        <v>660</v>
      </c>
      <c r="B333" s="22">
        <v>44713</v>
      </c>
      <c r="C333">
        <v>26.639999389648441</v>
      </c>
      <c r="D333">
        <v>27.719999313354489</v>
      </c>
      <c r="E333">
        <v>20.95000076293945</v>
      </c>
      <c r="F333">
        <v>21.129999160766602</v>
      </c>
      <c r="G333">
        <v>91585300</v>
      </c>
      <c r="H333">
        <v>19.376934051513668</v>
      </c>
      <c r="I333">
        <v>0</v>
      </c>
      <c r="J333" t="s">
        <v>659</v>
      </c>
      <c r="K333" s="22">
        <v>45530</v>
      </c>
      <c r="M333">
        <v>-4.6747455596923828</v>
      </c>
      <c r="N333">
        <v>-0.20052974208143631</v>
      </c>
      <c r="O333">
        <v>-5.5100002288818359</v>
      </c>
      <c r="P333">
        <v>1.0799999237060549</v>
      </c>
      <c r="Q333" t="s">
        <v>583</v>
      </c>
      <c r="R333">
        <v>2022</v>
      </c>
    </row>
    <row r="334" spans="1:18" hidden="1" x14ac:dyDescent="0.35">
      <c r="A334" t="s">
        <v>660</v>
      </c>
      <c r="B334" s="22">
        <v>44743</v>
      </c>
      <c r="C334">
        <v>20.29999923706055</v>
      </c>
      <c r="D334">
        <v>25.309999465942379</v>
      </c>
      <c r="E334">
        <v>19.479999542236332</v>
      </c>
      <c r="F334">
        <v>23.510000228881839</v>
      </c>
      <c r="G334">
        <v>93230000</v>
      </c>
      <c r="H334">
        <v>21.559476852416989</v>
      </c>
      <c r="I334">
        <v>0</v>
      </c>
      <c r="J334" t="s">
        <v>659</v>
      </c>
      <c r="K334" s="22">
        <v>45530</v>
      </c>
      <c r="M334">
        <v>2.1825428009033199</v>
      </c>
      <c r="N334">
        <v>0.11263611749376359</v>
      </c>
      <c r="O334">
        <v>3.2100009918212891</v>
      </c>
      <c r="P334">
        <v>5.0100002288818359</v>
      </c>
      <c r="Q334" t="s">
        <v>586</v>
      </c>
      <c r="R334">
        <v>2022</v>
      </c>
    </row>
    <row r="335" spans="1:18" hidden="1" x14ac:dyDescent="0.35">
      <c r="A335" t="s">
        <v>660</v>
      </c>
      <c r="B335" s="22">
        <v>44774</v>
      </c>
      <c r="C335">
        <v>23.329999923706051</v>
      </c>
      <c r="D335">
        <v>27.430000305175781</v>
      </c>
      <c r="E335">
        <v>17.04000091552734</v>
      </c>
      <c r="F335">
        <v>17.110000610351559</v>
      </c>
      <c r="G335">
        <v>194706800</v>
      </c>
      <c r="H335">
        <v>15.690457344055179</v>
      </c>
      <c r="I335">
        <v>0.19</v>
      </c>
      <c r="J335" t="s">
        <v>659</v>
      </c>
      <c r="K335" s="22">
        <v>45530</v>
      </c>
      <c r="M335">
        <v>-5.8690195083618164</v>
      </c>
      <c r="N335">
        <v>-0.27222456640676368</v>
      </c>
      <c r="O335">
        <v>-6.2199993133544922</v>
      </c>
      <c r="P335">
        <v>4.1000003814697266</v>
      </c>
      <c r="Q335" t="s">
        <v>587</v>
      </c>
      <c r="R335">
        <v>2022</v>
      </c>
    </row>
    <row r="336" spans="1:18" hidden="1" x14ac:dyDescent="0.35">
      <c r="A336" t="s">
        <v>660</v>
      </c>
      <c r="B336" s="22">
        <v>44805</v>
      </c>
      <c r="C336">
        <v>16.879999160766602</v>
      </c>
      <c r="D336">
        <v>20.280000686645511</v>
      </c>
      <c r="E336">
        <v>16.139999389648441</v>
      </c>
      <c r="F336">
        <v>16.729999542236332</v>
      </c>
      <c r="G336">
        <v>160412300</v>
      </c>
      <c r="H336">
        <v>15.50528717041016</v>
      </c>
      <c r="I336">
        <v>0</v>
      </c>
      <c r="J336" t="s">
        <v>659</v>
      </c>
      <c r="K336" s="22">
        <v>45530</v>
      </c>
      <c r="M336">
        <v>-0.1851701736450195</v>
      </c>
      <c r="N336">
        <v>-2.2209295999985779E-2</v>
      </c>
      <c r="O336">
        <v>-0.14999961853027341</v>
      </c>
      <c r="P336">
        <v>3.4000015258789058</v>
      </c>
      <c r="Q336" t="s">
        <v>589</v>
      </c>
      <c r="R336">
        <v>2022</v>
      </c>
    </row>
    <row r="337" spans="1:18" hidden="1" x14ac:dyDescent="0.35">
      <c r="A337" t="s">
        <v>660</v>
      </c>
      <c r="B337" s="22">
        <v>44835</v>
      </c>
      <c r="C337">
        <v>16.989999771118161</v>
      </c>
      <c r="D337">
        <v>21.45000076293945</v>
      </c>
      <c r="E337">
        <v>16.729999542236332</v>
      </c>
      <c r="F337">
        <v>20.340000152587891</v>
      </c>
      <c r="G337">
        <v>95943000</v>
      </c>
      <c r="H337">
        <v>18.851018905639648</v>
      </c>
      <c r="I337">
        <v>0</v>
      </c>
      <c r="J337" t="s">
        <v>659</v>
      </c>
      <c r="K337" s="22">
        <v>45530</v>
      </c>
      <c r="M337">
        <v>3.3457317352294922</v>
      </c>
      <c r="N337">
        <v>0.21578007825031939</v>
      </c>
      <c r="O337">
        <v>3.350000381469727</v>
      </c>
      <c r="P337">
        <v>4.4600009918212891</v>
      </c>
      <c r="Q337" t="s">
        <v>584</v>
      </c>
      <c r="R337">
        <v>2022</v>
      </c>
    </row>
    <row r="338" spans="1:18" hidden="1" x14ac:dyDescent="0.35">
      <c r="A338" t="s">
        <v>660</v>
      </c>
      <c r="B338" s="22">
        <v>44866</v>
      </c>
      <c r="C338">
        <v>20.809999465942379</v>
      </c>
      <c r="D338">
        <v>22.870000839233398</v>
      </c>
      <c r="E338">
        <v>18.39999961853027</v>
      </c>
      <c r="F338">
        <v>20.969999313354489</v>
      </c>
      <c r="G338">
        <v>119276000</v>
      </c>
      <c r="H338">
        <v>19.434902191162109</v>
      </c>
      <c r="I338">
        <v>0.19</v>
      </c>
      <c r="J338" t="s">
        <v>659</v>
      </c>
      <c r="K338" s="22">
        <v>45530</v>
      </c>
      <c r="M338">
        <v>0.58388328552246094</v>
      </c>
      <c r="N338">
        <v>3.097340983482955E-2</v>
      </c>
      <c r="O338">
        <v>0.1599998474121094</v>
      </c>
      <c r="P338">
        <v>2.0600013732910161</v>
      </c>
      <c r="Q338" t="s">
        <v>588</v>
      </c>
      <c r="R338">
        <v>2022</v>
      </c>
    </row>
    <row r="339" spans="1:18" hidden="1" x14ac:dyDescent="0.35">
      <c r="A339" t="s">
        <v>660</v>
      </c>
      <c r="B339" s="22">
        <v>44896</v>
      </c>
      <c r="C339">
        <v>20.95000076293945</v>
      </c>
      <c r="D339">
        <v>20.989999771118161</v>
      </c>
      <c r="E339">
        <v>15.52999973297119</v>
      </c>
      <c r="F339">
        <v>16.139999389648441</v>
      </c>
      <c r="G339">
        <v>110418700</v>
      </c>
      <c r="H339">
        <v>15.08801937103271</v>
      </c>
      <c r="I339">
        <v>0</v>
      </c>
      <c r="J339" t="s">
        <v>659</v>
      </c>
      <c r="K339" s="22">
        <v>45530</v>
      </c>
      <c r="M339">
        <v>-4.3468828201293954</v>
      </c>
      <c r="N339">
        <v>-0.23032904539153351</v>
      </c>
      <c r="O339">
        <v>-4.8100013732910156</v>
      </c>
      <c r="P339">
        <v>3.9999008178710938E-2</v>
      </c>
      <c r="Q339" t="s">
        <v>589</v>
      </c>
      <c r="R339">
        <v>2022</v>
      </c>
    </row>
    <row r="340" spans="1:18" hidden="1" x14ac:dyDescent="0.35">
      <c r="A340" t="s">
        <v>660</v>
      </c>
      <c r="B340" s="22">
        <v>44927</v>
      </c>
      <c r="C340">
        <v>16.280000686645511</v>
      </c>
      <c r="D340">
        <v>19.569999694824219</v>
      </c>
      <c r="E340">
        <v>15.739999771118161</v>
      </c>
      <c r="F340">
        <v>19.54000091552734</v>
      </c>
      <c r="G340">
        <v>109448700</v>
      </c>
      <c r="H340">
        <v>18.266412734985352</v>
      </c>
      <c r="I340">
        <v>0</v>
      </c>
      <c r="J340" t="s">
        <v>659</v>
      </c>
      <c r="K340" s="22">
        <v>45530</v>
      </c>
      <c r="M340">
        <v>3.1783933639526372</v>
      </c>
      <c r="N340">
        <v>0.21065685591410471</v>
      </c>
      <c r="O340">
        <v>3.2600002288818359</v>
      </c>
      <c r="P340">
        <v>3.2899990081787109</v>
      </c>
      <c r="Q340" t="s">
        <v>585</v>
      </c>
      <c r="R340">
        <v>2023</v>
      </c>
    </row>
    <row r="341" spans="1:18" hidden="1" x14ac:dyDescent="0.35">
      <c r="A341" t="s">
        <v>660</v>
      </c>
      <c r="B341" s="22">
        <v>44958</v>
      </c>
      <c r="C341">
        <v>19.319999694824219</v>
      </c>
      <c r="D341">
        <v>27.14999961853027</v>
      </c>
      <c r="E341">
        <v>18.239999771118161</v>
      </c>
      <c r="F341">
        <v>19.479999542236332</v>
      </c>
      <c r="G341">
        <v>144763400</v>
      </c>
      <c r="H341">
        <v>18.210323333740231</v>
      </c>
      <c r="I341">
        <v>0</v>
      </c>
      <c r="J341" t="s">
        <v>659</v>
      </c>
      <c r="K341" s="22">
        <v>45530</v>
      </c>
      <c r="M341">
        <v>-5.6089401245117188E-2</v>
      </c>
      <c r="N341">
        <v>-3.0706944974263628E-3</v>
      </c>
      <c r="O341">
        <v>0.1599998474121094</v>
      </c>
      <c r="P341">
        <v>7.8299999237060547</v>
      </c>
      <c r="Q341" t="s">
        <v>583</v>
      </c>
      <c r="R341">
        <v>2023</v>
      </c>
    </row>
    <row r="342" spans="1:18" hidden="1" x14ac:dyDescent="0.35">
      <c r="A342" t="s">
        <v>660</v>
      </c>
      <c r="B342" s="22">
        <v>44986</v>
      </c>
      <c r="C342">
        <v>19.180000305175781</v>
      </c>
      <c r="D342">
        <v>20.229999542236332</v>
      </c>
      <c r="E342">
        <v>14.909999847412109</v>
      </c>
      <c r="F342">
        <v>16.270000457763668</v>
      </c>
      <c r="G342">
        <v>130202000</v>
      </c>
      <c r="H342">
        <v>15.20954608917236</v>
      </c>
      <c r="I342">
        <v>0.19</v>
      </c>
      <c r="J342" t="s">
        <v>659</v>
      </c>
      <c r="K342" s="22">
        <v>45530</v>
      </c>
      <c r="M342">
        <v>-3.0007772445678711</v>
      </c>
      <c r="N342">
        <v>-0.16478435112448389</v>
      </c>
      <c r="O342">
        <v>-2.9099998474121089</v>
      </c>
      <c r="P342">
        <v>1.0499992370605471</v>
      </c>
      <c r="Q342" t="s">
        <v>583</v>
      </c>
      <c r="R342">
        <v>2023</v>
      </c>
    </row>
    <row r="343" spans="1:18" hidden="1" x14ac:dyDescent="0.35">
      <c r="A343" t="s">
        <v>660</v>
      </c>
      <c r="B343" s="22">
        <v>45017</v>
      </c>
      <c r="C343">
        <v>16.45999908447266</v>
      </c>
      <c r="D343">
        <v>17.64999961853027</v>
      </c>
      <c r="E343">
        <v>15.159999847412109</v>
      </c>
      <c r="F343">
        <v>15.460000038146971</v>
      </c>
      <c r="G343">
        <v>89783300</v>
      </c>
      <c r="H343">
        <v>14.604470252990721</v>
      </c>
      <c r="I343">
        <v>0</v>
      </c>
      <c r="J343" t="s">
        <v>659</v>
      </c>
      <c r="K343" s="22">
        <v>45530</v>
      </c>
      <c r="M343">
        <v>-0.60507583618164063</v>
      </c>
      <c r="N343">
        <v>-4.9784904537613972E-2</v>
      </c>
      <c r="O343">
        <v>-0.99999904632568359</v>
      </c>
      <c r="P343">
        <v>1.190000534057617</v>
      </c>
      <c r="Q343" t="s">
        <v>584</v>
      </c>
      <c r="R343">
        <v>2023</v>
      </c>
    </row>
    <row r="344" spans="1:18" hidden="1" x14ac:dyDescent="0.35">
      <c r="A344" t="s">
        <v>660</v>
      </c>
      <c r="B344" s="22">
        <v>45047</v>
      </c>
      <c r="C344">
        <v>15.35999965667725</v>
      </c>
      <c r="D344">
        <v>16.780000686645511</v>
      </c>
      <c r="E344">
        <v>14.02999973297119</v>
      </c>
      <c r="F344">
        <v>15.30000019073486</v>
      </c>
      <c r="G344">
        <v>98484300</v>
      </c>
      <c r="H344">
        <v>14.453324317932131</v>
      </c>
      <c r="I344">
        <v>0.19</v>
      </c>
      <c r="J344" t="s">
        <v>659</v>
      </c>
      <c r="K344" s="22">
        <v>45530</v>
      </c>
      <c r="M344">
        <v>-0.15114593505859381</v>
      </c>
      <c r="N344">
        <v>-1.034927859102952E-2</v>
      </c>
      <c r="O344">
        <v>-5.9999465942382813E-2</v>
      </c>
      <c r="P344">
        <v>1.4200010299682619</v>
      </c>
      <c r="Q344" t="s">
        <v>587</v>
      </c>
      <c r="R344">
        <v>2023</v>
      </c>
    </row>
    <row r="345" spans="1:18" hidden="1" x14ac:dyDescent="0.35">
      <c r="A345" t="s">
        <v>660</v>
      </c>
      <c r="B345" s="22">
        <v>45078</v>
      </c>
      <c r="C345">
        <v>16.54000091552734</v>
      </c>
      <c r="D345">
        <v>20.70000076293945</v>
      </c>
      <c r="E345">
        <v>15.090000152587891</v>
      </c>
      <c r="F345">
        <v>20.469999313354489</v>
      </c>
      <c r="G345">
        <v>119084900</v>
      </c>
      <c r="H345">
        <v>19.578781127929691</v>
      </c>
      <c r="I345">
        <v>0</v>
      </c>
      <c r="J345" t="s">
        <v>659</v>
      </c>
      <c r="K345" s="22">
        <v>45530</v>
      </c>
      <c r="M345">
        <v>5.1254568099975586</v>
      </c>
      <c r="N345">
        <v>0.33790843517442548</v>
      </c>
      <c r="O345">
        <v>3.929998397827148</v>
      </c>
      <c r="P345">
        <v>4.1599998474121094</v>
      </c>
      <c r="Q345" t="s">
        <v>589</v>
      </c>
      <c r="R345">
        <v>2023</v>
      </c>
    </row>
    <row r="346" spans="1:18" hidden="1" x14ac:dyDescent="0.35">
      <c r="A346" t="s">
        <v>660</v>
      </c>
      <c r="B346" s="22">
        <v>45108</v>
      </c>
      <c r="C346">
        <v>20.579999923706051</v>
      </c>
      <c r="D346">
        <v>23.530000686645511</v>
      </c>
      <c r="E346">
        <v>18.95000076293945</v>
      </c>
      <c r="F346">
        <v>23.110000610351559</v>
      </c>
      <c r="G346">
        <v>73315900</v>
      </c>
      <c r="H346">
        <v>22.10384559631348</v>
      </c>
      <c r="I346">
        <v>0</v>
      </c>
      <c r="J346" t="s">
        <v>659</v>
      </c>
      <c r="K346" s="22">
        <v>45530</v>
      </c>
      <c r="M346">
        <v>2.5250644683837891</v>
      </c>
      <c r="N346">
        <v>0.12896929094055951</v>
      </c>
      <c r="O346">
        <v>2.5300006866455078</v>
      </c>
      <c r="P346">
        <v>2.9500007629394531</v>
      </c>
      <c r="Q346" t="s">
        <v>584</v>
      </c>
      <c r="R346">
        <v>2023</v>
      </c>
    </row>
    <row r="347" spans="1:18" hidden="1" x14ac:dyDescent="0.35">
      <c r="A347" t="s">
        <v>660</v>
      </c>
      <c r="B347" s="22">
        <v>45139</v>
      </c>
      <c r="C347">
        <v>22.920000076293949</v>
      </c>
      <c r="D347">
        <v>23.39999961853027</v>
      </c>
      <c r="E347">
        <v>14.72999954223633</v>
      </c>
      <c r="F347">
        <v>16.219999313354489</v>
      </c>
      <c r="G347">
        <v>131428100</v>
      </c>
      <c r="H347">
        <v>15.51381683349609</v>
      </c>
      <c r="I347">
        <v>0.19</v>
      </c>
      <c r="J347" t="s">
        <v>659</v>
      </c>
      <c r="K347" s="22">
        <v>45530</v>
      </c>
      <c r="M347">
        <v>-6.5900287628173828</v>
      </c>
      <c r="N347">
        <v>-0.29813938187049899</v>
      </c>
      <c r="O347">
        <v>-6.7000007629394531</v>
      </c>
      <c r="P347">
        <v>0.47999954223632813</v>
      </c>
      <c r="Q347" t="s">
        <v>588</v>
      </c>
      <c r="R347">
        <v>2023</v>
      </c>
    </row>
    <row r="348" spans="1:18" hidden="1" x14ac:dyDescent="0.35">
      <c r="A348" t="s">
        <v>660</v>
      </c>
      <c r="B348" s="22">
        <v>45170</v>
      </c>
      <c r="C348">
        <v>16.319999694824219</v>
      </c>
      <c r="D348">
        <v>16.530000686645511</v>
      </c>
      <c r="E348">
        <v>13.86999988555908</v>
      </c>
      <c r="F348">
        <v>14.939999580383301</v>
      </c>
      <c r="G348">
        <v>91956900</v>
      </c>
      <c r="H348">
        <v>14.46665000915527</v>
      </c>
      <c r="I348">
        <v>0</v>
      </c>
      <c r="J348" t="s">
        <v>659</v>
      </c>
      <c r="K348" s="22">
        <v>45530</v>
      </c>
      <c r="M348">
        <v>-1.0471668243408201</v>
      </c>
      <c r="N348">
        <v>-7.8914906729824708E-2</v>
      </c>
      <c r="O348">
        <v>-1.380000114440918</v>
      </c>
      <c r="P348">
        <v>0.21000099182128909</v>
      </c>
      <c r="Q348" t="s">
        <v>586</v>
      </c>
      <c r="R348">
        <v>2023</v>
      </c>
    </row>
    <row r="349" spans="1:18" hidden="1" x14ac:dyDescent="0.35">
      <c r="A349" t="s">
        <v>660</v>
      </c>
      <c r="B349" s="22">
        <v>45200</v>
      </c>
      <c r="C349">
        <v>14.939999580383301</v>
      </c>
      <c r="D349">
        <v>15.180000305175779</v>
      </c>
      <c r="E349">
        <v>13.239999771118161</v>
      </c>
      <c r="F349">
        <v>13.97999954223633</v>
      </c>
      <c r="G349">
        <v>90085000</v>
      </c>
      <c r="H349">
        <v>13.537065505981451</v>
      </c>
      <c r="I349">
        <v>0</v>
      </c>
      <c r="J349" t="s">
        <v>659</v>
      </c>
      <c r="K349" s="22">
        <v>45530</v>
      </c>
      <c r="M349">
        <v>-0.92958450317382813</v>
      </c>
      <c r="N349">
        <v>-6.4257032470568687E-2</v>
      </c>
      <c r="O349">
        <v>-0.96000003814697266</v>
      </c>
      <c r="P349">
        <v>0.2400007247924805</v>
      </c>
      <c r="Q349" t="s">
        <v>585</v>
      </c>
      <c r="R349">
        <v>2023</v>
      </c>
    </row>
    <row r="350" spans="1:18" hidden="1" x14ac:dyDescent="0.35">
      <c r="A350" t="s">
        <v>660</v>
      </c>
      <c r="B350" s="22">
        <v>45231</v>
      </c>
      <c r="C350">
        <v>13.97999954223633</v>
      </c>
      <c r="D350">
        <v>15.960000038146971</v>
      </c>
      <c r="E350">
        <v>12.88000011444092</v>
      </c>
      <c r="F350">
        <v>15.61999988555908</v>
      </c>
      <c r="G350">
        <v>142522000</v>
      </c>
      <c r="H350">
        <v>15.125105857849119</v>
      </c>
      <c r="I350">
        <v>0.19</v>
      </c>
      <c r="J350" t="s">
        <v>659</v>
      </c>
      <c r="K350" s="22">
        <v>45530</v>
      </c>
      <c r="M350">
        <v>1.588040351867676</v>
      </c>
      <c r="N350">
        <v>0.1173104718900735</v>
      </c>
      <c r="O350">
        <v>1.6400003433227539</v>
      </c>
      <c r="P350">
        <v>1.980000495910645</v>
      </c>
      <c r="Q350" t="s">
        <v>583</v>
      </c>
      <c r="R350">
        <v>2023</v>
      </c>
    </row>
    <row r="351" spans="1:18" hidden="1" x14ac:dyDescent="0.35">
      <c r="A351" t="s">
        <v>660</v>
      </c>
      <c r="B351" s="22">
        <v>45261</v>
      </c>
      <c r="C351">
        <v>15.64999961853027</v>
      </c>
      <c r="D351">
        <v>18.979999542236332</v>
      </c>
      <c r="E351">
        <v>15.079999923706049</v>
      </c>
      <c r="F351">
        <v>18.45000076293945</v>
      </c>
      <c r="G351">
        <v>117254700</v>
      </c>
      <c r="H351">
        <v>18.093870162963871</v>
      </c>
      <c r="I351">
        <v>0</v>
      </c>
      <c r="J351" t="s">
        <v>659</v>
      </c>
      <c r="K351" s="22">
        <v>45530</v>
      </c>
      <c r="M351">
        <v>2.9687643051147461</v>
      </c>
      <c r="N351">
        <v>0.18117803445035549</v>
      </c>
      <c r="O351">
        <v>2.8000011444091801</v>
      </c>
      <c r="P351">
        <v>3.3299999237060551</v>
      </c>
      <c r="Q351" t="s">
        <v>586</v>
      </c>
      <c r="R351">
        <v>2023</v>
      </c>
    </row>
    <row r="352" spans="1:18" hidden="1" x14ac:dyDescent="0.35">
      <c r="A352" t="s">
        <v>662</v>
      </c>
      <c r="B352" s="22">
        <v>43466</v>
      </c>
      <c r="C352">
        <v>51.340000152587891</v>
      </c>
      <c r="D352">
        <v>52.840000152587891</v>
      </c>
      <c r="E352">
        <v>44.299999237060547</v>
      </c>
      <c r="F352">
        <v>49.369998931884773</v>
      </c>
      <c r="G352">
        <v>451456600</v>
      </c>
      <c r="H352">
        <v>40.453647613525391</v>
      </c>
      <c r="I352">
        <v>0.41</v>
      </c>
      <c r="J352" t="s">
        <v>661</v>
      </c>
      <c r="K352" s="22">
        <v>45530</v>
      </c>
      <c r="O352">
        <v>-1.970001220703125</v>
      </c>
      <c r="P352">
        <v>1.5</v>
      </c>
      <c r="Q352" t="s">
        <v>588</v>
      </c>
      <c r="R352">
        <v>2019</v>
      </c>
    </row>
    <row r="353" spans="1:18" hidden="1" x14ac:dyDescent="0.35">
      <c r="A353" t="s">
        <v>662</v>
      </c>
      <c r="B353" s="22">
        <v>43497</v>
      </c>
      <c r="C353">
        <v>49.009998321533203</v>
      </c>
      <c r="D353">
        <v>52.799999237060547</v>
      </c>
      <c r="E353">
        <v>48.580001831054688</v>
      </c>
      <c r="F353">
        <v>51.659999847412109</v>
      </c>
      <c r="G353">
        <v>362153800</v>
      </c>
      <c r="H353">
        <v>42.663707733154297</v>
      </c>
      <c r="I353">
        <v>0</v>
      </c>
      <c r="J353" t="s">
        <v>661</v>
      </c>
      <c r="K353" s="22">
        <v>45530</v>
      </c>
      <c r="M353">
        <v>2.2100601196289058</v>
      </c>
      <c r="N353">
        <v>4.6384463542055832E-2</v>
      </c>
      <c r="O353">
        <v>2.6500015258789058</v>
      </c>
      <c r="P353">
        <v>3.7900009155273442</v>
      </c>
      <c r="Q353" t="s">
        <v>586</v>
      </c>
      <c r="R353">
        <v>2019</v>
      </c>
    </row>
    <row r="354" spans="1:18" hidden="1" x14ac:dyDescent="0.35">
      <c r="A354" t="s">
        <v>662</v>
      </c>
      <c r="B354" s="22">
        <v>43525</v>
      </c>
      <c r="C354">
        <v>51.669998168945313</v>
      </c>
      <c r="D354">
        <v>54.380001068115227</v>
      </c>
      <c r="E354">
        <v>46.520000457763672</v>
      </c>
      <c r="F354">
        <v>47.709999084472663</v>
      </c>
      <c r="G354">
        <v>422102700</v>
      </c>
      <c r="H354">
        <v>39.401576995849609</v>
      </c>
      <c r="I354">
        <v>0</v>
      </c>
      <c r="J354" t="s">
        <v>661</v>
      </c>
      <c r="K354" s="22">
        <v>45530</v>
      </c>
      <c r="M354">
        <v>-3.2621307373046879</v>
      </c>
      <c r="N354">
        <v>-7.6461493894822929E-2</v>
      </c>
      <c r="O354">
        <v>-3.9599990844726558</v>
      </c>
      <c r="P354">
        <v>2.7100028991699219</v>
      </c>
      <c r="Q354" t="s">
        <v>586</v>
      </c>
      <c r="R354">
        <v>2019</v>
      </c>
    </row>
    <row r="355" spans="1:18" hidden="1" x14ac:dyDescent="0.35">
      <c r="A355" t="s">
        <v>662</v>
      </c>
      <c r="B355" s="22">
        <v>43556</v>
      </c>
      <c r="C355">
        <v>48.049999237060547</v>
      </c>
      <c r="D355">
        <v>48.099998474121087</v>
      </c>
      <c r="E355">
        <v>44.540000915527337</v>
      </c>
      <c r="F355">
        <v>46.430000305175781</v>
      </c>
      <c r="G355">
        <v>373748400</v>
      </c>
      <c r="H355">
        <v>38.344478607177727</v>
      </c>
      <c r="I355">
        <v>0.41</v>
      </c>
      <c r="J355" t="s">
        <v>661</v>
      </c>
      <c r="K355" s="22">
        <v>45530</v>
      </c>
      <c r="M355">
        <v>-1.057098388671875</v>
      </c>
      <c r="N355">
        <v>-2.6828732002920019E-2</v>
      </c>
      <c r="O355">
        <v>-1.6199989318847661</v>
      </c>
      <c r="P355">
        <v>4.9999237060546882E-2</v>
      </c>
      <c r="Q355" t="s">
        <v>587</v>
      </c>
      <c r="R355">
        <v>2019</v>
      </c>
    </row>
    <row r="356" spans="1:18" hidden="1" x14ac:dyDescent="0.35">
      <c r="A356" t="s">
        <v>662</v>
      </c>
      <c r="B356" s="22">
        <v>43586</v>
      </c>
      <c r="C356">
        <v>46.319999694824219</v>
      </c>
      <c r="D356">
        <v>49.810001373291023</v>
      </c>
      <c r="E356">
        <v>44.860000610351563</v>
      </c>
      <c r="F356">
        <v>45.369998931884773</v>
      </c>
      <c r="G356">
        <v>292589300</v>
      </c>
      <c r="H356">
        <v>37.799655914306641</v>
      </c>
      <c r="I356">
        <v>0</v>
      </c>
      <c r="J356" t="s">
        <v>661</v>
      </c>
      <c r="K356" s="22">
        <v>45530</v>
      </c>
      <c r="M356">
        <v>-0.54482269287109375</v>
      </c>
      <c r="N356">
        <v>-2.2830096194784041E-2</v>
      </c>
      <c r="O356">
        <v>-0.95000076293945313</v>
      </c>
      <c r="P356">
        <v>3.4900016784667969</v>
      </c>
      <c r="Q356" t="s">
        <v>583</v>
      </c>
      <c r="R356">
        <v>2019</v>
      </c>
    </row>
    <row r="357" spans="1:18" hidden="1" x14ac:dyDescent="0.35">
      <c r="A357" t="s">
        <v>662</v>
      </c>
      <c r="B357" s="22">
        <v>43617</v>
      </c>
      <c r="C357">
        <v>45.259998321533203</v>
      </c>
      <c r="D357">
        <v>49.549999237060547</v>
      </c>
      <c r="E357">
        <v>44.540000915527337</v>
      </c>
      <c r="F357">
        <v>45.349998474121087</v>
      </c>
      <c r="G357">
        <v>268589200</v>
      </c>
      <c r="H357">
        <v>37.782993316650391</v>
      </c>
      <c r="I357">
        <v>0</v>
      </c>
      <c r="J357" t="s">
        <v>661</v>
      </c>
      <c r="K357" s="22">
        <v>45530</v>
      </c>
      <c r="M357">
        <v>-1.666259765625E-2</v>
      </c>
      <c r="N357">
        <v>-4.4083002500616702E-4</v>
      </c>
      <c r="O357">
        <v>9.0000152587890625E-2</v>
      </c>
      <c r="P357">
        <v>4.2900009155273438</v>
      </c>
      <c r="Q357" t="s">
        <v>584</v>
      </c>
      <c r="R357">
        <v>2019</v>
      </c>
    </row>
    <row r="358" spans="1:18" hidden="1" x14ac:dyDescent="0.35">
      <c r="A358" t="s">
        <v>662</v>
      </c>
      <c r="B358" s="22">
        <v>43647</v>
      </c>
      <c r="C358">
        <v>45.709999084472663</v>
      </c>
      <c r="D358">
        <v>46.680000305175781</v>
      </c>
      <c r="E358">
        <v>42.479999542236328</v>
      </c>
      <c r="F358">
        <v>44.409999847412109</v>
      </c>
      <c r="G358">
        <v>304730200</v>
      </c>
      <c r="H358">
        <v>36.999835968017578</v>
      </c>
      <c r="I358">
        <v>0.41</v>
      </c>
      <c r="J358" t="s">
        <v>661</v>
      </c>
      <c r="K358" s="22">
        <v>45530</v>
      </c>
      <c r="M358">
        <v>-0.7831573486328125</v>
      </c>
      <c r="N358">
        <v>-2.0727644064759802E-2</v>
      </c>
      <c r="O358">
        <v>-1.2999992370605471</v>
      </c>
      <c r="P358">
        <v>0.970001220703125</v>
      </c>
      <c r="Q358" t="s">
        <v>587</v>
      </c>
      <c r="R358">
        <v>2019</v>
      </c>
    </row>
    <row r="359" spans="1:18" hidden="1" x14ac:dyDescent="0.35">
      <c r="A359" t="s">
        <v>662</v>
      </c>
      <c r="B359" s="22">
        <v>43678</v>
      </c>
      <c r="C359">
        <v>44.549999237060547</v>
      </c>
      <c r="D359">
        <v>49.139999389648438</v>
      </c>
      <c r="E359">
        <v>44.409999847412109</v>
      </c>
      <c r="F359">
        <v>48.069999694824219</v>
      </c>
      <c r="G359">
        <v>265574500</v>
      </c>
      <c r="H359">
        <v>40.404026031494141</v>
      </c>
      <c r="I359">
        <v>0</v>
      </c>
      <c r="J359" t="s">
        <v>661</v>
      </c>
      <c r="K359" s="22">
        <v>45530</v>
      </c>
      <c r="M359">
        <v>3.4041900634765621</v>
      </c>
      <c r="N359">
        <v>8.2413867597105783E-2</v>
      </c>
      <c r="O359">
        <v>3.5200004577636719</v>
      </c>
      <c r="P359">
        <v>4.5900001525878906</v>
      </c>
      <c r="Q359" t="s">
        <v>589</v>
      </c>
      <c r="R359">
        <v>2019</v>
      </c>
    </row>
    <row r="360" spans="1:18" hidden="1" x14ac:dyDescent="0.35">
      <c r="A360" t="s">
        <v>662</v>
      </c>
      <c r="B360" s="22">
        <v>43709</v>
      </c>
      <c r="C360">
        <v>47.889999389648438</v>
      </c>
      <c r="D360">
        <v>51.430000305175781</v>
      </c>
      <c r="E360">
        <v>47.259998321533203</v>
      </c>
      <c r="F360">
        <v>50.709999084472663</v>
      </c>
      <c r="G360">
        <v>180778000</v>
      </c>
      <c r="H360">
        <v>42.623001098632813</v>
      </c>
      <c r="I360">
        <v>0</v>
      </c>
      <c r="J360" t="s">
        <v>661</v>
      </c>
      <c r="K360" s="22">
        <v>45530</v>
      </c>
      <c r="M360">
        <v>2.2189750671386719</v>
      </c>
      <c r="N360">
        <v>5.4919896118341249E-2</v>
      </c>
      <c r="O360">
        <v>2.8199996948242192</v>
      </c>
      <c r="P360">
        <v>3.5400009155273442</v>
      </c>
      <c r="Q360" t="s">
        <v>585</v>
      </c>
      <c r="R360">
        <v>2019</v>
      </c>
    </row>
    <row r="361" spans="1:18" hidden="1" x14ac:dyDescent="0.35">
      <c r="A361" t="s">
        <v>662</v>
      </c>
      <c r="B361" s="22">
        <v>43739</v>
      </c>
      <c r="C361">
        <v>51.090000152587891</v>
      </c>
      <c r="D361">
        <v>58.220001220703118</v>
      </c>
      <c r="E361">
        <v>48.549999237060547</v>
      </c>
      <c r="F361">
        <v>57.369998931884773</v>
      </c>
      <c r="G361">
        <v>276264200</v>
      </c>
      <c r="H361">
        <v>48.220897674560547</v>
      </c>
      <c r="I361">
        <v>0.41</v>
      </c>
      <c r="J361" t="s">
        <v>661</v>
      </c>
      <c r="K361" s="22">
        <v>45530</v>
      </c>
      <c r="M361">
        <v>5.5978965759277344</v>
      </c>
      <c r="N361">
        <v>0.13133504176006561</v>
      </c>
      <c r="O361">
        <v>6.279998779296875</v>
      </c>
      <c r="P361">
        <v>7.1300010681152344</v>
      </c>
      <c r="Q361" t="s">
        <v>588</v>
      </c>
      <c r="R361">
        <v>2019</v>
      </c>
    </row>
    <row r="362" spans="1:18" hidden="1" x14ac:dyDescent="0.35">
      <c r="A362" t="s">
        <v>662</v>
      </c>
      <c r="B362" s="22">
        <v>43770</v>
      </c>
      <c r="C362">
        <v>57.990001678466797</v>
      </c>
      <c r="D362">
        <v>59.180000305175781</v>
      </c>
      <c r="E362">
        <v>55.299999237060547</v>
      </c>
      <c r="F362">
        <v>56.939998626708977</v>
      </c>
      <c r="G362">
        <v>509674600</v>
      </c>
      <c r="H362">
        <v>48.261562347412109</v>
      </c>
      <c r="I362">
        <v>0</v>
      </c>
      <c r="J362" t="s">
        <v>661</v>
      </c>
      <c r="K362" s="22">
        <v>45530</v>
      </c>
      <c r="M362">
        <v>4.06646728515625E-2</v>
      </c>
      <c r="N362">
        <v>-7.4952120129254673E-3</v>
      </c>
      <c r="O362">
        <v>-1.0500030517578121</v>
      </c>
      <c r="P362">
        <v>1.1899986267089839</v>
      </c>
      <c r="Q362" t="s">
        <v>586</v>
      </c>
      <c r="R362">
        <v>2019</v>
      </c>
    </row>
    <row r="363" spans="1:18" hidden="1" x14ac:dyDescent="0.35">
      <c r="A363" t="s">
        <v>662</v>
      </c>
      <c r="B363" s="22">
        <v>43800</v>
      </c>
      <c r="C363">
        <v>57.340000152587891</v>
      </c>
      <c r="D363">
        <v>64.75</v>
      </c>
      <c r="E363">
        <v>56.680000305175781</v>
      </c>
      <c r="F363">
        <v>64.19000244140625</v>
      </c>
      <c r="G363">
        <v>323632000</v>
      </c>
      <c r="H363">
        <v>54.406566619873047</v>
      </c>
      <c r="I363">
        <v>0</v>
      </c>
      <c r="J363" t="s">
        <v>661</v>
      </c>
      <c r="K363" s="22">
        <v>45530</v>
      </c>
      <c r="M363">
        <v>6.1450042724609384</v>
      </c>
      <c r="N363">
        <v>0.1273270809545908</v>
      </c>
      <c r="O363">
        <v>6.8500022888183594</v>
      </c>
      <c r="P363">
        <v>7.4099998474121094</v>
      </c>
      <c r="Q363" t="s">
        <v>585</v>
      </c>
      <c r="R363">
        <v>2019</v>
      </c>
    </row>
    <row r="364" spans="1:18" hidden="1" x14ac:dyDescent="0.35">
      <c r="A364" t="s">
        <v>662</v>
      </c>
      <c r="B364" s="22">
        <v>43831</v>
      </c>
      <c r="C364">
        <v>63.849998474121087</v>
      </c>
      <c r="D364">
        <v>68.339996337890625</v>
      </c>
      <c r="E364">
        <v>62.509998321533203</v>
      </c>
      <c r="F364">
        <v>62.950000762939453</v>
      </c>
      <c r="G364">
        <v>314458000</v>
      </c>
      <c r="H364">
        <v>53.355564117431641</v>
      </c>
      <c r="I364">
        <v>0.45</v>
      </c>
      <c r="J364" t="s">
        <v>661</v>
      </c>
      <c r="K364" s="22">
        <v>45530</v>
      </c>
      <c r="M364">
        <v>-1.051002502441406</v>
      </c>
      <c r="N364">
        <v>-1.9317676138097869E-2</v>
      </c>
      <c r="O364">
        <v>-0.89999771118164063</v>
      </c>
      <c r="P364">
        <v>4.4899978637695313</v>
      </c>
      <c r="Q364" t="s">
        <v>583</v>
      </c>
      <c r="R364">
        <v>2020</v>
      </c>
    </row>
    <row r="365" spans="1:18" hidden="1" x14ac:dyDescent="0.35">
      <c r="A365" t="s">
        <v>662</v>
      </c>
      <c r="B365" s="22">
        <v>43862</v>
      </c>
      <c r="C365">
        <v>63.099998474121087</v>
      </c>
      <c r="D365">
        <v>67.800003051757813</v>
      </c>
      <c r="E365">
        <v>56.369998931884773</v>
      </c>
      <c r="F365">
        <v>59.060001373291023</v>
      </c>
      <c r="G365">
        <v>253899500</v>
      </c>
      <c r="H365">
        <v>50.411861419677727</v>
      </c>
      <c r="I365">
        <v>0</v>
      </c>
      <c r="J365" t="s">
        <v>661</v>
      </c>
      <c r="K365" s="22">
        <v>45530</v>
      </c>
      <c r="M365">
        <v>-2.9437026977539058</v>
      </c>
      <c r="N365">
        <v>-6.1795065011954642E-2</v>
      </c>
      <c r="O365">
        <v>-4.0399971008300781</v>
      </c>
      <c r="P365">
        <v>4.7000045776367188</v>
      </c>
      <c r="Q365" t="s">
        <v>584</v>
      </c>
      <c r="R365">
        <v>2020</v>
      </c>
    </row>
    <row r="366" spans="1:18" hidden="1" x14ac:dyDescent="0.35">
      <c r="A366" t="s">
        <v>662</v>
      </c>
      <c r="B366" s="22">
        <v>43891</v>
      </c>
      <c r="C366">
        <v>59.569999694824219</v>
      </c>
      <c r="D366">
        <v>61.849998474121087</v>
      </c>
      <c r="E366">
        <v>45.759998321533203</v>
      </c>
      <c r="F366">
        <v>55.740001678466797</v>
      </c>
      <c r="G366">
        <v>446510800</v>
      </c>
      <c r="H366">
        <v>47.578010559082031</v>
      </c>
      <c r="I366">
        <v>0</v>
      </c>
      <c r="J366" t="s">
        <v>661</v>
      </c>
      <c r="K366" s="22">
        <v>45530</v>
      </c>
      <c r="M366">
        <v>-2.8338508605957031</v>
      </c>
      <c r="N366">
        <v>-5.6214013166712151E-2</v>
      </c>
      <c r="O366">
        <v>-3.8299980163574219</v>
      </c>
      <c r="P366">
        <v>2.279998779296875</v>
      </c>
      <c r="Q366" t="s">
        <v>585</v>
      </c>
      <c r="R366">
        <v>2020</v>
      </c>
    </row>
    <row r="367" spans="1:18" hidden="1" x14ac:dyDescent="0.35">
      <c r="A367" t="s">
        <v>662</v>
      </c>
      <c r="B367" s="22">
        <v>43922</v>
      </c>
      <c r="C367">
        <v>53.619998931884773</v>
      </c>
      <c r="D367">
        <v>63.180000305175781</v>
      </c>
      <c r="E367">
        <v>53.520000457763672</v>
      </c>
      <c r="F367">
        <v>60.810001373291023</v>
      </c>
      <c r="G367">
        <v>311160400</v>
      </c>
      <c r="H367">
        <v>51.905609130859382</v>
      </c>
      <c r="I367">
        <v>0.45</v>
      </c>
      <c r="J367" t="s">
        <v>661</v>
      </c>
      <c r="K367" s="22">
        <v>45530</v>
      </c>
      <c r="M367">
        <v>4.3275985717773438</v>
      </c>
      <c r="N367">
        <v>9.0958011161718977E-2</v>
      </c>
      <c r="O367">
        <v>7.19000244140625</v>
      </c>
      <c r="P367">
        <v>9.5600013732910156</v>
      </c>
      <c r="Q367" t="s">
        <v>583</v>
      </c>
      <c r="R367">
        <v>2020</v>
      </c>
    </row>
    <row r="368" spans="1:18" hidden="1" x14ac:dyDescent="0.35">
      <c r="A368" t="s">
        <v>662</v>
      </c>
      <c r="B368" s="22">
        <v>43952</v>
      </c>
      <c r="C368">
        <v>60.849998474121087</v>
      </c>
      <c r="D368">
        <v>65.339996337890625</v>
      </c>
      <c r="E368">
        <v>59.110000610351563</v>
      </c>
      <c r="F368">
        <v>59.720001220703118</v>
      </c>
      <c r="G368">
        <v>346649800</v>
      </c>
      <c r="H368">
        <v>51.397125244140618</v>
      </c>
      <c r="I368">
        <v>0</v>
      </c>
      <c r="J368" t="s">
        <v>661</v>
      </c>
      <c r="K368" s="22">
        <v>45530</v>
      </c>
      <c r="M368">
        <v>-0.50848388671875</v>
      </c>
      <c r="N368">
        <v>-1.7924685544681521E-2</v>
      </c>
      <c r="O368">
        <v>-1.129997253417969</v>
      </c>
      <c r="P368">
        <v>4.4899978637695313</v>
      </c>
      <c r="Q368" t="s">
        <v>586</v>
      </c>
      <c r="R368">
        <v>2020</v>
      </c>
    </row>
    <row r="369" spans="1:18" hidden="1" x14ac:dyDescent="0.35">
      <c r="A369" t="s">
        <v>662</v>
      </c>
      <c r="B369" s="22">
        <v>43983</v>
      </c>
      <c r="C369">
        <v>59.459999084472663</v>
      </c>
      <c r="D369">
        <v>62.169998168945313</v>
      </c>
      <c r="E369">
        <v>54.069999694824219</v>
      </c>
      <c r="F369">
        <v>58.799999237060547</v>
      </c>
      <c r="G369">
        <v>365392100</v>
      </c>
      <c r="H369">
        <v>50.605335235595703</v>
      </c>
      <c r="I369">
        <v>0</v>
      </c>
      <c r="J369" t="s">
        <v>661</v>
      </c>
      <c r="K369" s="22">
        <v>45530</v>
      </c>
      <c r="M369">
        <v>-0.79179000854492188</v>
      </c>
      <c r="N369">
        <v>-1.540525728126807E-2</v>
      </c>
      <c r="O369">
        <v>-0.65999984741210938</v>
      </c>
      <c r="P369">
        <v>2.7099990844726558</v>
      </c>
      <c r="Q369" t="s">
        <v>587</v>
      </c>
      <c r="R369">
        <v>2020</v>
      </c>
    </row>
    <row r="370" spans="1:18" hidden="1" x14ac:dyDescent="0.35">
      <c r="A370" t="s">
        <v>662</v>
      </c>
      <c r="B370" s="22">
        <v>44013</v>
      </c>
      <c r="C370">
        <v>59.189998626708977</v>
      </c>
      <c r="D370">
        <v>60.680000305175781</v>
      </c>
      <c r="E370">
        <v>57.159999847412109</v>
      </c>
      <c r="F370">
        <v>58.659999847412109</v>
      </c>
      <c r="G370">
        <v>216661800</v>
      </c>
      <c r="H370">
        <v>50.484851837158203</v>
      </c>
      <c r="I370">
        <v>0.45</v>
      </c>
      <c r="J370" t="s">
        <v>661</v>
      </c>
      <c r="K370" s="22">
        <v>45530</v>
      </c>
      <c r="M370">
        <v>-0.1204833984375</v>
      </c>
      <c r="N370">
        <v>-2.3809420317169039E-3</v>
      </c>
      <c r="O370">
        <v>-0.529998779296875</v>
      </c>
      <c r="P370">
        <v>1.4900016784667971</v>
      </c>
      <c r="Q370" t="s">
        <v>583</v>
      </c>
      <c r="R370">
        <v>2020</v>
      </c>
    </row>
    <row r="371" spans="1:18" hidden="1" x14ac:dyDescent="0.35">
      <c r="A371" t="s">
        <v>662</v>
      </c>
      <c r="B371" s="22">
        <v>44044</v>
      </c>
      <c r="C371">
        <v>59.110000610351563</v>
      </c>
      <c r="D371">
        <v>64.269996643066406</v>
      </c>
      <c r="E371">
        <v>58.529998779296882</v>
      </c>
      <c r="F371">
        <v>62.200000762939453</v>
      </c>
      <c r="G371">
        <v>189653500</v>
      </c>
      <c r="H371">
        <v>53.939922332763672</v>
      </c>
      <c r="I371">
        <v>0</v>
      </c>
      <c r="J371" t="s">
        <v>661</v>
      </c>
      <c r="K371" s="22">
        <v>45530</v>
      </c>
      <c r="M371">
        <v>3.4550704956054692</v>
      </c>
      <c r="N371">
        <v>6.0347782556012357E-2</v>
      </c>
      <c r="O371">
        <v>3.0900001525878911</v>
      </c>
      <c r="P371">
        <v>5.1599960327148438</v>
      </c>
      <c r="Q371" t="s">
        <v>584</v>
      </c>
      <c r="R371">
        <v>2020</v>
      </c>
    </row>
    <row r="372" spans="1:18" hidden="1" x14ac:dyDescent="0.35">
      <c r="A372" t="s">
        <v>662</v>
      </c>
      <c r="B372" s="22">
        <v>44075</v>
      </c>
      <c r="C372">
        <v>62.200000762939453</v>
      </c>
      <c r="D372">
        <v>62.259998321533203</v>
      </c>
      <c r="E372">
        <v>56.900001525878913</v>
      </c>
      <c r="F372">
        <v>60.290000915527337</v>
      </c>
      <c r="G372">
        <v>227360800</v>
      </c>
      <c r="H372">
        <v>52.283573150634773</v>
      </c>
      <c r="I372">
        <v>0</v>
      </c>
      <c r="J372" t="s">
        <v>661</v>
      </c>
      <c r="K372" s="22">
        <v>45530</v>
      </c>
      <c r="M372">
        <v>-1.656349182128906</v>
      </c>
      <c r="N372">
        <v>-3.070739266855671E-2</v>
      </c>
      <c r="O372">
        <v>-1.9099998474121089</v>
      </c>
      <c r="P372">
        <v>5.999755859375E-2</v>
      </c>
      <c r="Q372" t="s">
        <v>588</v>
      </c>
      <c r="R372">
        <v>2020</v>
      </c>
    </row>
    <row r="373" spans="1:18" hidden="1" x14ac:dyDescent="0.35">
      <c r="A373" t="s">
        <v>662</v>
      </c>
      <c r="B373" s="22">
        <v>44105</v>
      </c>
      <c r="C373">
        <v>60.380001068115227</v>
      </c>
      <c r="D373">
        <v>62.419998168945313</v>
      </c>
      <c r="E373">
        <v>56.75</v>
      </c>
      <c r="F373">
        <v>58.450000762939453</v>
      </c>
      <c r="G373">
        <v>221902500</v>
      </c>
      <c r="H373">
        <v>50.687919616699219</v>
      </c>
      <c r="I373">
        <v>0.45</v>
      </c>
      <c r="J373" t="s">
        <v>661</v>
      </c>
      <c r="K373" s="22">
        <v>45530</v>
      </c>
      <c r="M373">
        <v>-1.5956535339355471</v>
      </c>
      <c r="N373">
        <v>-3.051915947332506E-2</v>
      </c>
      <c r="O373">
        <v>-1.930000305175781</v>
      </c>
      <c r="P373">
        <v>2.0399971008300781</v>
      </c>
      <c r="Q373" t="s">
        <v>589</v>
      </c>
      <c r="R373">
        <v>2020</v>
      </c>
    </row>
    <row r="374" spans="1:18" hidden="1" x14ac:dyDescent="0.35">
      <c r="A374" t="s">
        <v>662</v>
      </c>
      <c r="B374" s="22">
        <v>44136</v>
      </c>
      <c r="C374">
        <v>59.189998626708977</v>
      </c>
      <c r="D374">
        <v>66.230003356933594</v>
      </c>
      <c r="E374">
        <v>58.840000152587891</v>
      </c>
      <c r="F374">
        <v>62.400001525878913</v>
      </c>
      <c r="G374">
        <v>226047300</v>
      </c>
      <c r="H374">
        <v>54.520305633544922</v>
      </c>
      <c r="I374">
        <v>0</v>
      </c>
      <c r="J374" t="s">
        <v>661</v>
      </c>
      <c r="K374" s="22">
        <v>45530</v>
      </c>
      <c r="M374">
        <v>3.8323860168457031</v>
      </c>
      <c r="N374">
        <v>6.7579139630122409E-2</v>
      </c>
      <c r="O374">
        <v>3.2100028991699219</v>
      </c>
      <c r="P374">
        <v>7.0400047302246094</v>
      </c>
      <c r="Q374" t="s">
        <v>585</v>
      </c>
      <c r="R374">
        <v>2020</v>
      </c>
    </row>
    <row r="375" spans="1:18" hidden="1" x14ac:dyDescent="0.35">
      <c r="A375" t="s">
        <v>662</v>
      </c>
      <c r="B375" s="22">
        <v>44166</v>
      </c>
      <c r="C375">
        <v>63.150001525878913</v>
      </c>
      <c r="D375">
        <v>63.740001678466797</v>
      </c>
      <c r="E375">
        <v>59.919998168945313</v>
      </c>
      <c r="F375">
        <v>62.029998779296882</v>
      </c>
      <c r="G375">
        <v>213496400</v>
      </c>
      <c r="H375">
        <v>54.197017669677727</v>
      </c>
      <c r="I375">
        <v>0.49</v>
      </c>
      <c r="J375" t="s">
        <v>661</v>
      </c>
      <c r="K375" s="22">
        <v>45530</v>
      </c>
      <c r="M375">
        <v>-0.3232879638671875</v>
      </c>
      <c r="N375">
        <v>-5.9295310502289764E-3</v>
      </c>
      <c r="O375">
        <v>-1.120002746582031</v>
      </c>
      <c r="P375">
        <v>0.59000015258789063</v>
      </c>
      <c r="Q375" t="s">
        <v>588</v>
      </c>
      <c r="R375">
        <v>2020</v>
      </c>
    </row>
    <row r="376" spans="1:18" hidden="1" x14ac:dyDescent="0.35">
      <c r="A376" t="s">
        <v>662</v>
      </c>
      <c r="B376" s="22">
        <v>44197</v>
      </c>
      <c r="C376">
        <v>61.740001678466797</v>
      </c>
      <c r="D376">
        <v>67.160003662109375</v>
      </c>
      <c r="E376">
        <v>60.470001220703118</v>
      </c>
      <c r="F376">
        <v>61.430000305175781</v>
      </c>
      <c r="G376">
        <v>236897800</v>
      </c>
      <c r="H376">
        <v>54.100914001464837</v>
      </c>
      <c r="I376">
        <v>0</v>
      </c>
      <c r="J376" t="s">
        <v>661</v>
      </c>
      <c r="K376" s="22">
        <v>45530</v>
      </c>
      <c r="M376">
        <v>-9.6103668212890625E-2</v>
      </c>
      <c r="N376">
        <v>-9.6727145885636689E-3</v>
      </c>
      <c r="O376">
        <v>-0.31000137329101563</v>
      </c>
      <c r="P376">
        <v>5.4200019836425781</v>
      </c>
      <c r="Q376" t="s">
        <v>586</v>
      </c>
      <c r="R376">
        <v>2021</v>
      </c>
    </row>
    <row r="377" spans="1:18" hidden="1" x14ac:dyDescent="0.35">
      <c r="A377" t="s">
        <v>662</v>
      </c>
      <c r="B377" s="22">
        <v>44228</v>
      </c>
      <c r="C377">
        <v>61.909999847412109</v>
      </c>
      <c r="D377">
        <v>64.639999389648438</v>
      </c>
      <c r="E377">
        <v>59.369998931884773</v>
      </c>
      <c r="F377">
        <v>61.330001831054688</v>
      </c>
      <c r="G377">
        <v>264190300</v>
      </c>
      <c r="H377">
        <v>54.012847900390618</v>
      </c>
      <c r="I377">
        <v>0</v>
      </c>
      <c r="J377" t="s">
        <v>661</v>
      </c>
      <c r="K377" s="22">
        <v>45530</v>
      </c>
      <c r="M377">
        <v>-8.806610107421875E-2</v>
      </c>
      <c r="N377">
        <v>-1.627844271924417E-3</v>
      </c>
      <c r="O377">
        <v>-0.57999801635742188</v>
      </c>
      <c r="P377">
        <v>2.7299995422363281</v>
      </c>
      <c r="Q377" t="s">
        <v>587</v>
      </c>
      <c r="R377">
        <v>2021</v>
      </c>
    </row>
    <row r="378" spans="1:18" hidden="1" x14ac:dyDescent="0.35">
      <c r="A378" t="s">
        <v>662</v>
      </c>
      <c r="B378" s="22">
        <v>44256</v>
      </c>
      <c r="C378">
        <v>61.900001525878913</v>
      </c>
      <c r="D378">
        <v>64.419998168945313</v>
      </c>
      <c r="E378">
        <v>58.630001068115227</v>
      </c>
      <c r="F378">
        <v>63.130001068115227</v>
      </c>
      <c r="G378">
        <v>284388500</v>
      </c>
      <c r="H378">
        <v>55.598091125488281</v>
      </c>
      <c r="I378">
        <v>0.49</v>
      </c>
      <c r="J378" t="s">
        <v>661</v>
      </c>
      <c r="K378" s="22">
        <v>45530</v>
      </c>
      <c r="M378">
        <v>1.585243225097656</v>
      </c>
      <c r="N378">
        <v>2.9349407848038082E-2</v>
      </c>
      <c r="O378">
        <v>1.2299995422363279</v>
      </c>
      <c r="P378">
        <v>2.5199966430664058</v>
      </c>
      <c r="Q378" t="s">
        <v>587</v>
      </c>
      <c r="R378">
        <v>2021</v>
      </c>
    </row>
    <row r="379" spans="1:18" hidden="1" x14ac:dyDescent="0.35">
      <c r="A379" t="s">
        <v>662</v>
      </c>
      <c r="B379" s="22">
        <v>44287</v>
      </c>
      <c r="C379">
        <v>63.180000305175781</v>
      </c>
      <c r="D379">
        <v>66.930000305175781</v>
      </c>
      <c r="E379">
        <v>61.509998321533203</v>
      </c>
      <c r="F379">
        <v>62.419998168945313</v>
      </c>
      <c r="G379">
        <v>236872700</v>
      </c>
      <c r="H379">
        <v>55.401584625244141</v>
      </c>
      <c r="I379">
        <v>0</v>
      </c>
      <c r="J379" t="s">
        <v>661</v>
      </c>
      <c r="K379" s="22">
        <v>45530</v>
      </c>
      <c r="M379">
        <v>-0.1965065002441406</v>
      </c>
      <c r="N379">
        <v>-1.1246679663506559E-2</v>
      </c>
      <c r="O379">
        <v>-0.76000213623046875</v>
      </c>
      <c r="P379">
        <v>3.75</v>
      </c>
      <c r="Q379" t="s">
        <v>589</v>
      </c>
      <c r="R379">
        <v>2021</v>
      </c>
    </row>
    <row r="380" spans="1:18" hidden="1" x14ac:dyDescent="0.35">
      <c r="A380" t="s">
        <v>662</v>
      </c>
      <c r="B380" s="22">
        <v>44317</v>
      </c>
      <c r="C380">
        <v>62.700000762939453</v>
      </c>
      <c r="D380">
        <v>67.959999084472656</v>
      </c>
      <c r="E380">
        <v>62.650001525878913</v>
      </c>
      <c r="F380">
        <v>65.720001220703125</v>
      </c>
      <c r="G380">
        <v>190629200</v>
      </c>
      <c r="H380">
        <v>58.330547332763672</v>
      </c>
      <c r="I380">
        <v>0</v>
      </c>
      <c r="J380" t="s">
        <v>661</v>
      </c>
      <c r="K380" s="22">
        <v>45530</v>
      </c>
      <c r="M380">
        <v>2.9289627075195308</v>
      </c>
      <c r="N380">
        <v>5.2867721059940642E-2</v>
      </c>
      <c r="O380">
        <v>3.0200004577636719</v>
      </c>
      <c r="P380">
        <v>5.2599983215332031</v>
      </c>
      <c r="Q380" t="s">
        <v>584</v>
      </c>
      <c r="R380">
        <v>2021</v>
      </c>
    </row>
    <row r="381" spans="1:18" hidden="1" x14ac:dyDescent="0.35">
      <c r="A381" t="s">
        <v>662</v>
      </c>
      <c r="B381" s="22">
        <v>44348</v>
      </c>
      <c r="C381">
        <v>66.400001525878906</v>
      </c>
      <c r="D381">
        <v>67.94000244140625</v>
      </c>
      <c r="E381">
        <v>63.220001220703118</v>
      </c>
      <c r="F381">
        <v>66.819999694824219</v>
      </c>
      <c r="G381">
        <v>219868600</v>
      </c>
      <c r="H381">
        <v>59.306873321533203</v>
      </c>
      <c r="I381">
        <v>0</v>
      </c>
      <c r="J381" t="s">
        <v>661</v>
      </c>
      <c r="K381" s="22">
        <v>45530</v>
      </c>
      <c r="M381">
        <v>0.97632598876953125</v>
      </c>
      <c r="N381">
        <v>1.6737651456016241E-2</v>
      </c>
      <c r="O381">
        <v>0.4199981689453125</v>
      </c>
      <c r="P381">
        <v>1.540000915527344</v>
      </c>
      <c r="Q381" t="s">
        <v>588</v>
      </c>
      <c r="R381">
        <v>2021</v>
      </c>
    </row>
    <row r="382" spans="1:18" hidden="1" x14ac:dyDescent="0.35">
      <c r="A382" t="s">
        <v>662</v>
      </c>
      <c r="B382" s="22">
        <v>44378</v>
      </c>
      <c r="C382">
        <v>66.419998168945313</v>
      </c>
      <c r="D382">
        <v>69.269996643066406</v>
      </c>
      <c r="E382">
        <v>65.779998779296875</v>
      </c>
      <c r="F382">
        <v>67.870002746582031</v>
      </c>
      <c r="G382">
        <v>181550600</v>
      </c>
      <c r="H382">
        <v>60.238796234130859</v>
      </c>
      <c r="I382">
        <v>0.49</v>
      </c>
      <c r="J382" t="s">
        <v>661</v>
      </c>
      <c r="K382" s="22">
        <v>45530</v>
      </c>
      <c r="M382">
        <v>0.93192291259765625</v>
      </c>
      <c r="N382">
        <v>1.5713903869400081E-2</v>
      </c>
      <c r="O382">
        <v>1.450004577636719</v>
      </c>
      <c r="P382">
        <v>2.8499984741210942</v>
      </c>
      <c r="Q382" t="s">
        <v>589</v>
      </c>
      <c r="R382">
        <v>2021</v>
      </c>
    </row>
    <row r="383" spans="1:18" hidden="1" x14ac:dyDescent="0.35">
      <c r="A383" t="s">
        <v>662</v>
      </c>
      <c r="B383" s="22">
        <v>44409</v>
      </c>
      <c r="C383">
        <v>68.199996948242188</v>
      </c>
      <c r="D383">
        <v>69.75</v>
      </c>
      <c r="E383">
        <v>66.510002136230469</v>
      </c>
      <c r="F383">
        <v>66.860000610351563</v>
      </c>
      <c r="G383">
        <v>152292400</v>
      </c>
      <c r="H383">
        <v>59.780750274658203</v>
      </c>
      <c r="I383">
        <v>0</v>
      </c>
      <c r="J383" t="s">
        <v>661</v>
      </c>
      <c r="K383" s="22">
        <v>45530</v>
      </c>
      <c r="M383">
        <v>-0.45804595947265619</v>
      </c>
      <c r="N383">
        <v>-1.4881421767458771E-2</v>
      </c>
      <c r="O383">
        <v>-1.339996337890625</v>
      </c>
      <c r="P383">
        <v>1.5500030517578121</v>
      </c>
      <c r="Q383" t="s">
        <v>585</v>
      </c>
      <c r="R383">
        <v>2021</v>
      </c>
    </row>
    <row r="384" spans="1:18" hidden="1" x14ac:dyDescent="0.35">
      <c r="A384" t="s">
        <v>662</v>
      </c>
      <c r="B384" s="22">
        <v>44440</v>
      </c>
      <c r="C384">
        <v>67.290000915527344</v>
      </c>
      <c r="D384">
        <v>67.290000915527344</v>
      </c>
      <c r="E384">
        <v>59.150001525878913</v>
      </c>
      <c r="F384">
        <v>59.169998168945313</v>
      </c>
      <c r="G384">
        <v>220796100</v>
      </c>
      <c r="H384">
        <v>52.90496826171875</v>
      </c>
      <c r="I384">
        <v>0.49</v>
      </c>
      <c r="J384" t="s">
        <v>661</v>
      </c>
      <c r="K384" s="22">
        <v>45530</v>
      </c>
      <c r="M384">
        <v>-6.8757820129394531</v>
      </c>
      <c r="N384">
        <v>-0.115016487753601</v>
      </c>
      <c r="O384">
        <v>-8.1200027465820313</v>
      </c>
      <c r="P384">
        <v>0</v>
      </c>
      <c r="Q384" t="s">
        <v>583</v>
      </c>
      <c r="R384">
        <v>2021</v>
      </c>
    </row>
    <row r="385" spans="1:18" hidden="1" x14ac:dyDescent="0.35">
      <c r="A385" t="s">
        <v>662</v>
      </c>
      <c r="B385" s="22">
        <v>44470</v>
      </c>
      <c r="C385">
        <v>59.369998931884773</v>
      </c>
      <c r="D385">
        <v>60.029998779296882</v>
      </c>
      <c r="E385">
        <v>56.110000610351563</v>
      </c>
      <c r="F385">
        <v>58.400001525878913</v>
      </c>
      <c r="G385">
        <v>253971900</v>
      </c>
      <c r="H385">
        <v>52.642021179199219</v>
      </c>
      <c r="I385">
        <v>0</v>
      </c>
      <c r="J385" t="s">
        <v>661</v>
      </c>
      <c r="K385" s="22">
        <v>45530</v>
      </c>
      <c r="M385">
        <v>-0.26294708251953119</v>
      </c>
      <c r="N385">
        <v>-1.301329502948223E-2</v>
      </c>
      <c r="O385">
        <v>-0.96999740600585938</v>
      </c>
      <c r="P385">
        <v>0.65999984741210938</v>
      </c>
      <c r="Q385" t="s">
        <v>586</v>
      </c>
      <c r="R385">
        <v>2021</v>
      </c>
    </row>
    <row r="386" spans="1:18" hidden="1" x14ac:dyDescent="0.35">
      <c r="A386" t="s">
        <v>662</v>
      </c>
      <c r="B386" s="22">
        <v>44501</v>
      </c>
      <c r="C386">
        <v>58.299999237060547</v>
      </c>
      <c r="D386">
        <v>60.200000762939453</v>
      </c>
      <c r="E386">
        <v>53.220001220703118</v>
      </c>
      <c r="F386">
        <v>53.630001068115227</v>
      </c>
      <c r="G386">
        <v>272780100</v>
      </c>
      <c r="H386">
        <v>48.342319488525391</v>
      </c>
      <c r="I386">
        <v>0</v>
      </c>
      <c r="J386" t="s">
        <v>661</v>
      </c>
      <c r="K386" s="22">
        <v>45530</v>
      </c>
      <c r="M386">
        <v>-4.2997016906738281</v>
      </c>
      <c r="N386">
        <v>-8.1678087896109641E-2</v>
      </c>
      <c r="O386">
        <v>-4.6699981689453116</v>
      </c>
      <c r="P386">
        <v>1.900001525878906</v>
      </c>
      <c r="Q386" t="s">
        <v>587</v>
      </c>
      <c r="R386">
        <v>2021</v>
      </c>
    </row>
    <row r="387" spans="1:18" hidden="1" x14ac:dyDescent="0.35">
      <c r="A387" t="s">
        <v>662</v>
      </c>
      <c r="B387" s="22">
        <v>44531</v>
      </c>
      <c r="C387">
        <v>53.939998626708977</v>
      </c>
      <c r="D387">
        <v>63.169998168945313</v>
      </c>
      <c r="E387">
        <v>53.909999847412109</v>
      </c>
      <c r="F387">
        <v>62.349998474121087</v>
      </c>
      <c r="G387">
        <v>304243000</v>
      </c>
      <c r="H387">
        <v>56.202571868896477</v>
      </c>
      <c r="I387">
        <v>0</v>
      </c>
      <c r="J387" t="s">
        <v>661</v>
      </c>
      <c r="K387" s="22">
        <v>45530</v>
      </c>
      <c r="M387">
        <v>7.8602523803710938</v>
      </c>
      <c r="N387">
        <v>0.16259551057868959</v>
      </c>
      <c r="O387">
        <v>8.4099998474121094</v>
      </c>
      <c r="P387">
        <v>9.2299995422363281</v>
      </c>
      <c r="Q387" t="s">
        <v>583</v>
      </c>
      <c r="R387">
        <v>2021</v>
      </c>
    </row>
    <row r="388" spans="1:18" hidden="1" x14ac:dyDescent="0.35">
      <c r="A388" t="s">
        <v>662</v>
      </c>
      <c r="B388" s="22">
        <v>44562</v>
      </c>
      <c r="C388">
        <v>62.069999694824219</v>
      </c>
      <c r="D388">
        <v>65.849998474121094</v>
      </c>
      <c r="E388">
        <v>60.860000610351563</v>
      </c>
      <c r="F388">
        <v>64.889999389648438</v>
      </c>
      <c r="G388">
        <v>263957200</v>
      </c>
      <c r="H388">
        <v>58.492137908935547</v>
      </c>
      <c r="I388">
        <v>0.54</v>
      </c>
      <c r="J388" t="s">
        <v>661</v>
      </c>
      <c r="K388" s="22">
        <v>45530</v>
      </c>
      <c r="M388">
        <v>2.2895660400390621</v>
      </c>
      <c r="N388">
        <v>4.073778633020475E-2</v>
      </c>
      <c r="O388">
        <v>2.8199996948242192</v>
      </c>
      <c r="P388">
        <v>3.779998779296875</v>
      </c>
      <c r="Q388" t="s">
        <v>584</v>
      </c>
      <c r="R388">
        <v>2022</v>
      </c>
    </row>
    <row r="389" spans="1:18" hidden="1" x14ac:dyDescent="0.35">
      <c r="A389" t="s">
        <v>662</v>
      </c>
      <c r="B389" s="22">
        <v>44593</v>
      </c>
      <c r="C389">
        <v>65.010002136230469</v>
      </c>
      <c r="D389">
        <v>69.319999694824219</v>
      </c>
      <c r="E389">
        <v>62.900001525878913</v>
      </c>
      <c r="F389">
        <v>68.669998168945313</v>
      </c>
      <c r="G389">
        <v>304502300</v>
      </c>
      <c r="H389">
        <v>62.441898345947273</v>
      </c>
      <c r="I389">
        <v>0</v>
      </c>
      <c r="J389" t="s">
        <v>661</v>
      </c>
      <c r="K389" s="22">
        <v>45530</v>
      </c>
      <c r="M389">
        <v>3.9497604370117192</v>
      </c>
      <c r="N389">
        <v>5.8252408920501209E-2</v>
      </c>
      <c r="O389">
        <v>3.6599960327148442</v>
      </c>
      <c r="P389">
        <v>4.30999755859375</v>
      </c>
      <c r="Q389" t="s">
        <v>588</v>
      </c>
      <c r="R389">
        <v>2022</v>
      </c>
    </row>
    <row r="390" spans="1:18" hidden="1" x14ac:dyDescent="0.35">
      <c r="A390" t="s">
        <v>662</v>
      </c>
      <c r="B390" s="22">
        <v>44621</v>
      </c>
      <c r="C390">
        <v>68.120002746582031</v>
      </c>
      <c r="D390">
        <v>74.069999694824219</v>
      </c>
      <c r="E390">
        <v>67.330001831054688</v>
      </c>
      <c r="F390">
        <v>73.029998779296875</v>
      </c>
      <c r="G390">
        <v>353696200</v>
      </c>
      <c r="H390">
        <v>66.406455993652344</v>
      </c>
      <c r="I390">
        <v>0.54</v>
      </c>
      <c r="J390" t="s">
        <v>661</v>
      </c>
      <c r="K390" s="22">
        <v>45530</v>
      </c>
      <c r="M390">
        <v>3.9645576477050781</v>
      </c>
      <c r="N390">
        <v>6.3492074073234539E-2</v>
      </c>
      <c r="O390">
        <v>4.9099960327148438</v>
      </c>
      <c r="P390">
        <v>5.9499969482421884</v>
      </c>
      <c r="Q390" t="s">
        <v>588</v>
      </c>
      <c r="R390">
        <v>2022</v>
      </c>
    </row>
    <row r="391" spans="1:18" hidden="1" x14ac:dyDescent="0.35">
      <c r="A391" t="s">
        <v>662</v>
      </c>
      <c r="B391" s="22">
        <v>44652</v>
      </c>
      <c r="C391">
        <v>73.19000244140625</v>
      </c>
      <c r="D391">
        <v>78.169998168945313</v>
      </c>
      <c r="E391">
        <v>73</v>
      </c>
      <c r="F391">
        <v>75.269996643066406</v>
      </c>
      <c r="G391">
        <v>301171800</v>
      </c>
      <c r="H391">
        <v>68.948341369628906</v>
      </c>
      <c r="I391">
        <v>0</v>
      </c>
      <c r="J391" t="s">
        <v>661</v>
      </c>
      <c r="K391" s="22">
        <v>45530</v>
      </c>
      <c r="M391">
        <v>2.5418853759765621</v>
      </c>
      <c r="N391">
        <v>3.0672297702468931E-2</v>
      </c>
      <c r="O391">
        <v>2.0799942016601558</v>
      </c>
      <c r="P391">
        <v>4.9799957275390616</v>
      </c>
      <c r="Q391" t="s">
        <v>586</v>
      </c>
      <c r="R391">
        <v>2022</v>
      </c>
    </row>
    <row r="392" spans="1:18" hidden="1" x14ac:dyDescent="0.35">
      <c r="A392" t="s">
        <v>662</v>
      </c>
      <c r="B392" s="22">
        <v>44682</v>
      </c>
      <c r="C392">
        <v>75.370002746582031</v>
      </c>
      <c r="D392">
        <v>78.610000610351563</v>
      </c>
      <c r="E392">
        <v>73.669998168945313</v>
      </c>
      <c r="F392">
        <v>75.449996948242188</v>
      </c>
      <c r="G392">
        <v>332130100</v>
      </c>
      <c r="H392">
        <v>69.113227844238281</v>
      </c>
      <c r="I392">
        <v>0</v>
      </c>
      <c r="J392" t="s">
        <v>661</v>
      </c>
      <c r="K392" s="22">
        <v>45530</v>
      </c>
      <c r="M392">
        <v>0.164886474609375</v>
      </c>
      <c r="N392">
        <v>2.3913951534946238E-3</v>
      </c>
      <c r="O392">
        <v>7.999420166015625E-2</v>
      </c>
      <c r="P392">
        <v>3.2399978637695308</v>
      </c>
      <c r="Q392" t="s">
        <v>585</v>
      </c>
      <c r="R392">
        <v>2022</v>
      </c>
    </row>
    <row r="393" spans="1:18" hidden="1" x14ac:dyDescent="0.35">
      <c r="A393" t="s">
        <v>662</v>
      </c>
      <c r="B393" s="22">
        <v>44713</v>
      </c>
      <c r="C393">
        <v>75.339996337890625</v>
      </c>
      <c r="D393">
        <v>80.589996337890625</v>
      </c>
      <c r="E393">
        <v>71.709999084472656</v>
      </c>
      <c r="F393">
        <v>77</v>
      </c>
      <c r="G393">
        <v>277641300</v>
      </c>
      <c r="H393">
        <v>70.533050537109375</v>
      </c>
      <c r="I393">
        <v>0.54</v>
      </c>
      <c r="J393" t="s">
        <v>661</v>
      </c>
      <c r="K393" s="22">
        <v>45530</v>
      </c>
      <c r="M393">
        <v>1.419822692871094</v>
      </c>
      <c r="N393">
        <v>2.054344750764003E-2</v>
      </c>
      <c r="O393">
        <v>1.660003662109375</v>
      </c>
      <c r="P393">
        <v>5.25</v>
      </c>
      <c r="Q393" t="s">
        <v>583</v>
      </c>
      <c r="R393">
        <v>2022</v>
      </c>
    </row>
    <row r="394" spans="1:18" hidden="1" x14ac:dyDescent="0.35">
      <c r="A394" t="s">
        <v>662</v>
      </c>
      <c r="B394" s="22">
        <v>44743</v>
      </c>
      <c r="C394">
        <v>76.980003356933594</v>
      </c>
      <c r="D394">
        <v>77.099998474121094</v>
      </c>
      <c r="E394">
        <v>72.260002136230469</v>
      </c>
      <c r="F394">
        <v>73.779998779296875</v>
      </c>
      <c r="G394">
        <v>192579300</v>
      </c>
      <c r="H394">
        <v>68.052932739257813</v>
      </c>
      <c r="I394">
        <v>0</v>
      </c>
      <c r="J394" t="s">
        <v>661</v>
      </c>
      <c r="K394" s="22">
        <v>45530</v>
      </c>
      <c r="M394">
        <v>-2.4801177978515621</v>
      </c>
      <c r="N394">
        <v>-4.1818197671469097E-2</v>
      </c>
      <c r="O394">
        <v>-3.2000045776367192</v>
      </c>
      <c r="P394">
        <v>0.1199951171875</v>
      </c>
      <c r="Q394" t="s">
        <v>586</v>
      </c>
      <c r="R394">
        <v>2022</v>
      </c>
    </row>
    <row r="395" spans="1:18" hidden="1" x14ac:dyDescent="0.35">
      <c r="A395" t="s">
        <v>662</v>
      </c>
      <c r="B395" s="22">
        <v>44774</v>
      </c>
      <c r="C395">
        <v>73.760002136230469</v>
      </c>
      <c r="D395">
        <v>75.860000610351563</v>
      </c>
      <c r="E395">
        <v>65.949996948242188</v>
      </c>
      <c r="F395">
        <v>67.410003662109375</v>
      </c>
      <c r="G395">
        <v>200503200</v>
      </c>
      <c r="H395">
        <v>62.177394866943359</v>
      </c>
      <c r="I395">
        <v>0</v>
      </c>
      <c r="J395" t="s">
        <v>661</v>
      </c>
      <c r="K395" s="22">
        <v>45530</v>
      </c>
      <c r="M395">
        <v>-5.8755378723144531</v>
      </c>
      <c r="N395">
        <v>-8.6337696158582222E-2</v>
      </c>
      <c r="O395">
        <v>-6.3499984741210938</v>
      </c>
      <c r="P395">
        <v>2.0999984741210942</v>
      </c>
      <c r="Q395" t="s">
        <v>587</v>
      </c>
      <c r="R395">
        <v>2022</v>
      </c>
    </row>
    <row r="396" spans="1:18" hidden="1" x14ac:dyDescent="0.35">
      <c r="A396" t="s">
        <v>662</v>
      </c>
      <c r="B396" s="22">
        <v>44805</v>
      </c>
      <c r="C396">
        <v>67.389999389648438</v>
      </c>
      <c r="D396">
        <v>75.989997863769531</v>
      </c>
      <c r="E396">
        <v>67.209999084472656</v>
      </c>
      <c r="F396">
        <v>71.089996337890625</v>
      </c>
      <c r="G396">
        <v>227754500</v>
      </c>
      <c r="H396">
        <v>65.571746826171875</v>
      </c>
      <c r="I396">
        <v>0</v>
      </c>
      <c r="J396" t="s">
        <v>661</v>
      </c>
      <c r="K396" s="22">
        <v>45530</v>
      </c>
      <c r="M396">
        <v>3.3943519592285161</v>
      </c>
      <c r="N396">
        <v>5.4591195310225833E-2</v>
      </c>
      <c r="O396">
        <v>3.6999969482421879</v>
      </c>
      <c r="P396">
        <v>8.5999984741210938</v>
      </c>
      <c r="Q396" t="s">
        <v>589</v>
      </c>
      <c r="R396">
        <v>2022</v>
      </c>
    </row>
    <row r="397" spans="1:18" hidden="1" x14ac:dyDescent="0.35">
      <c r="A397" t="s">
        <v>662</v>
      </c>
      <c r="B397" s="22">
        <v>44835</v>
      </c>
      <c r="C397">
        <v>71.360000610351563</v>
      </c>
      <c r="D397">
        <v>78.660003662109375</v>
      </c>
      <c r="E397">
        <v>68.330001831054688</v>
      </c>
      <c r="F397">
        <v>77.470001220703125</v>
      </c>
      <c r="G397">
        <v>185039800</v>
      </c>
      <c r="H397">
        <v>71.456504821777344</v>
      </c>
      <c r="I397">
        <v>0.54</v>
      </c>
      <c r="J397" t="s">
        <v>661</v>
      </c>
      <c r="K397" s="22">
        <v>45530</v>
      </c>
      <c r="M397">
        <v>5.8847579956054688</v>
      </c>
      <c r="N397">
        <v>8.9745466471658597E-2</v>
      </c>
      <c r="O397">
        <v>6.1100006103515616</v>
      </c>
      <c r="P397">
        <v>7.3000030517578116</v>
      </c>
      <c r="Q397" t="s">
        <v>584</v>
      </c>
      <c r="R397">
        <v>2022</v>
      </c>
    </row>
    <row r="398" spans="1:18" hidden="1" x14ac:dyDescent="0.35">
      <c r="A398" t="s">
        <v>662</v>
      </c>
      <c r="B398" s="22">
        <v>44866</v>
      </c>
      <c r="C398">
        <v>77</v>
      </c>
      <c r="D398">
        <v>81.169998168945313</v>
      </c>
      <c r="E398">
        <v>74.550003051757813</v>
      </c>
      <c r="F398">
        <v>80.279998779296875</v>
      </c>
      <c r="G398">
        <v>199334200</v>
      </c>
      <c r="H398">
        <v>74.612281799316406</v>
      </c>
      <c r="I398">
        <v>0</v>
      </c>
      <c r="J398" t="s">
        <v>661</v>
      </c>
      <c r="K398" s="22">
        <v>45530</v>
      </c>
      <c r="M398">
        <v>3.1557769775390621</v>
      </c>
      <c r="N398">
        <v>3.6272073245337877E-2</v>
      </c>
      <c r="O398">
        <v>3.279998779296875</v>
      </c>
      <c r="P398">
        <v>4.1699981689453116</v>
      </c>
      <c r="Q398" t="s">
        <v>588</v>
      </c>
      <c r="R398">
        <v>2022</v>
      </c>
    </row>
    <row r="399" spans="1:18" hidden="1" x14ac:dyDescent="0.35">
      <c r="A399" t="s">
        <v>662</v>
      </c>
      <c r="B399" s="22">
        <v>44896</v>
      </c>
      <c r="C399">
        <v>80.480003356933594</v>
      </c>
      <c r="D399">
        <v>81.44000244140625</v>
      </c>
      <c r="E399">
        <v>70.870002746582031</v>
      </c>
      <c r="F399">
        <v>71.949996948242188</v>
      </c>
      <c r="G399">
        <v>187191000</v>
      </c>
      <c r="H399">
        <v>66.870376586914063</v>
      </c>
      <c r="I399">
        <v>0</v>
      </c>
      <c r="J399" t="s">
        <v>661</v>
      </c>
      <c r="K399" s="22">
        <v>45530</v>
      </c>
      <c r="M399">
        <v>-7.7419052124023438</v>
      </c>
      <c r="N399">
        <v>-0.1037618579685738</v>
      </c>
      <c r="O399">
        <v>-8.5300064086914063</v>
      </c>
      <c r="P399">
        <v>0.95999908447265625</v>
      </c>
      <c r="Q399" t="s">
        <v>589</v>
      </c>
      <c r="R399">
        <v>2022</v>
      </c>
    </row>
    <row r="400" spans="1:18" hidden="1" x14ac:dyDescent="0.35">
      <c r="A400" t="s">
        <v>662</v>
      </c>
      <c r="B400" s="22">
        <v>44927</v>
      </c>
      <c r="C400">
        <v>71.760002136230469</v>
      </c>
      <c r="D400">
        <v>75</v>
      </c>
      <c r="E400">
        <v>70.75</v>
      </c>
      <c r="F400">
        <v>72.650001525878906</v>
      </c>
      <c r="G400">
        <v>164845300</v>
      </c>
      <c r="H400">
        <v>67.520957946777344</v>
      </c>
      <c r="I400">
        <v>0.56999999999999995</v>
      </c>
      <c r="J400" t="s">
        <v>661</v>
      </c>
      <c r="K400" s="22">
        <v>45530</v>
      </c>
      <c r="M400">
        <v>0.65058135986328125</v>
      </c>
      <c r="N400">
        <v>9.7290424923892616E-3</v>
      </c>
      <c r="O400">
        <v>0.8899993896484375</v>
      </c>
      <c r="P400">
        <v>3.2399978637695308</v>
      </c>
      <c r="Q400" t="s">
        <v>585</v>
      </c>
      <c r="R400">
        <v>2023</v>
      </c>
    </row>
    <row r="401" spans="1:18" hidden="1" x14ac:dyDescent="0.35">
      <c r="A401" t="s">
        <v>662</v>
      </c>
      <c r="B401" s="22">
        <v>44958</v>
      </c>
      <c r="C401">
        <v>72.94000244140625</v>
      </c>
      <c r="D401">
        <v>75.180000305175781</v>
      </c>
      <c r="E401">
        <v>68.819999694824219</v>
      </c>
      <c r="F401">
        <v>68.959999084472656</v>
      </c>
      <c r="G401">
        <v>155704400</v>
      </c>
      <c r="H401">
        <v>64.598518371582031</v>
      </c>
      <c r="I401">
        <v>0</v>
      </c>
      <c r="J401" t="s">
        <v>661</v>
      </c>
      <c r="K401" s="22">
        <v>45530</v>
      </c>
      <c r="M401">
        <v>-2.9224395751953121</v>
      </c>
      <c r="N401">
        <v>-5.0791498470813101E-2</v>
      </c>
      <c r="O401">
        <v>-3.9800033569335942</v>
      </c>
      <c r="P401">
        <v>2.2399978637695308</v>
      </c>
      <c r="Q401" t="s">
        <v>583</v>
      </c>
      <c r="R401">
        <v>2023</v>
      </c>
    </row>
    <row r="402" spans="1:18" hidden="1" x14ac:dyDescent="0.35">
      <c r="A402" t="s">
        <v>662</v>
      </c>
      <c r="B402" s="22">
        <v>44986</v>
      </c>
      <c r="C402">
        <v>68.699996948242188</v>
      </c>
      <c r="D402">
        <v>69.790000915527344</v>
      </c>
      <c r="E402">
        <v>65.279998779296875</v>
      </c>
      <c r="F402">
        <v>69.30999755859375</v>
      </c>
      <c r="G402">
        <v>186870500</v>
      </c>
      <c r="H402">
        <v>64.926383972167969</v>
      </c>
      <c r="I402">
        <v>0</v>
      </c>
      <c r="J402" t="s">
        <v>661</v>
      </c>
      <c r="K402" s="22">
        <v>45530</v>
      </c>
      <c r="M402">
        <v>0.3278656005859375</v>
      </c>
      <c r="N402">
        <v>5.0753839728501227E-3</v>
      </c>
      <c r="O402">
        <v>0.6100006103515625</v>
      </c>
      <c r="P402">
        <v>1.090003967285156</v>
      </c>
      <c r="Q402" t="s">
        <v>583</v>
      </c>
      <c r="R402">
        <v>2023</v>
      </c>
    </row>
    <row r="403" spans="1:18" hidden="1" x14ac:dyDescent="0.35">
      <c r="A403" t="s">
        <v>662</v>
      </c>
      <c r="B403" s="22">
        <v>45017</v>
      </c>
      <c r="C403">
        <v>69.029998779296875</v>
      </c>
      <c r="D403">
        <v>71.069999694824219</v>
      </c>
      <c r="E403">
        <v>66.019996643066406</v>
      </c>
      <c r="F403">
        <v>66.769996643066406</v>
      </c>
      <c r="G403">
        <v>134386500</v>
      </c>
      <c r="H403">
        <v>62.547016143798828</v>
      </c>
      <c r="I403">
        <v>0.56999999999999995</v>
      </c>
      <c r="J403" t="s">
        <v>661</v>
      </c>
      <c r="K403" s="22">
        <v>45530</v>
      </c>
      <c r="M403">
        <v>-2.3793678283691411</v>
      </c>
      <c r="N403">
        <v>-3.6646962992316623E-2</v>
      </c>
      <c r="O403">
        <v>-2.2600021362304692</v>
      </c>
      <c r="P403">
        <v>2.0400009155273442</v>
      </c>
      <c r="Q403" t="s">
        <v>584</v>
      </c>
      <c r="R403">
        <v>2023</v>
      </c>
    </row>
    <row r="404" spans="1:18" hidden="1" x14ac:dyDescent="0.35">
      <c r="A404" t="s">
        <v>662</v>
      </c>
      <c r="B404" s="22">
        <v>45047</v>
      </c>
      <c r="C404">
        <v>67.279998779296875</v>
      </c>
      <c r="D404">
        <v>69.099998474121094</v>
      </c>
      <c r="E404">
        <v>63.069999694824219</v>
      </c>
      <c r="F404">
        <v>64.44000244140625</v>
      </c>
      <c r="G404">
        <v>196524500</v>
      </c>
      <c r="H404">
        <v>60.861251831054688</v>
      </c>
      <c r="I404">
        <v>0</v>
      </c>
      <c r="J404" t="s">
        <v>661</v>
      </c>
      <c r="K404" s="22">
        <v>45530</v>
      </c>
      <c r="M404">
        <v>-1.6857643127441411</v>
      </c>
      <c r="N404">
        <v>-3.4895826251357343E-2</v>
      </c>
      <c r="O404">
        <v>-2.839996337890625</v>
      </c>
      <c r="P404">
        <v>1.819999694824219</v>
      </c>
      <c r="Q404" t="s">
        <v>587</v>
      </c>
      <c r="R404">
        <v>2023</v>
      </c>
    </row>
    <row r="405" spans="1:18" hidden="1" x14ac:dyDescent="0.35">
      <c r="A405" t="s">
        <v>662</v>
      </c>
      <c r="B405" s="22">
        <v>45078</v>
      </c>
      <c r="C405">
        <v>64.459999084472656</v>
      </c>
      <c r="D405">
        <v>66.459999084472656</v>
      </c>
      <c r="E405">
        <v>62.880001068115227</v>
      </c>
      <c r="F405">
        <v>63.950000762939453</v>
      </c>
      <c r="G405">
        <v>171658800</v>
      </c>
      <c r="H405">
        <v>60.398464202880859</v>
      </c>
      <c r="I405">
        <v>0</v>
      </c>
      <c r="J405" t="s">
        <v>661</v>
      </c>
      <c r="K405" s="22">
        <v>45530</v>
      </c>
      <c r="M405">
        <v>-0.46278762817382813</v>
      </c>
      <c r="N405">
        <v>-7.6039984466534927E-3</v>
      </c>
      <c r="O405">
        <v>-0.50999832153320313</v>
      </c>
      <c r="P405">
        <v>2</v>
      </c>
      <c r="Q405" t="s">
        <v>589</v>
      </c>
      <c r="R405">
        <v>2023</v>
      </c>
    </row>
    <row r="406" spans="1:18" hidden="1" x14ac:dyDescent="0.35">
      <c r="A406" t="s">
        <v>662</v>
      </c>
      <c r="B406" s="22">
        <v>45108</v>
      </c>
      <c r="C406">
        <v>63.939998626708977</v>
      </c>
      <c r="D406">
        <v>65.379997253417969</v>
      </c>
      <c r="E406">
        <v>60.049999237060547</v>
      </c>
      <c r="F406">
        <v>62.189998626708977</v>
      </c>
      <c r="G406">
        <v>183971900</v>
      </c>
      <c r="H406">
        <v>58.736202239990227</v>
      </c>
      <c r="I406">
        <v>0.56999999999999995</v>
      </c>
      <c r="J406" t="s">
        <v>661</v>
      </c>
      <c r="K406" s="22">
        <v>45530</v>
      </c>
      <c r="M406">
        <v>-1.662261962890625</v>
      </c>
      <c r="N406">
        <v>-2.752153424915094E-2</v>
      </c>
      <c r="O406">
        <v>-1.75</v>
      </c>
      <c r="P406">
        <v>1.4399986267089839</v>
      </c>
      <c r="Q406" t="s">
        <v>584</v>
      </c>
      <c r="R406">
        <v>2023</v>
      </c>
    </row>
    <row r="407" spans="1:18" hidden="1" x14ac:dyDescent="0.35">
      <c r="A407" t="s">
        <v>662</v>
      </c>
      <c r="B407" s="22">
        <v>45139</v>
      </c>
      <c r="C407">
        <v>62.319999694824219</v>
      </c>
      <c r="D407">
        <v>63.409999847412109</v>
      </c>
      <c r="E407">
        <v>59.709999084472663</v>
      </c>
      <c r="F407">
        <v>61.650001525878913</v>
      </c>
      <c r="G407">
        <v>258001000</v>
      </c>
      <c r="H407">
        <v>58.743480682373047</v>
      </c>
      <c r="I407">
        <v>0</v>
      </c>
      <c r="J407" t="s">
        <v>661</v>
      </c>
      <c r="K407" s="22">
        <v>45530</v>
      </c>
      <c r="M407">
        <v>7.2784423828125E-3</v>
      </c>
      <c r="N407">
        <v>-8.6830215911624098E-3</v>
      </c>
      <c r="O407">
        <v>-0.6699981689453125</v>
      </c>
      <c r="P407">
        <v>1.0900001525878911</v>
      </c>
      <c r="Q407" t="s">
        <v>588</v>
      </c>
      <c r="R407">
        <v>2023</v>
      </c>
    </row>
    <row r="408" spans="1:18" hidden="1" x14ac:dyDescent="0.35">
      <c r="A408" t="s">
        <v>662</v>
      </c>
      <c r="B408" s="22">
        <v>45170</v>
      </c>
      <c r="C408">
        <v>61.830001831054688</v>
      </c>
      <c r="D408">
        <v>62.400001525878913</v>
      </c>
      <c r="E408">
        <v>57.610000610351563</v>
      </c>
      <c r="F408">
        <v>58.040000915527337</v>
      </c>
      <c r="G408">
        <v>234203800</v>
      </c>
      <c r="H408">
        <v>55.303672790527337</v>
      </c>
      <c r="I408">
        <v>0</v>
      </c>
      <c r="J408" t="s">
        <v>661</v>
      </c>
      <c r="K408" s="22">
        <v>45530</v>
      </c>
      <c r="M408">
        <v>-3.4398078918457031</v>
      </c>
      <c r="N408">
        <v>-5.8556375036522668E-2</v>
      </c>
      <c r="O408">
        <v>-3.7900009155273442</v>
      </c>
      <c r="P408">
        <v>0.56999969482421875</v>
      </c>
      <c r="Q408" t="s">
        <v>586</v>
      </c>
      <c r="R408">
        <v>2023</v>
      </c>
    </row>
    <row r="409" spans="1:18" hidden="1" x14ac:dyDescent="0.35">
      <c r="A409" t="s">
        <v>662</v>
      </c>
      <c r="B409" s="22">
        <v>45200</v>
      </c>
      <c r="C409">
        <v>58.009998321533203</v>
      </c>
      <c r="D409">
        <v>58.060001373291023</v>
      </c>
      <c r="E409">
        <v>49.490001678466797</v>
      </c>
      <c r="F409">
        <v>51.529998779296882</v>
      </c>
      <c r="G409">
        <v>282896400</v>
      </c>
      <c r="H409">
        <v>49.1005859375</v>
      </c>
      <c r="I409">
        <v>0.56999999999999995</v>
      </c>
      <c r="J409" t="s">
        <v>661</v>
      </c>
      <c r="K409" s="22">
        <v>45530</v>
      </c>
      <c r="M409">
        <v>-6.2030868530273438</v>
      </c>
      <c r="N409">
        <v>-0.11216405984736739</v>
      </c>
      <c r="O409">
        <v>-6.4799995422363281</v>
      </c>
      <c r="P409">
        <v>5.00030517578125E-2</v>
      </c>
      <c r="Q409" t="s">
        <v>585</v>
      </c>
      <c r="R409">
        <v>2023</v>
      </c>
    </row>
    <row r="410" spans="1:18" hidden="1" x14ac:dyDescent="0.35">
      <c r="A410" t="s">
        <v>662</v>
      </c>
      <c r="B410" s="22">
        <v>45231</v>
      </c>
      <c r="C410">
        <v>51.860000610351563</v>
      </c>
      <c r="D410">
        <v>53.549999237060547</v>
      </c>
      <c r="E410">
        <v>48.25</v>
      </c>
      <c r="F410">
        <v>49.380001068115227</v>
      </c>
      <c r="G410">
        <v>297138100</v>
      </c>
      <c r="H410">
        <v>47.529514312744141</v>
      </c>
      <c r="I410">
        <v>0</v>
      </c>
      <c r="J410" t="s">
        <v>661</v>
      </c>
      <c r="K410" s="22">
        <v>45530</v>
      </c>
      <c r="M410">
        <v>-1.5710716247558589</v>
      </c>
      <c r="N410">
        <v>-4.1723224570411672E-2</v>
      </c>
      <c r="O410">
        <v>-2.4799995422363281</v>
      </c>
      <c r="P410">
        <v>1.6899986267089839</v>
      </c>
      <c r="Q410" t="s">
        <v>583</v>
      </c>
      <c r="R410">
        <v>2023</v>
      </c>
    </row>
    <row r="411" spans="1:18" hidden="1" x14ac:dyDescent="0.35">
      <c r="A411" t="s">
        <v>662</v>
      </c>
      <c r="B411" s="22">
        <v>45261</v>
      </c>
      <c r="C411">
        <v>49.400001525878913</v>
      </c>
      <c r="D411">
        <v>53.479999542236328</v>
      </c>
      <c r="E411">
        <v>48.930000305175781</v>
      </c>
      <c r="F411">
        <v>51.310001373291023</v>
      </c>
      <c r="G411">
        <v>315410300</v>
      </c>
      <c r="H411">
        <v>49.387184143066413</v>
      </c>
      <c r="I411">
        <v>0</v>
      </c>
      <c r="J411" t="s">
        <v>661</v>
      </c>
      <c r="K411" s="22">
        <v>45530</v>
      </c>
      <c r="M411">
        <v>1.8576698303222661</v>
      </c>
      <c r="N411">
        <v>3.90846549904591E-2</v>
      </c>
      <c r="O411">
        <v>1.9099998474121089</v>
      </c>
      <c r="P411">
        <v>4.0799980163574219</v>
      </c>
      <c r="Q411" t="s">
        <v>586</v>
      </c>
      <c r="R411">
        <v>2023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CA76-988B-4498-95DC-A292C743FE62}">
  <sheetPr>
    <tabColor theme="6" tint="0.79998168889431442"/>
  </sheetPr>
  <dimension ref="A1:O49"/>
  <sheetViews>
    <sheetView workbookViewId="0">
      <selection activeCell="K2" sqref="K2"/>
    </sheetView>
  </sheetViews>
  <sheetFormatPr defaultRowHeight="14.5" x14ac:dyDescent="0.35"/>
  <cols>
    <col min="1" max="1" width="8.08984375" bestFit="1" customWidth="1"/>
    <col min="2" max="2" width="12" bestFit="1" customWidth="1"/>
    <col min="3" max="6" width="11.81640625" bestFit="1" customWidth="1"/>
    <col min="7" max="7" width="9.26953125" bestFit="1" customWidth="1"/>
    <col min="8" max="8" width="11.81640625" bestFit="1" customWidth="1"/>
    <col min="9" max="9" width="13.1796875" bestFit="1" customWidth="1"/>
    <col min="10" max="10" width="11.1796875" bestFit="1" customWidth="1"/>
    <col min="11" max="11" width="16" bestFit="1" customWidth="1"/>
    <col min="12" max="12" width="16.453125" bestFit="1" customWidth="1"/>
    <col min="13" max="13" width="15.81640625" bestFit="1" customWidth="1"/>
    <col min="14" max="14" width="14.26953125" bestFit="1" customWidth="1"/>
    <col min="15" max="15" width="16.7265625" bestFit="1" customWidth="1"/>
  </cols>
  <sheetData>
    <row r="1" spans="1:15" x14ac:dyDescent="0.35">
      <c r="A1" t="s">
        <v>211</v>
      </c>
      <c r="B1" t="s">
        <v>569</v>
      </c>
      <c r="C1" t="s">
        <v>570</v>
      </c>
      <c r="D1" t="s">
        <v>571</v>
      </c>
      <c r="E1" t="s">
        <v>572</v>
      </c>
      <c r="F1" t="s">
        <v>573</v>
      </c>
      <c r="G1" t="s">
        <v>574</v>
      </c>
      <c r="H1" t="s">
        <v>575</v>
      </c>
      <c r="I1" t="s">
        <v>139</v>
      </c>
      <c r="J1" t="s">
        <v>576</v>
      </c>
      <c r="K1" t="s">
        <v>577</v>
      </c>
      <c r="L1" t="s">
        <v>578</v>
      </c>
      <c r="M1" t="s">
        <v>579</v>
      </c>
      <c r="N1" t="s">
        <v>580</v>
      </c>
      <c r="O1" t="s">
        <v>581</v>
      </c>
    </row>
    <row r="2" spans="1:15" x14ac:dyDescent="0.35">
      <c r="A2" t="s">
        <v>592</v>
      </c>
      <c r="B2" s="22">
        <v>43831</v>
      </c>
      <c r="C2">
        <v>1.9029999971389771</v>
      </c>
      <c r="D2">
        <v>1.9029999971389771</v>
      </c>
      <c r="E2">
        <v>1.5119999647140501</v>
      </c>
      <c r="F2">
        <v>1.5199999809265139</v>
      </c>
      <c r="G2">
        <v>0</v>
      </c>
      <c r="H2">
        <v>1.5199999809265139</v>
      </c>
      <c r="I2" t="s">
        <v>593</v>
      </c>
      <c r="J2" s="22">
        <v>45460</v>
      </c>
      <c r="L2">
        <v>-0.38300001621246338</v>
      </c>
      <c r="M2">
        <v>0</v>
      </c>
      <c r="N2" t="s">
        <v>583</v>
      </c>
      <c r="O2">
        <v>2020</v>
      </c>
    </row>
    <row r="3" spans="1:15" x14ac:dyDescent="0.35">
      <c r="A3" t="s">
        <v>592</v>
      </c>
      <c r="B3" s="22">
        <v>43862</v>
      </c>
      <c r="C3">
        <v>1.554999947547913</v>
      </c>
      <c r="D3">
        <v>1.6679999828338621</v>
      </c>
      <c r="E3">
        <v>1.126999974250793</v>
      </c>
      <c r="F3">
        <v>1.126999974250793</v>
      </c>
      <c r="G3">
        <v>0</v>
      </c>
      <c r="H3">
        <v>1.126999974250793</v>
      </c>
      <c r="I3" t="s">
        <v>593</v>
      </c>
      <c r="J3" s="22">
        <v>45460</v>
      </c>
      <c r="K3">
        <v>-0.2585526392152766</v>
      </c>
      <c r="L3">
        <v>-0.42799997329711909</v>
      </c>
      <c r="M3">
        <v>0.11300003528594969</v>
      </c>
      <c r="N3" t="s">
        <v>584</v>
      </c>
      <c r="O3">
        <v>2020</v>
      </c>
    </row>
    <row r="4" spans="1:15" x14ac:dyDescent="0.35">
      <c r="A4" t="s">
        <v>592</v>
      </c>
      <c r="B4" s="22">
        <v>43891</v>
      </c>
      <c r="C4">
        <v>1.067000031471252</v>
      </c>
      <c r="D4">
        <v>1.266000032424927</v>
      </c>
      <c r="E4">
        <v>0.39800000190734858</v>
      </c>
      <c r="F4">
        <v>0.69800001382827759</v>
      </c>
      <c r="G4">
        <v>0</v>
      </c>
      <c r="H4">
        <v>0.69800001382827759</v>
      </c>
      <c r="I4" t="s">
        <v>593</v>
      </c>
      <c r="J4" s="22">
        <v>45460</v>
      </c>
      <c r="K4">
        <v>-0.38065658404979669</v>
      </c>
      <c r="L4">
        <v>-0.36900001764297491</v>
      </c>
      <c r="M4">
        <v>0.19900000095367429</v>
      </c>
      <c r="N4" t="s">
        <v>585</v>
      </c>
      <c r="O4">
        <v>2020</v>
      </c>
    </row>
    <row r="5" spans="1:15" x14ac:dyDescent="0.35">
      <c r="A5" t="s">
        <v>592</v>
      </c>
      <c r="B5" s="22">
        <v>43922</v>
      </c>
      <c r="C5">
        <v>0.61000001430511475</v>
      </c>
      <c r="D5">
        <v>0.7839999794960022</v>
      </c>
      <c r="E5">
        <v>0.5429999828338623</v>
      </c>
      <c r="F5">
        <v>0.62199997901916504</v>
      </c>
      <c r="G5">
        <v>0</v>
      </c>
      <c r="H5">
        <v>0.62199997901916504</v>
      </c>
      <c r="I5" t="s">
        <v>593</v>
      </c>
      <c r="J5" s="22">
        <v>45460</v>
      </c>
      <c r="K5">
        <v>-0.1088825692026564</v>
      </c>
      <c r="L5">
        <v>1.1999964714050289E-2</v>
      </c>
      <c r="M5">
        <v>0.17399996519088751</v>
      </c>
      <c r="N5" t="s">
        <v>583</v>
      </c>
      <c r="O5">
        <v>2020</v>
      </c>
    </row>
    <row r="6" spans="1:15" x14ac:dyDescent="0.35">
      <c r="A6" t="s">
        <v>592</v>
      </c>
      <c r="B6" s="22">
        <v>43952</v>
      </c>
      <c r="C6">
        <v>0.61299997568130493</v>
      </c>
      <c r="D6">
        <v>0.74500000476837158</v>
      </c>
      <c r="E6">
        <v>0.5899999737739563</v>
      </c>
      <c r="F6">
        <v>0.64800000190734863</v>
      </c>
      <c r="G6">
        <v>0</v>
      </c>
      <c r="H6">
        <v>0.64800000190734863</v>
      </c>
      <c r="I6" t="s">
        <v>593</v>
      </c>
      <c r="J6" s="22">
        <v>45460</v>
      </c>
      <c r="K6">
        <v>4.180068129452863E-2</v>
      </c>
      <c r="L6">
        <v>3.5000026226043701E-2</v>
      </c>
      <c r="M6">
        <v>0.13200002908706671</v>
      </c>
      <c r="N6" t="s">
        <v>586</v>
      </c>
      <c r="O6">
        <v>2020</v>
      </c>
    </row>
    <row r="7" spans="1:15" x14ac:dyDescent="0.35">
      <c r="A7" t="s">
        <v>592</v>
      </c>
      <c r="B7" s="22">
        <v>43983</v>
      </c>
      <c r="C7">
        <v>0.66699999570846558</v>
      </c>
      <c r="D7">
        <v>0.9570000171661377</v>
      </c>
      <c r="E7">
        <v>0.61900001764297485</v>
      </c>
      <c r="F7">
        <v>0.65299999713897705</v>
      </c>
      <c r="G7">
        <v>0</v>
      </c>
      <c r="H7">
        <v>0.65299999713897705</v>
      </c>
      <c r="I7" t="s">
        <v>593</v>
      </c>
      <c r="J7" s="22">
        <v>45460</v>
      </c>
      <c r="K7">
        <v>7.716042001406187E-3</v>
      </c>
      <c r="L7">
        <v>-1.3999998569488531E-2</v>
      </c>
      <c r="M7">
        <v>0.29000002145767212</v>
      </c>
      <c r="N7" t="s">
        <v>587</v>
      </c>
      <c r="O7">
        <v>2020</v>
      </c>
    </row>
    <row r="8" spans="1:15" x14ac:dyDescent="0.35">
      <c r="A8" t="s">
        <v>592</v>
      </c>
      <c r="B8" s="22">
        <v>44013</v>
      </c>
      <c r="C8">
        <v>0.6809999942779541</v>
      </c>
      <c r="D8">
        <v>0.72399997711181641</v>
      </c>
      <c r="E8">
        <v>0.52799999713897705</v>
      </c>
      <c r="F8">
        <v>0.53600001335144043</v>
      </c>
      <c r="G8">
        <v>0</v>
      </c>
      <c r="H8">
        <v>0.53600001335144043</v>
      </c>
      <c r="I8" t="s">
        <v>593</v>
      </c>
      <c r="J8" s="22">
        <v>45460</v>
      </c>
      <c r="K8">
        <v>-0.1791730234305586</v>
      </c>
      <c r="L8">
        <v>-0.1449999809265137</v>
      </c>
      <c r="M8">
        <v>4.2999982833862298E-2</v>
      </c>
      <c r="N8" t="s">
        <v>583</v>
      </c>
      <c r="O8">
        <v>2020</v>
      </c>
    </row>
    <row r="9" spans="1:15" x14ac:dyDescent="0.35">
      <c r="A9" t="s">
        <v>592</v>
      </c>
      <c r="B9" s="22">
        <v>44044</v>
      </c>
      <c r="C9">
        <v>0.55900001525878906</v>
      </c>
      <c r="D9">
        <v>0.74599999189376831</v>
      </c>
      <c r="E9">
        <v>0.50400000810623169</v>
      </c>
      <c r="F9">
        <v>0.69300001859664917</v>
      </c>
      <c r="G9">
        <v>0</v>
      </c>
      <c r="H9">
        <v>0.69300001859664917</v>
      </c>
      <c r="I9" t="s">
        <v>593</v>
      </c>
      <c r="J9" s="22">
        <v>45460</v>
      </c>
      <c r="K9">
        <v>0.29291045025080659</v>
      </c>
      <c r="L9">
        <v>0.13400000333786011</v>
      </c>
      <c r="M9">
        <v>0.18699997663497919</v>
      </c>
      <c r="N9" t="s">
        <v>584</v>
      </c>
      <c r="O9">
        <v>2020</v>
      </c>
    </row>
    <row r="10" spans="1:15" x14ac:dyDescent="0.35">
      <c r="A10" t="s">
        <v>592</v>
      </c>
      <c r="B10" s="22">
        <v>44075</v>
      </c>
      <c r="C10">
        <v>0.72000002861022949</v>
      </c>
      <c r="D10">
        <v>0.72899997234344482</v>
      </c>
      <c r="E10">
        <v>0.60600000619888306</v>
      </c>
      <c r="F10">
        <v>0.67699998617172241</v>
      </c>
      <c r="G10">
        <v>0</v>
      </c>
      <c r="H10">
        <v>0.67699998617172241</v>
      </c>
      <c r="I10" t="s">
        <v>593</v>
      </c>
      <c r="J10" s="22">
        <v>45460</v>
      </c>
      <c r="K10">
        <v>-2.308806925767104E-2</v>
      </c>
      <c r="L10">
        <v>-4.300004243850708E-2</v>
      </c>
      <c r="M10">
        <v>8.999943733215332E-3</v>
      </c>
      <c r="N10" t="s">
        <v>588</v>
      </c>
      <c r="O10">
        <v>2020</v>
      </c>
    </row>
    <row r="11" spans="1:15" x14ac:dyDescent="0.35">
      <c r="A11" t="s">
        <v>592</v>
      </c>
      <c r="B11" s="22">
        <v>44105</v>
      </c>
      <c r="C11">
        <v>0.70099997520446777</v>
      </c>
      <c r="D11">
        <v>0.87199997901916504</v>
      </c>
      <c r="E11">
        <v>0.65299999713897705</v>
      </c>
      <c r="F11">
        <v>0.86000001430511475</v>
      </c>
      <c r="G11">
        <v>0</v>
      </c>
      <c r="H11">
        <v>0.86000001430511475</v>
      </c>
      <c r="I11" t="s">
        <v>593</v>
      </c>
      <c r="J11" s="22">
        <v>45460</v>
      </c>
      <c r="K11">
        <v>0.27031023910091201</v>
      </c>
      <c r="L11">
        <v>0.159000039100647</v>
      </c>
      <c r="M11">
        <v>0.17100000381469729</v>
      </c>
      <c r="N11" t="s">
        <v>589</v>
      </c>
      <c r="O11">
        <v>2020</v>
      </c>
    </row>
    <row r="12" spans="1:15" x14ac:dyDescent="0.35">
      <c r="A12" t="s">
        <v>592</v>
      </c>
      <c r="B12" s="22">
        <v>44136</v>
      </c>
      <c r="C12">
        <v>0.85399997234344482</v>
      </c>
      <c r="D12">
        <v>0.97500002384185791</v>
      </c>
      <c r="E12">
        <v>0.74800002574920654</v>
      </c>
      <c r="F12">
        <v>0.84399998188018799</v>
      </c>
      <c r="G12">
        <v>0</v>
      </c>
      <c r="H12">
        <v>0.84399998188018799</v>
      </c>
      <c r="I12" t="s">
        <v>593</v>
      </c>
      <c r="J12" s="22">
        <v>45460</v>
      </c>
      <c r="K12">
        <v>-1.860468855672626E-2</v>
      </c>
      <c r="L12">
        <v>-9.9999904632568359E-3</v>
      </c>
      <c r="M12">
        <v>0.1210000514984131</v>
      </c>
      <c r="N12" t="s">
        <v>585</v>
      </c>
      <c r="O12">
        <v>2020</v>
      </c>
    </row>
    <row r="13" spans="1:15" x14ac:dyDescent="0.35">
      <c r="A13" t="s">
        <v>592</v>
      </c>
      <c r="B13" s="22">
        <v>44166</v>
      </c>
      <c r="C13">
        <v>0.85699999332427979</v>
      </c>
      <c r="D13">
        <v>0.98600000143051147</v>
      </c>
      <c r="E13">
        <v>0.85699999332427979</v>
      </c>
      <c r="F13">
        <v>0.91699999570846558</v>
      </c>
      <c r="G13">
        <v>0</v>
      </c>
      <c r="H13">
        <v>0.91699999570846558</v>
      </c>
      <c r="I13" t="s">
        <v>593</v>
      </c>
      <c r="J13" s="22">
        <v>45460</v>
      </c>
      <c r="K13">
        <v>8.6492909236389526E-2</v>
      </c>
      <c r="L13">
        <v>6.0000002384185791E-2</v>
      </c>
      <c r="M13">
        <v>0.12900000810623169</v>
      </c>
      <c r="N13" t="s">
        <v>588</v>
      </c>
      <c r="O13">
        <v>2020</v>
      </c>
    </row>
    <row r="14" spans="1:15" x14ac:dyDescent="0.35">
      <c r="A14" t="s">
        <v>592</v>
      </c>
      <c r="B14" s="22">
        <v>44197</v>
      </c>
      <c r="C14">
        <v>0.93500000238418579</v>
      </c>
      <c r="D14">
        <v>1.187000036239624</v>
      </c>
      <c r="E14">
        <v>0.90700000524520874</v>
      </c>
      <c r="F14">
        <v>1.093000054359436</v>
      </c>
      <c r="G14">
        <v>0</v>
      </c>
      <c r="H14">
        <v>1.093000054359436</v>
      </c>
      <c r="I14" t="s">
        <v>593</v>
      </c>
      <c r="J14" s="22">
        <v>45460</v>
      </c>
      <c r="K14">
        <v>0.19193027205522981</v>
      </c>
      <c r="L14">
        <v>0.15800005197525019</v>
      </c>
      <c r="M14">
        <v>0.25200003385543818</v>
      </c>
      <c r="N14" t="s">
        <v>586</v>
      </c>
      <c r="O14">
        <v>2021</v>
      </c>
    </row>
    <row r="15" spans="1:15" x14ac:dyDescent="0.35">
      <c r="A15" t="s">
        <v>592</v>
      </c>
      <c r="B15" s="22">
        <v>44228</v>
      </c>
      <c r="C15">
        <v>1.078999996185303</v>
      </c>
      <c r="D15">
        <v>1.6139999628067021</v>
      </c>
      <c r="E15">
        <v>1.059999942779541</v>
      </c>
      <c r="F15">
        <v>1.4600000381469731</v>
      </c>
      <c r="G15">
        <v>0</v>
      </c>
      <c r="H15">
        <v>1.4600000381469731</v>
      </c>
      <c r="I15" t="s">
        <v>593</v>
      </c>
      <c r="J15" s="22">
        <v>45460</v>
      </c>
      <c r="K15">
        <v>0.33577307002296602</v>
      </c>
      <c r="L15">
        <v>0.38100004196166992</v>
      </c>
      <c r="M15">
        <v>0.53499996662139893</v>
      </c>
      <c r="N15" t="s">
        <v>587</v>
      </c>
      <c r="O15">
        <v>2021</v>
      </c>
    </row>
    <row r="16" spans="1:15" x14ac:dyDescent="0.35">
      <c r="A16" t="s">
        <v>592</v>
      </c>
      <c r="B16" s="22">
        <v>44256</v>
      </c>
      <c r="C16">
        <v>1.450999975204468</v>
      </c>
      <c r="D16">
        <v>1.764999985694885</v>
      </c>
      <c r="E16">
        <v>1.4029999971389771</v>
      </c>
      <c r="F16">
        <v>1.7460000514984131</v>
      </c>
      <c r="G16">
        <v>0</v>
      </c>
      <c r="H16">
        <v>1.7460000514984131</v>
      </c>
      <c r="I16" t="s">
        <v>593</v>
      </c>
      <c r="J16" s="22">
        <v>45460</v>
      </c>
      <c r="K16">
        <v>0.1958904149854892</v>
      </c>
      <c r="L16">
        <v>0.29500007629394531</v>
      </c>
      <c r="M16">
        <v>0.31400001049041748</v>
      </c>
      <c r="N16" t="s">
        <v>587</v>
      </c>
      <c r="O16">
        <v>2021</v>
      </c>
    </row>
    <row r="17" spans="1:15" x14ac:dyDescent="0.35">
      <c r="A17" t="s">
        <v>592</v>
      </c>
      <c r="B17" s="22">
        <v>44287</v>
      </c>
      <c r="C17">
        <v>1.705000042915344</v>
      </c>
      <c r="D17">
        <v>1.745000004768372</v>
      </c>
      <c r="E17">
        <v>1.529000043869019</v>
      </c>
      <c r="F17">
        <v>1.6310000419616699</v>
      </c>
      <c r="G17">
        <v>0</v>
      </c>
      <c r="H17">
        <v>1.6310000419616699</v>
      </c>
      <c r="I17" t="s">
        <v>593</v>
      </c>
      <c r="J17" s="22">
        <v>45460</v>
      </c>
      <c r="K17">
        <v>-6.5864837425434475E-2</v>
      </c>
      <c r="L17">
        <v>-7.4000000953674316E-2</v>
      </c>
      <c r="M17">
        <v>3.9999961853027337E-2</v>
      </c>
      <c r="N17" t="s">
        <v>589</v>
      </c>
      <c r="O17">
        <v>2021</v>
      </c>
    </row>
    <row r="18" spans="1:15" x14ac:dyDescent="0.35">
      <c r="A18" t="s">
        <v>592</v>
      </c>
      <c r="B18" s="22">
        <v>44317</v>
      </c>
      <c r="C18">
        <v>1.651000022888184</v>
      </c>
      <c r="D18">
        <v>1.700000047683716</v>
      </c>
      <c r="E18">
        <v>1.470999956130981</v>
      </c>
      <c r="F18">
        <v>1.580999970436096</v>
      </c>
      <c r="G18">
        <v>0</v>
      </c>
      <c r="H18">
        <v>1.580999970436096</v>
      </c>
      <c r="I18" t="s">
        <v>593</v>
      </c>
      <c r="J18" s="22">
        <v>45460</v>
      </c>
      <c r="K18">
        <v>-3.0656082304839519E-2</v>
      </c>
      <c r="L18">
        <v>-7.0000052452087402E-2</v>
      </c>
      <c r="M18">
        <v>4.9000024795532227E-2</v>
      </c>
      <c r="N18" t="s">
        <v>584</v>
      </c>
      <c r="O18">
        <v>2021</v>
      </c>
    </row>
    <row r="19" spans="1:15" x14ac:dyDescent="0.35">
      <c r="A19" t="s">
        <v>592</v>
      </c>
      <c r="B19" s="22">
        <v>44348</v>
      </c>
      <c r="C19">
        <v>1.625</v>
      </c>
      <c r="D19">
        <v>1.6390000581741331</v>
      </c>
      <c r="E19">
        <v>1.437999963760376</v>
      </c>
      <c r="F19">
        <v>1.442999958992004</v>
      </c>
      <c r="G19">
        <v>0</v>
      </c>
      <c r="H19">
        <v>1.442999958992004</v>
      </c>
      <c r="I19" t="s">
        <v>593</v>
      </c>
      <c r="J19" s="22">
        <v>45460</v>
      </c>
      <c r="K19">
        <v>-8.7286536384960534E-2</v>
      </c>
      <c r="L19">
        <v>-0.18200004100799561</v>
      </c>
      <c r="M19">
        <v>1.4000058174133301E-2</v>
      </c>
      <c r="N19" t="s">
        <v>588</v>
      </c>
      <c r="O19">
        <v>2021</v>
      </c>
    </row>
    <row r="20" spans="1:15" x14ac:dyDescent="0.35">
      <c r="A20" t="s">
        <v>592</v>
      </c>
      <c r="B20" s="22">
        <v>44378</v>
      </c>
      <c r="C20">
        <v>1.470999956130981</v>
      </c>
      <c r="D20">
        <v>1.485000014305115</v>
      </c>
      <c r="E20">
        <v>1.128000020980835</v>
      </c>
      <c r="F20">
        <v>1.2389999628067021</v>
      </c>
      <c r="G20">
        <v>0</v>
      </c>
      <c r="H20">
        <v>1.2389999628067021</v>
      </c>
      <c r="I20" t="s">
        <v>593</v>
      </c>
      <c r="J20" s="22">
        <v>45460</v>
      </c>
      <c r="K20">
        <v>-0.14137214274614759</v>
      </c>
      <c r="L20">
        <v>-0.23199999332427981</v>
      </c>
      <c r="M20">
        <v>1.4000058174133301E-2</v>
      </c>
      <c r="N20" t="s">
        <v>589</v>
      </c>
      <c r="O20">
        <v>2021</v>
      </c>
    </row>
    <row r="21" spans="1:15" x14ac:dyDescent="0.35">
      <c r="A21" t="s">
        <v>592</v>
      </c>
      <c r="B21" s="22">
        <v>44409</v>
      </c>
      <c r="C21">
        <v>1.2309999465942381</v>
      </c>
      <c r="D21">
        <v>1.3789999485015869</v>
      </c>
      <c r="E21">
        <v>1.1289999485015869</v>
      </c>
      <c r="F21">
        <v>1.3040000200271611</v>
      </c>
      <c r="G21">
        <v>0</v>
      </c>
      <c r="H21">
        <v>1.3040000200271611</v>
      </c>
      <c r="I21" t="s">
        <v>593</v>
      </c>
      <c r="J21" s="22">
        <v>45460</v>
      </c>
      <c r="K21">
        <v>5.2461710388767679E-2</v>
      </c>
      <c r="L21">
        <v>7.3000073432922363E-2</v>
      </c>
      <c r="M21">
        <v>0.14800000190734861</v>
      </c>
      <c r="N21" t="s">
        <v>585</v>
      </c>
      <c r="O21">
        <v>2021</v>
      </c>
    </row>
    <row r="22" spans="1:15" x14ac:dyDescent="0.35">
      <c r="A22" t="s">
        <v>592</v>
      </c>
      <c r="B22" s="22">
        <v>44440</v>
      </c>
      <c r="C22">
        <v>1.310999989509583</v>
      </c>
      <c r="D22">
        <v>1.567000031471252</v>
      </c>
      <c r="E22">
        <v>1.2599999904632571</v>
      </c>
      <c r="F22">
        <v>1.529000043869019</v>
      </c>
      <c r="G22">
        <v>0</v>
      </c>
      <c r="H22">
        <v>1.529000043869019</v>
      </c>
      <c r="I22" t="s">
        <v>593</v>
      </c>
      <c r="J22" s="22">
        <v>45460</v>
      </c>
      <c r="K22">
        <v>0.17254602790356671</v>
      </c>
      <c r="L22">
        <v>0.21800005435943601</v>
      </c>
      <c r="M22">
        <v>0.25600004196166992</v>
      </c>
      <c r="N22" t="s">
        <v>583</v>
      </c>
      <c r="O22">
        <v>2021</v>
      </c>
    </row>
    <row r="23" spans="1:15" x14ac:dyDescent="0.35">
      <c r="A23" t="s">
        <v>592</v>
      </c>
      <c r="B23" s="22">
        <v>44470</v>
      </c>
      <c r="C23">
        <v>1.4960000514984131</v>
      </c>
      <c r="D23">
        <v>1.6909999847412109</v>
      </c>
      <c r="E23">
        <v>1.4630000591278081</v>
      </c>
      <c r="F23">
        <v>1.557000041007996</v>
      </c>
      <c r="G23">
        <v>0</v>
      </c>
      <c r="H23">
        <v>1.557000041007996</v>
      </c>
      <c r="I23" t="s">
        <v>593</v>
      </c>
      <c r="J23" s="22">
        <v>45460</v>
      </c>
      <c r="K23">
        <v>1.8312620232583621E-2</v>
      </c>
      <c r="L23">
        <v>6.099998950958252E-2</v>
      </c>
      <c r="M23">
        <v>0.19499993324279791</v>
      </c>
      <c r="N23" t="s">
        <v>586</v>
      </c>
      <c r="O23">
        <v>2021</v>
      </c>
    </row>
    <row r="24" spans="1:15" x14ac:dyDescent="0.35">
      <c r="A24" t="s">
        <v>592</v>
      </c>
      <c r="B24" s="22">
        <v>44501</v>
      </c>
      <c r="C24">
        <v>1.5870000123977659</v>
      </c>
      <c r="D24">
        <v>1.692999958992004</v>
      </c>
      <c r="E24">
        <v>1.4119999408721919</v>
      </c>
      <c r="F24">
        <v>1.442999958992004</v>
      </c>
      <c r="G24">
        <v>0</v>
      </c>
      <c r="H24">
        <v>1.442999958992004</v>
      </c>
      <c r="I24" t="s">
        <v>593</v>
      </c>
      <c r="J24" s="22">
        <v>45460</v>
      </c>
      <c r="K24">
        <v>-7.3217777144172769E-2</v>
      </c>
      <c r="L24">
        <v>-0.14400005340576169</v>
      </c>
      <c r="M24">
        <v>0.1059999465942383</v>
      </c>
      <c r="N24" t="s">
        <v>587</v>
      </c>
      <c r="O24">
        <v>2021</v>
      </c>
    </row>
    <row r="25" spans="1:15" x14ac:dyDescent="0.35">
      <c r="A25" t="s">
        <v>592</v>
      </c>
      <c r="B25" s="22">
        <v>44531</v>
      </c>
      <c r="C25">
        <v>1.48199999332428</v>
      </c>
      <c r="D25">
        <v>1.557999968528748</v>
      </c>
      <c r="E25">
        <v>1.343000054359436</v>
      </c>
      <c r="F25">
        <v>1.5119999647140501</v>
      </c>
      <c r="G25">
        <v>0</v>
      </c>
      <c r="H25">
        <v>1.5119999647140501</v>
      </c>
      <c r="I25" t="s">
        <v>593</v>
      </c>
      <c r="J25" s="22">
        <v>45460</v>
      </c>
      <c r="K25">
        <v>4.7817053141321793E-2</v>
      </c>
      <c r="L25">
        <v>2.9999971389770511E-2</v>
      </c>
      <c r="M25">
        <v>7.5999975204467773E-2</v>
      </c>
      <c r="N25" t="s">
        <v>583</v>
      </c>
      <c r="O25">
        <v>2021</v>
      </c>
    </row>
    <row r="26" spans="1:15" x14ac:dyDescent="0.35">
      <c r="A26" t="s">
        <v>592</v>
      </c>
      <c r="B26" s="22">
        <v>44562</v>
      </c>
      <c r="C26">
        <v>1.534000039100647</v>
      </c>
      <c r="D26">
        <v>1.8739999532699581</v>
      </c>
      <c r="E26">
        <v>1.532999992370605</v>
      </c>
      <c r="F26">
        <v>1.781999945640564</v>
      </c>
      <c r="G26">
        <v>0</v>
      </c>
      <c r="H26">
        <v>1.781999945640564</v>
      </c>
      <c r="I26" t="s">
        <v>593</v>
      </c>
      <c r="J26" s="22">
        <v>45460</v>
      </c>
      <c r="K26">
        <v>0.17857142012405799</v>
      </c>
      <c r="L26">
        <v>0.24799990653991699</v>
      </c>
      <c r="M26">
        <v>0.33999991416931152</v>
      </c>
      <c r="N26" t="s">
        <v>584</v>
      </c>
      <c r="O26">
        <v>2022</v>
      </c>
    </row>
    <row r="27" spans="1:15" x14ac:dyDescent="0.35">
      <c r="A27" t="s">
        <v>592</v>
      </c>
      <c r="B27" s="22">
        <v>44593</v>
      </c>
      <c r="C27">
        <v>1.75</v>
      </c>
      <c r="D27">
        <v>2.065000057220459</v>
      </c>
      <c r="E27">
        <v>1.7430000305175779</v>
      </c>
      <c r="F27">
        <v>1.83899998664856</v>
      </c>
      <c r="G27">
        <v>0</v>
      </c>
      <c r="H27">
        <v>1.83899998664856</v>
      </c>
      <c r="I27" t="s">
        <v>593</v>
      </c>
      <c r="J27" s="22">
        <v>45460</v>
      </c>
      <c r="K27">
        <v>3.1986555974616637E-2</v>
      </c>
      <c r="L27">
        <v>8.899998664855957E-2</v>
      </c>
      <c r="M27">
        <v>0.31500005722045898</v>
      </c>
      <c r="N27" t="s">
        <v>588</v>
      </c>
      <c r="O27">
        <v>2022</v>
      </c>
    </row>
    <row r="28" spans="1:15" x14ac:dyDescent="0.35">
      <c r="A28" t="s">
        <v>592</v>
      </c>
      <c r="B28" s="22">
        <v>44621</v>
      </c>
      <c r="C28">
        <v>1.733999967575073</v>
      </c>
      <c r="D28">
        <v>2.503000020980835</v>
      </c>
      <c r="E28">
        <v>1.682000041007996</v>
      </c>
      <c r="F28">
        <v>2.3269999027252202</v>
      </c>
      <c r="G28">
        <v>0</v>
      </c>
      <c r="H28">
        <v>2.3269999027252202</v>
      </c>
      <c r="I28" t="s">
        <v>593</v>
      </c>
      <c r="J28" s="22">
        <v>45460</v>
      </c>
      <c r="K28">
        <v>0.26536156586167442</v>
      </c>
      <c r="L28">
        <v>0.59299993515014648</v>
      </c>
      <c r="M28">
        <v>0.76900005340576172</v>
      </c>
      <c r="N28" t="s">
        <v>588</v>
      </c>
      <c r="O28">
        <v>2022</v>
      </c>
    </row>
    <row r="29" spans="1:15" x14ac:dyDescent="0.35">
      <c r="A29" t="s">
        <v>592</v>
      </c>
      <c r="B29" s="22">
        <v>44652</v>
      </c>
      <c r="C29">
        <v>2.404000043869019</v>
      </c>
      <c r="D29">
        <v>2.9539999961853032</v>
      </c>
      <c r="E29">
        <v>2.3570001125335689</v>
      </c>
      <c r="F29">
        <v>2.8870000839233398</v>
      </c>
      <c r="G29">
        <v>0</v>
      </c>
      <c r="H29">
        <v>2.8870000839233398</v>
      </c>
      <c r="I29" t="s">
        <v>593</v>
      </c>
      <c r="J29" s="22">
        <v>45460</v>
      </c>
      <c r="K29">
        <v>0.2406532894746953</v>
      </c>
      <c r="L29">
        <v>0.48300004005432129</v>
      </c>
      <c r="M29">
        <v>0.54999995231628418</v>
      </c>
      <c r="N29" t="s">
        <v>586</v>
      </c>
      <c r="O29">
        <v>2022</v>
      </c>
    </row>
    <row r="30" spans="1:15" x14ac:dyDescent="0.35">
      <c r="A30" t="s">
        <v>592</v>
      </c>
      <c r="B30" s="22">
        <v>44682</v>
      </c>
      <c r="C30">
        <v>2.9219999313354492</v>
      </c>
      <c r="D30">
        <v>3.1670000553131099</v>
      </c>
      <c r="E30">
        <v>2.7079999446868901</v>
      </c>
      <c r="F30">
        <v>2.844000101089478</v>
      </c>
      <c r="G30">
        <v>0</v>
      </c>
      <c r="H30">
        <v>2.844000101089478</v>
      </c>
      <c r="I30" t="s">
        <v>593</v>
      </c>
      <c r="J30" s="22">
        <v>45460</v>
      </c>
      <c r="K30">
        <v>-1.4894347621710709E-2</v>
      </c>
      <c r="L30">
        <v>-7.799983024597168E-2</v>
      </c>
      <c r="M30">
        <v>0.24500012397766111</v>
      </c>
      <c r="N30" t="s">
        <v>585</v>
      </c>
      <c r="O30">
        <v>2022</v>
      </c>
    </row>
    <row r="31" spans="1:15" x14ac:dyDescent="0.35">
      <c r="A31" t="s">
        <v>592</v>
      </c>
      <c r="B31" s="22">
        <v>44713</v>
      </c>
      <c r="C31">
        <v>2.8710000514984131</v>
      </c>
      <c r="D31">
        <v>3.4830000400543208</v>
      </c>
      <c r="E31">
        <v>2.8329999446868901</v>
      </c>
      <c r="F31">
        <v>2.971999883651733</v>
      </c>
      <c r="G31">
        <v>0</v>
      </c>
      <c r="H31">
        <v>2.971999883651733</v>
      </c>
      <c r="I31" t="s">
        <v>593</v>
      </c>
      <c r="J31" s="22">
        <v>45460</v>
      </c>
      <c r="K31">
        <v>4.5006954294137369E-2</v>
      </c>
      <c r="L31">
        <v>0.1009998321533203</v>
      </c>
      <c r="M31">
        <v>0.6119999885559082</v>
      </c>
      <c r="N31" t="s">
        <v>583</v>
      </c>
      <c r="O31">
        <v>2022</v>
      </c>
    </row>
    <row r="32" spans="1:15" x14ac:dyDescent="0.35">
      <c r="A32" t="s">
        <v>592</v>
      </c>
      <c r="B32" s="22">
        <v>44743</v>
      </c>
      <c r="C32">
        <v>2.9319999217987061</v>
      </c>
      <c r="D32">
        <v>3.101000070571899</v>
      </c>
      <c r="E32">
        <v>2.6180000305175781</v>
      </c>
      <c r="F32">
        <v>2.6419999599456792</v>
      </c>
      <c r="G32">
        <v>0</v>
      </c>
      <c r="H32">
        <v>2.6419999599456792</v>
      </c>
      <c r="I32" t="s">
        <v>593</v>
      </c>
      <c r="J32" s="22">
        <v>45460</v>
      </c>
      <c r="K32">
        <v>-0.11103631784149991</v>
      </c>
      <c r="L32">
        <v>-0.28999996185302729</v>
      </c>
      <c r="M32">
        <v>0.16900014877319339</v>
      </c>
      <c r="N32" t="s">
        <v>586</v>
      </c>
      <c r="O32">
        <v>2022</v>
      </c>
    </row>
    <row r="33" spans="1:15" x14ac:dyDescent="0.35">
      <c r="A33" t="s">
        <v>592</v>
      </c>
      <c r="B33" s="22">
        <v>44774</v>
      </c>
      <c r="C33">
        <v>2.657999992370605</v>
      </c>
      <c r="D33">
        <v>3.151000022888184</v>
      </c>
      <c r="E33">
        <v>2.5250000953674321</v>
      </c>
      <c r="F33">
        <v>3.1329998970031738</v>
      </c>
      <c r="G33">
        <v>0</v>
      </c>
      <c r="H33">
        <v>3.1329998970031738</v>
      </c>
      <c r="I33" t="s">
        <v>593</v>
      </c>
      <c r="J33" s="22">
        <v>45460</v>
      </c>
      <c r="K33">
        <v>0.18584403652587131</v>
      </c>
      <c r="L33">
        <v>0.47499990463256841</v>
      </c>
      <c r="M33">
        <v>0.49300003051757813</v>
      </c>
      <c r="N33" t="s">
        <v>587</v>
      </c>
      <c r="O33">
        <v>2022</v>
      </c>
    </row>
    <row r="34" spans="1:15" x14ac:dyDescent="0.35">
      <c r="A34" t="s">
        <v>592</v>
      </c>
      <c r="B34" s="22">
        <v>44805</v>
      </c>
      <c r="C34">
        <v>3.217000007629395</v>
      </c>
      <c r="D34">
        <v>3.9920001029968262</v>
      </c>
      <c r="E34">
        <v>3.1760001182556148</v>
      </c>
      <c r="F34">
        <v>3.8039999008178711</v>
      </c>
      <c r="G34">
        <v>0</v>
      </c>
      <c r="H34">
        <v>3.8039999008178711</v>
      </c>
      <c r="I34" t="s">
        <v>593</v>
      </c>
      <c r="J34" s="22">
        <v>45460</v>
      </c>
      <c r="K34">
        <v>0.21417172865423079</v>
      </c>
      <c r="L34">
        <v>0.58699989318847656</v>
      </c>
      <c r="M34">
        <v>0.77500009536743164</v>
      </c>
      <c r="N34" t="s">
        <v>589</v>
      </c>
      <c r="O34">
        <v>2022</v>
      </c>
    </row>
    <row r="35" spans="1:15" x14ac:dyDescent="0.35">
      <c r="A35" t="s">
        <v>592</v>
      </c>
      <c r="B35" s="22">
        <v>44835</v>
      </c>
      <c r="C35">
        <v>3.711999893188477</v>
      </c>
      <c r="D35">
        <v>4.3330001831054688</v>
      </c>
      <c r="E35">
        <v>3.5639998912811279</v>
      </c>
      <c r="F35">
        <v>4.0770001411437988</v>
      </c>
      <c r="G35">
        <v>0</v>
      </c>
      <c r="H35">
        <v>4.0770001411437988</v>
      </c>
      <c r="I35" t="s">
        <v>593</v>
      </c>
      <c r="J35" s="22">
        <v>45460</v>
      </c>
      <c r="K35">
        <v>7.1766626562538072E-2</v>
      </c>
      <c r="L35">
        <v>0.36500024795532232</v>
      </c>
      <c r="M35">
        <v>0.62100028991699219</v>
      </c>
      <c r="N35" t="s">
        <v>584</v>
      </c>
      <c r="O35">
        <v>2022</v>
      </c>
    </row>
    <row r="36" spans="1:15" x14ac:dyDescent="0.35">
      <c r="A36" t="s">
        <v>592</v>
      </c>
      <c r="B36" s="22">
        <v>44866</v>
      </c>
      <c r="C36">
        <v>3.937000036239624</v>
      </c>
      <c r="D36">
        <v>4.2230000495910636</v>
      </c>
      <c r="E36">
        <v>3.6679999828338619</v>
      </c>
      <c r="F36">
        <v>3.7030000686645508</v>
      </c>
      <c r="G36">
        <v>0</v>
      </c>
      <c r="H36">
        <v>3.7030000686645508</v>
      </c>
      <c r="I36" t="s">
        <v>593</v>
      </c>
      <c r="J36" s="22">
        <v>45460</v>
      </c>
      <c r="K36">
        <v>-9.1734132825985748E-2</v>
      </c>
      <c r="L36">
        <v>-0.23399996757507319</v>
      </c>
      <c r="M36">
        <v>0.28600001335144037</v>
      </c>
      <c r="N36" t="s">
        <v>588</v>
      </c>
      <c r="O36">
        <v>2022</v>
      </c>
    </row>
    <row r="37" spans="1:15" x14ac:dyDescent="0.35">
      <c r="A37" t="s">
        <v>592</v>
      </c>
      <c r="B37" s="22">
        <v>44896</v>
      </c>
      <c r="C37">
        <v>3.594000101089478</v>
      </c>
      <c r="D37">
        <v>3.904999971389771</v>
      </c>
      <c r="E37">
        <v>3.401999950408936</v>
      </c>
      <c r="F37">
        <v>3.8789999485015869</v>
      </c>
      <c r="G37">
        <v>0</v>
      </c>
      <c r="H37">
        <v>3.8789999485015869</v>
      </c>
      <c r="I37" t="s">
        <v>593</v>
      </c>
      <c r="J37" s="22">
        <v>45460</v>
      </c>
      <c r="K37">
        <v>4.7528997184304263E-2</v>
      </c>
      <c r="L37">
        <v>0.28499984741210938</v>
      </c>
      <c r="M37">
        <v>0.31099987030029302</v>
      </c>
      <c r="N37" t="s">
        <v>589</v>
      </c>
      <c r="O37">
        <v>2022</v>
      </c>
    </row>
    <row r="38" spans="1:15" x14ac:dyDescent="0.35">
      <c r="A38" t="s">
        <v>592</v>
      </c>
      <c r="B38" s="22">
        <v>44927</v>
      </c>
      <c r="C38">
        <v>3.7579998970031738</v>
      </c>
      <c r="D38">
        <v>3.809999942779541</v>
      </c>
      <c r="E38">
        <v>3.372999906539917</v>
      </c>
      <c r="F38">
        <v>3.529000043869019</v>
      </c>
      <c r="G38">
        <v>0</v>
      </c>
      <c r="H38">
        <v>3.529000043869019</v>
      </c>
      <c r="I38" t="s">
        <v>593</v>
      </c>
      <c r="J38" s="22">
        <v>45460</v>
      </c>
      <c r="K38">
        <v>-9.0229417189801486E-2</v>
      </c>
      <c r="L38">
        <v>-0.2289998531341553</v>
      </c>
      <c r="M38">
        <v>5.2000045776367188E-2</v>
      </c>
      <c r="N38" t="s">
        <v>585</v>
      </c>
      <c r="O38">
        <v>2023</v>
      </c>
    </row>
    <row r="39" spans="1:15" x14ac:dyDescent="0.35">
      <c r="A39" t="s">
        <v>592</v>
      </c>
      <c r="B39" s="22">
        <v>44958</v>
      </c>
      <c r="C39">
        <v>3.4749999046325679</v>
      </c>
      <c r="D39">
        <v>3.9830000400543208</v>
      </c>
      <c r="E39">
        <v>3.3340001106262211</v>
      </c>
      <c r="F39">
        <v>3.9159998893737789</v>
      </c>
      <c r="G39">
        <v>0</v>
      </c>
      <c r="H39">
        <v>3.9159998893737789</v>
      </c>
      <c r="I39" t="s">
        <v>593</v>
      </c>
      <c r="J39" s="22">
        <v>45460</v>
      </c>
      <c r="K39">
        <v>0.10966274885065561</v>
      </c>
      <c r="L39">
        <v>0.44099998474121088</v>
      </c>
      <c r="M39">
        <v>0.50800013542175293</v>
      </c>
      <c r="N39" t="s">
        <v>583</v>
      </c>
      <c r="O39">
        <v>2023</v>
      </c>
    </row>
    <row r="40" spans="1:15" x14ac:dyDescent="0.35">
      <c r="A40" t="s">
        <v>592</v>
      </c>
      <c r="B40" s="22">
        <v>44986</v>
      </c>
      <c r="C40">
        <v>3.940000057220459</v>
      </c>
      <c r="D40">
        <v>4.0910000801086426</v>
      </c>
      <c r="E40">
        <v>3.2950000762939449</v>
      </c>
      <c r="F40">
        <v>3.4939999580383301</v>
      </c>
      <c r="G40">
        <v>0</v>
      </c>
      <c r="H40">
        <v>3.4939999580383301</v>
      </c>
      <c r="I40" t="s">
        <v>593</v>
      </c>
      <c r="J40" s="22">
        <v>45460</v>
      </c>
      <c r="K40">
        <v>-0.1077630090032848</v>
      </c>
      <c r="L40">
        <v>-0.44600009918212891</v>
      </c>
      <c r="M40">
        <v>0.15100002288818359</v>
      </c>
      <c r="N40" t="s">
        <v>583</v>
      </c>
      <c r="O40">
        <v>2023</v>
      </c>
    </row>
    <row r="41" spans="1:15" x14ac:dyDescent="0.35">
      <c r="A41" t="s">
        <v>592</v>
      </c>
      <c r="B41" s="22">
        <v>45017</v>
      </c>
      <c r="C41">
        <v>3.5169999599456792</v>
      </c>
      <c r="D41">
        <v>3.6389999389648442</v>
      </c>
      <c r="E41">
        <v>3.253000020980835</v>
      </c>
      <c r="F41">
        <v>3.4519999027252202</v>
      </c>
      <c r="G41">
        <v>0</v>
      </c>
      <c r="H41">
        <v>3.4519999027252202</v>
      </c>
      <c r="I41" t="s">
        <v>593</v>
      </c>
      <c r="J41" s="22">
        <v>45460</v>
      </c>
      <c r="K41">
        <v>-1.2020622729683961E-2</v>
      </c>
      <c r="L41">
        <v>-6.5000057220458984E-2</v>
      </c>
      <c r="M41">
        <v>0.121999979019165</v>
      </c>
      <c r="N41" t="s">
        <v>584</v>
      </c>
      <c r="O41">
        <v>2023</v>
      </c>
    </row>
    <row r="42" spans="1:15" x14ac:dyDescent="0.35">
      <c r="A42" t="s">
        <v>592</v>
      </c>
      <c r="B42" s="22">
        <v>45047</v>
      </c>
      <c r="C42">
        <v>3.500999927520752</v>
      </c>
      <c r="D42">
        <v>3.8589999675750728</v>
      </c>
      <c r="E42">
        <v>3.2960000038146968</v>
      </c>
      <c r="F42">
        <v>3.6370000839233398</v>
      </c>
      <c r="G42">
        <v>0</v>
      </c>
      <c r="H42">
        <v>3.6370000839233398</v>
      </c>
      <c r="I42" t="s">
        <v>593</v>
      </c>
      <c r="J42" s="22">
        <v>45460</v>
      </c>
      <c r="K42">
        <v>5.3592174510801671E-2</v>
      </c>
      <c r="L42">
        <v>0.13600015640258789</v>
      </c>
      <c r="M42">
        <v>0.35800004005432129</v>
      </c>
      <c r="N42" t="s">
        <v>587</v>
      </c>
      <c r="O42">
        <v>2023</v>
      </c>
    </row>
    <row r="43" spans="1:15" x14ac:dyDescent="0.35">
      <c r="A43" t="s">
        <v>592</v>
      </c>
      <c r="B43" s="22">
        <v>45078</v>
      </c>
      <c r="C43">
        <v>3.6500000953674321</v>
      </c>
      <c r="D43">
        <v>3.871999979019165</v>
      </c>
      <c r="E43">
        <v>3.5699999332427979</v>
      </c>
      <c r="F43">
        <v>3.8190000057220459</v>
      </c>
      <c r="G43">
        <v>0</v>
      </c>
      <c r="H43">
        <v>3.8190000057220459</v>
      </c>
      <c r="I43" t="s">
        <v>593</v>
      </c>
      <c r="J43" s="22">
        <v>45460</v>
      </c>
      <c r="K43">
        <v>5.0041220126224813E-2</v>
      </c>
      <c r="L43">
        <v>0.16899991035461431</v>
      </c>
      <c r="M43">
        <v>0.2219998836517334</v>
      </c>
      <c r="N43" t="s">
        <v>589</v>
      </c>
      <c r="O43">
        <v>2023</v>
      </c>
    </row>
    <row r="44" spans="1:15" x14ac:dyDescent="0.35">
      <c r="A44" t="s">
        <v>592</v>
      </c>
      <c r="B44" s="22">
        <v>45108</v>
      </c>
      <c r="C44">
        <v>3.8640000820159912</v>
      </c>
      <c r="D44">
        <v>4.0939998626708984</v>
      </c>
      <c r="E44">
        <v>3.7349998950958252</v>
      </c>
      <c r="F44">
        <v>3.9590001106262211</v>
      </c>
      <c r="G44">
        <v>0</v>
      </c>
      <c r="H44">
        <v>3.9590001106262211</v>
      </c>
      <c r="I44" t="s">
        <v>593</v>
      </c>
      <c r="J44" s="22">
        <v>45460</v>
      </c>
      <c r="K44">
        <v>3.6658838621212768E-2</v>
      </c>
      <c r="L44">
        <v>9.5000028610229492E-2</v>
      </c>
      <c r="M44">
        <v>0.2299997806549072</v>
      </c>
      <c r="N44" t="s">
        <v>584</v>
      </c>
      <c r="O44">
        <v>2023</v>
      </c>
    </row>
    <row r="45" spans="1:15" x14ac:dyDescent="0.35">
      <c r="A45" t="s">
        <v>592</v>
      </c>
      <c r="B45" s="22">
        <v>45139</v>
      </c>
      <c r="C45">
        <v>4.000999927520752</v>
      </c>
      <c r="D45">
        <v>4.3619999885559082</v>
      </c>
      <c r="E45">
        <v>3.9570000171661381</v>
      </c>
      <c r="F45">
        <v>4.0929999351501456</v>
      </c>
      <c r="G45">
        <v>0</v>
      </c>
      <c r="H45">
        <v>4.0929999351501456</v>
      </c>
      <c r="I45" t="s">
        <v>593</v>
      </c>
      <c r="J45" s="22">
        <v>45460</v>
      </c>
      <c r="K45">
        <v>3.3846885774077462E-2</v>
      </c>
      <c r="L45">
        <v>9.2000007629394531E-2</v>
      </c>
      <c r="M45">
        <v>0.36100006103515619</v>
      </c>
      <c r="N45" t="s">
        <v>588</v>
      </c>
      <c r="O45">
        <v>2023</v>
      </c>
    </row>
    <row r="46" spans="1:15" x14ac:dyDescent="0.35">
      <c r="A46" t="s">
        <v>592</v>
      </c>
      <c r="B46" s="22">
        <v>45170</v>
      </c>
      <c r="C46">
        <v>4.0970001220703116</v>
      </c>
      <c r="D46">
        <v>4.6880002021789551</v>
      </c>
      <c r="E46">
        <v>4.059999942779541</v>
      </c>
      <c r="F46">
        <v>4.5729999542236328</v>
      </c>
      <c r="G46">
        <v>0</v>
      </c>
      <c r="H46">
        <v>4.5729999542236328</v>
      </c>
      <c r="I46" t="s">
        <v>593</v>
      </c>
      <c r="J46" s="22">
        <v>45460</v>
      </c>
      <c r="K46">
        <v>0.1172734001169433</v>
      </c>
      <c r="L46">
        <v>0.47599983215332031</v>
      </c>
      <c r="M46">
        <v>0.59100008010864258</v>
      </c>
      <c r="N46" t="s">
        <v>586</v>
      </c>
      <c r="O46">
        <v>2023</v>
      </c>
    </row>
    <row r="47" spans="1:15" x14ac:dyDescent="0.35">
      <c r="A47" t="s">
        <v>592</v>
      </c>
      <c r="B47" s="22">
        <v>45200</v>
      </c>
      <c r="C47">
        <v>4.6310000419616699</v>
      </c>
      <c r="D47">
        <v>4.9970002174377441</v>
      </c>
      <c r="E47">
        <v>4.5320000648498544</v>
      </c>
      <c r="F47">
        <v>4.875</v>
      </c>
      <c r="G47">
        <v>0</v>
      </c>
      <c r="H47">
        <v>4.875</v>
      </c>
      <c r="I47" t="s">
        <v>593</v>
      </c>
      <c r="J47" s="22">
        <v>45460</v>
      </c>
      <c r="K47">
        <v>6.6039809490362922E-2</v>
      </c>
      <c r="L47">
        <v>0.24399995803833011</v>
      </c>
      <c r="M47">
        <v>0.36600017547607422</v>
      </c>
      <c r="N47" t="s">
        <v>585</v>
      </c>
      <c r="O47">
        <v>2023</v>
      </c>
    </row>
    <row r="48" spans="1:15" x14ac:dyDescent="0.35">
      <c r="A48" t="s">
        <v>592</v>
      </c>
      <c r="B48" s="22">
        <v>45231</v>
      </c>
      <c r="C48">
        <v>4.8930001258850098</v>
      </c>
      <c r="D48">
        <v>4.9029998779296884</v>
      </c>
      <c r="E48">
        <v>4.2529997825622559</v>
      </c>
      <c r="F48">
        <v>4.3520002365112296</v>
      </c>
      <c r="G48">
        <v>0</v>
      </c>
      <c r="H48">
        <v>4.3520002365112296</v>
      </c>
      <c r="I48" t="s">
        <v>593</v>
      </c>
      <c r="J48" s="22">
        <v>45460</v>
      </c>
      <c r="K48">
        <v>-0.10728200276692711</v>
      </c>
      <c r="L48">
        <v>-0.5409998893737793</v>
      </c>
      <c r="M48">
        <v>9.9997520446777344E-3</v>
      </c>
      <c r="N48" t="s">
        <v>583</v>
      </c>
      <c r="O48">
        <v>2023</v>
      </c>
    </row>
    <row r="49" spans="1:15" x14ac:dyDescent="0.35">
      <c r="A49" t="s">
        <v>592</v>
      </c>
      <c r="B49" s="22">
        <v>45261</v>
      </c>
      <c r="C49">
        <v>4.320000171661377</v>
      </c>
      <c r="D49">
        <v>4.3480000495910636</v>
      </c>
      <c r="E49">
        <v>3.785000085830688</v>
      </c>
      <c r="F49">
        <v>3.8659999370574951</v>
      </c>
      <c r="G49">
        <v>0</v>
      </c>
      <c r="H49">
        <v>3.8659999370574951</v>
      </c>
      <c r="I49" t="s">
        <v>593</v>
      </c>
      <c r="J49" s="22">
        <v>45460</v>
      </c>
      <c r="K49">
        <v>-0.1116728568570429</v>
      </c>
      <c r="L49">
        <v>-0.45400023460388178</v>
      </c>
      <c r="M49">
        <v>2.79998779296875E-2</v>
      </c>
      <c r="N49" t="s">
        <v>586</v>
      </c>
      <c r="O49">
        <v>2023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74CF-61D2-4809-AD79-C0685D255FED}">
  <sheetPr>
    <tabColor theme="6" tint="0.79998168889431442"/>
  </sheetPr>
  <dimension ref="A1:O49"/>
  <sheetViews>
    <sheetView showGridLines="0" workbookViewId="0"/>
  </sheetViews>
  <sheetFormatPr defaultRowHeight="14.5" x14ac:dyDescent="0.35"/>
  <cols>
    <col min="1" max="1" width="8.08984375" bestFit="1" customWidth="1"/>
    <col min="2" max="2" width="12" bestFit="1" customWidth="1"/>
    <col min="3" max="8" width="11.81640625" bestFit="1" customWidth="1"/>
    <col min="9" max="9" width="14.1796875" bestFit="1" customWidth="1"/>
    <col min="10" max="10" width="11.1796875" bestFit="1" customWidth="1"/>
    <col min="11" max="11" width="16" bestFit="1" customWidth="1"/>
    <col min="12" max="12" width="16.453125" bestFit="1" customWidth="1"/>
    <col min="13" max="13" width="15.81640625" bestFit="1" customWidth="1"/>
    <col min="14" max="14" width="14.26953125" bestFit="1" customWidth="1"/>
    <col min="15" max="15" width="16.7265625" bestFit="1" customWidth="1"/>
  </cols>
  <sheetData>
    <row r="1" spans="1:15" x14ac:dyDescent="0.35">
      <c r="A1" t="s">
        <v>211</v>
      </c>
      <c r="B1" t="s">
        <v>569</v>
      </c>
      <c r="C1" t="s">
        <v>570</v>
      </c>
      <c r="D1" t="s">
        <v>571</v>
      </c>
      <c r="E1" t="s">
        <v>572</v>
      </c>
      <c r="F1" t="s">
        <v>573</v>
      </c>
      <c r="G1" t="s">
        <v>574</v>
      </c>
      <c r="H1" t="s">
        <v>575</v>
      </c>
      <c r="I1" t="s">
        <v>139</v>
      </c>
      <c r="J1" t="s">
        <v>576</v>
      </c>
      <c r="K1" t="s">
        <v>577</v>
      </c>
      <c r="L1" t="s">
        <v>578</v>
      </c>
      <c r="M1" t="s">
        <v>579</v>
      </c>
      <c r="N1" t="s">
        <v>580</v>
      </c>
      <c r="O1" t="s">
        <v>581</v>
      </c>
    </row>
    <row r="2" spans="1:15" x14ac:dyDescent="0.35">
      <c r="A2" t="s">
        <v>582</v>
      </c>
      <c r="B2" s="22">
        <v>43831</v>
      </c>
      <c r="C2">
        <v>3244.669921875</v>
      </c>
      <c r="D2">
        <v>3337.77001953125</v>
      </c>
      <c r="E2">
        <v>3214.639892578125</v>
      </c>
      <c r="F2">
        <v>3225.52001953125</v>
      </c>
      <c r="G2">
        <v>77287980000</v>
      </c>
      <c r="H2">
        <v>3225.52001953125</v>
      </c>
      <c r="I2" t="s">
        <v>638</v>
      </c>
      <c r="J2" s="22">
        <v>45496</v>
      </c>
      <c r="L2">
        <v>-19.14990234375</v>
      </c>
      <c r="M2">
        <v>93.10009765625</v>
      </c>
      <c r="N2" t="s">
        <v>583</v>
      </c>
      <c r="O2">
        <v>2020</v>
      </c>
    </row>
    <row r="3" spans="1:15" x14ac:dyDescent="0.35">
      <c r="A3" t="s">
        <v>582</v>
      </c>
      <c r="B3" s="22">
        <v>43862</v>
      </c>
      <c r="C3">
        <v>3235.659912109375</v>
      </c>
      <c r="D3">
        <v>3393.52001953125</v>
      </c>
      <c r="E3">
        <v>2855.840087890625</v>
      </c>
      <c r="F3">
        <v>2954.219970703125</v>
      </c>
      <c r="G3">
        <v>84436590000</v>
      </c>
      <c r="H3">
        <v>2954.219970703125</v>
      </c>
      <c r="I3" t="s">
        <v>638</v>
      </c>
      <c r="J3" s="22">
        <v>45496</v>
      </c>
      <c r="K3">
        <v>-8.4110483638403122E-2</v>
      </c>
      <c r="L3">
        <v>-281.43994140625</v>
      </c>
      <c r="M3">
        <v>157.860107421875</v>
      </c>
      <c r="N3" t="s">
        <v>584</v>
      </c>
      <c r="O3">
        <v>2020</v>
      </c>
    </row>
    <row r="4" spans="1:15" x14ac:dyDescent="0.35">
      <c r="A4" t="s">
        <v>582</v>
      </c>
      <c r="B4" s="22">
        <v>43891</v>
      </c>
      <c r="C4">
        <v>2974.280029296875</v>
      </c>
      <c r="D4">
        <v>3136.719970703125</v>
      </c>
      <c r="E4">
        <v>2191.860107421875</v>
      </c>
      <c r="F4">
        <v>2584.590087890625</v>
      </c>
      <c r="G4">
        <v>162185380000</v>
      </c>
      <c r="H4">
        <v>2584.590087890625</v>
      </c>
      <c r="I4" t="s">
        <v>638</v>
      </c>
      <c r="J4" s="22">
        <v>45496</v>
      </c>
      <c r="K4">
        <v>-0.1251192824089282</v>
      </c>
      <c r="L4">
        <v>-389.68994140625</v>
      </c>
      <c r="M4">
        <v>162.43994140625</v>
      </c>
      <c r="N4" t="s">
        <v>585</v>
      </c>
      <c r="O4">
        <v>2020</v>
      </c>
    </row>
    <row r="5" spans="1:15" x14ac:dyDescent="0.35">
      <c r="A5" t="s">
        <v>582</v>
      </c>
      <c r="B5" s="22">
        <v>43922</v>
      </c>
      <c r="C5">
        <v>2498.080078125</v>
      </c>
      <c r="D5">
        <v>2954.860107421875</v>
      </c>
      <c r="E5">
        <v>2447.489990234375</v>
      </c>
      <c r="F5">
        <v>2912.429931640625</v>
      </c>
      <c r="G5">
        <v>123608160000</v>
      </c>
      <c r="H5">
        <v>2912.429931640625</v>
      </c>
      <c r="I5" t="s">
        <v>638</v>
      </c>
      <c r="J5" s="22">
        <v>45496</v>
      </c>
      <c r="K5">
        <v>0.12684403816527889</v>
      </c>
      <c r="L5">
        <v>414.349853515625</v>
      </c>
      <c r="M5">
        <v>456.780029296875</v>
      </c>
      <c r="N5" t="s">
        <v>583</v>
      </c>
      <c r="O5">
        <v>2020</v>
      </c>
    </row>
    <row r="6" spans="1:15" x14ac:dyDescent="0.35">
      <c r="A6" t="s">
        <v>582</v>
      </c>
      <c r="B6" s="22">
        <v>43952</v>
      </c>
      <c r="C6">
        <v>2869.090087890625</v>
      </c>
      <c r="D6">
        <v>3068.669921875</v>
      </c>
      <c r="E6">
        <v>2766.639892578125</v>
      </c>
      <c r="F6">
        <v>3044.31005859375</v>
      </c>
      <c r="G6">
        <v>107135190000</v>
      </c>
      <c r="H6">
        <v>3044.31005859375</v>
      </c>
      <c r="I6" t="s">
        <v>638</v>
      </c>
      <c r="J6" s="22">
        <v>45496</v>
      </c>
      <c r="K6">
        <v>4.5281819665558221E-2</v>
      </c>
      <c r="L6">
        <v>175.219970703125</v>
      </c>
      <c r="M6">
        <v>199.579833984375</v>
      </c>
      <c r="N6" t="s">
        <v>586</v>
      </c>
      <c r="O6">
        <v>2020</v>
      </c>
    </row>
    <row r="7" spans="1:15" x14ac:dyDescent="0.35">
      <c r="A7" t="s">
        <v>582</v>
      </c>
      <c r="B7" s="22">
        <v>43983</v>
      </c>
      <c r="C7">
        <v>3038.780029296875</v>
      </c>
      <c r="D7">
        <v>3233.1298828125</v>
      </c>
      <c r="E7">
        <v>2965.659912109375</v>
      </c>
      <c r="F7">
        <v>3100.2900390625</v>
      </c>
      <c r="G7">
        <v>131458880000</v>
      </c>
      <c r="H7">
        <v>3100.2900390625</v>
      </c>
      <c r="I7" t="s">
        <v>638</v>
      </c>
      <c r="J7" s="22">
        <v>45496</v>
      </c>
      <c r="K7">
        <v>1.838839651392421E-2</v>
      </c>
      <c r="L7">
        <v>61.510009765625</v>
      </c>
      <c r="M7">
        <v>194.349853515625</v>
      </c>
      <c r="N7" t="s">
        <v>587</v>
      </c>
      <c r="O7">
        <v>2020</v>
      </c>
    </row>
    <row r="8" spans="1:15" x14ac:dyDescent="0.35">
      <c r="A8" t="s">
        <v>582</v>
      </c>
      <c r="B8" s="22">
        <v>44013</v>
      </c>
      <c r="C8">
        <v>3105.919921875</v>
      </c>
      <c r="D8">
        <v>3279.989990234375</v>
      </c>
      <c r="E8">
        <v>3101.169921875</v>
      </c>
      <c r="F8">
        <v>3271.1201171875</v>
      </c>
      <c r="G8">
        <v>96928130000</v>
      </c>
      <c r="H8">
        <v>3271.1201171875</v>
      </c>
      <c r="I8" t="s">
        <v>638</v>
      </c>
      <c r="J8" s="22">
        <v>45496</v>
      </c>
      <c r="K8">
        <v>5.5101321480443673E-2</v>
      </c>
      <c r="L8">
        <v>165.2001953125</v>
      </c>
      <c r="M8">
        <v>174.070068359375</v>
      </c>
      <c r="N8" t="s">
        <v>583</v>
      </c>
      <c r="O8">
        <v>2020</v>
      </c>
    </row>
    <row r="9" spans="1:15" x14ac:dyDescent="0.35">
      <c r="A9" t="s">
        <v>582</v>
      </c>
      <c r="B9" s="22">
        <v>44044</v>
      </c>
      <c r="C9">
        <v>3288.260009765625</v>
      </c>
      <c r="D9">
        <v>3514.77001953125</v>
      </c>
      <c r="E9">
        <v>3284.530029296875</v>
      </c>
      <c r="F9">
        <v>3500.31005859375</v>
      </c>
      <c r="G9">
        <v>82466520000</v>
      </c>
      <c r="H9">
        <v>3500.31005859375</v>
      </c>
      <c r="I9" t="s">
        <v>638</v>
      </c>
      <c r="J9" s="22">
        <v>45496</v>
      </c>
      <c r="K9">
        <v>7.0064666901717754E-2</v>
      </c>
      <c r="L9">
        <v>212.050048828125</v>
      </c>
      <c r="M9">
        <v>226.510009765625</v>
      </c>
      <c r="N9" t="s">
        <v>584</v>
      </c>
      <c r="O9">
        <v>2020</v>
      </c>
    </row>
    <row r="10" spans="1:15" x14ac:dyDescent="0.35">
      <c r="A10" t="s">
        <v>582</v>
      </c>
      <c r="B10" s="22">
        <v>44075</v>
      </c>
      <c r="C10">
        <v>3507.43994140625</v>
      </c>
      <c r="D10">
        <v>3588.110107421875</v>
      </c>
      <c r="E10">
        <v>3209.449951171875</v>
      </c>
      <c r="F10">
        <v>3363</v>
      </c>
      <c r="G10">
        <v>92310780000</v>
      </c>
      <c r="H10">
        <v>3363</v>
      </c>
      <c r="I10" t="s">
        <v>638</v>
      </c>
      <c r="J10" s="22">
        <v>45496</v>
      </c>
      <c r="K10">
        <v>-3.9227970178423062E-2</v>
      </c>
      <c r="L10">
        <v>-144.43994140625</v>
      </c>
      <c r="M10">
        <v>80.670166015625</v>
      </c>
      <c r="N10" t="s">
        <v>588</v>
      </c>
      <c r="O10">
        <v>2020</v>
      </c>
    </row>
    <row r="11" spans="1:15" x14ac:dyDescent="0.35">
      <c r="A11" t="s">
        <v>582</v>
      </c>
      <c r="B11" s="22">
        <v>44105</v>
      </c>
      <c r="C11">
        <v>3385.8701171875</v>
      </c>
      <c r="D11">
        <v>3549.85009765625</v>
      </c>
      <c r="E11">
        <v>3233.93994140625</v>
      </c>
      <c r="F11">
        <v>3269.9599609375</v>
      </c>
      <c r="G11">
        <v>89938980000</v>
      </c>
      <c r="H11">
        <v>3269.9599609375</v>
      </c>
      <c r="I11" t="s">
        <v>638</v>
      </c>
      <c r="J11" s="22">
        <v>45496</v>
      </c>
      <c r="K11">
        <v>-2.7665786221379721E-2</v>
      </c>
      <c r="L11">
        <v>-115.91015625</v>
      </c>
      <c r="M11">
        <v>163.97998046875</v>
      </c>
      <c r="N11" t="s">
        <v>589</v>
      </c>
      <c r="O11">
        <v>2020</v>
      </c>
    </row>
    <row r="12" spans="1:15" x14ac:dyDescent="0.35">
      <c r="A12" t="s">
        <v>582</v>
      </c>
      <c r="B12" s="22">
        <v>44136</v>
      </c>
      <c r="C12">
        <v>3296.199951171875</v>
      </c>
      <c r="D12">
        <v>3645.989990234375</v>
      </c>
      <c r="E12">
        <v>3279.739990234375</v>
      </c>
      <c r="F12">
        <v>3621.6298828125</v>
      </c>
      <c r="G12">
        <v>101247180000</v>
      </c>
      <c r="H12">
        <v>3621.6298828125</v>
      </c>
      <c r="I12" t="s">
        <v>638</v>
      </c>
      <c r="J12" s="22">
        <v>45496</v>
      </c>
      <c r="K12">
        <v>0.1075456354438591</v>
      </c>
      <c r="L12">
        <v>325.429931640625</v>
      </c>
      <c r="M12">
        <v>349.7900390625</v>
      </c>
      <c r="N12" t="s">
        <v>585</v>
      </c>
      <c r="O12">
        <v>2020</v>
      </c>
    </row>
    <row r="13" spans="1:15" x14ac:dyDescent="0.35">
      <c r="A13" t="s">
        <v>582</v>
      </c>
      <c r="B13" s="22">
        <v>44166</v>
      </c>
      <c r="C13">
        <v>3645.8701171875</v>
      </c>
      <c r="D13">
        <v>3760.199951171875</v>
      </c>
      <c r="E13">
        <v>3633.39990234375</v>
      </c>
      <c r="F13">
        <v>3756.070068359375</v>
      </c>
      <c r="G13">
        <v>96375680000</v>
      </c>
      <c r="H13">
        <v>3756.070068359375</v>
      </c>
      <c r="I13" t="s">
        <v>638</v>
      </c>
      <c r="J13" s="22">
        <v>45496</v>
      </c>
      <c r="K13">
        <v>3.7121459093570008E-2</v>
      </c>
      <c r="L13">
        <v>110.199951171875</v>
      </c>
      <c r="M13">
        <v>114.329833984375</v>
      </c>
      <c r="N13" t="s">
        <v>588</v>
      </c>
      <c r="O13">
        <v>2020</v>
      </c>
    </row>
    <row r="14" spans="1:15" x14ac:dyDescent="0.35">
      <c r="A14" t="s">
        <v>582</v>
      </c>
      <c r="B14" s="22">
        <v>44197</v>
      </c>
      <c r="C14">
        <v>3764.610107421875</v>
      </c>
      <c r="D14">
        <v>3870.89990234375</v>
      </c>
      <c r="E14">
        <v>3662.7099609375</v>
      </c>
      <c r="F14">
        <v>3714.239990234375</v>
      </c>
      <c r="G14">
        <v>106117800000</v>
      </c>
      <c r="H14">
        <v>3714.239990234375</v>
      </c>
      <c r="I14" t="s">
        <v>638</v>
      </c>
      <c r="J14" s="22">
        <v>45496</v>
      </c>
      <c r="K14">
        <v>-1.113666075544517E-2</v>
      </c>
      <c r="L14">
        <v>-50.3701171875</v>
      </c>
      <c r="M14">
        <v>106.289794921875</v>
      </c>
      <c r="N14" t="s">
        <v>586</v>
      </c>
      <c r="O14">
        <v>2021</v>
      </c>
    </row>
    <row r="15" spans="1:15" x14ac:dyDescent="0.35">
      <c r="A15" t="s">
        <v>582</v>
      </c>
      <c r="B15" s="22">
        <v>44228</v>
      </c>
      <c r="C15">
        <v>3731.169921875</v>
      </c>
      <c r="D15">
        <v>3950.429931640625</v>
      </c>
      <c r="E15">
        <v>3725.6201171875</v>
      </c>
      <c r="F15">
        <v>3811.14990234375</v>
      </c>
      <c r="G15">
        <v>99082320000</v>
      </c>
      <c r="H15">
        <v>3811.14990234375</v>
      </c>
      <c r="I15" t="s">
        <v>638</v>
      </c>
      <c r="J15" s="22">
        <v>45496</v>
      </c>
      <c r="K15">
        <v>2.609145137744839E-2</v>
      </c>
      <c r="L15">
        <v>79.97998046875</v>
      </c>
      <c r="M15">
        <v>219.260009765625</v>
      </c>
      <c r="N15" t="s">
        <v>587</v>
      </c>
      <c r="O15">
        <v>2021</v>
      </c>
    </row>
    <row r="16" spans="1:15" x14ac:dyDescent="0.35">
      <c r="A16" t="s">
        <v>582</v>
      </c>
      <c r="B16" s="22">
        <v>44256</v>
      </c>
      <c r="C16">
        <v>3842.510009765625</v>
      </c>
      <c r="D16">
        <v>3994.409912109375</v>
      </c>
      <c r="E16">
        <v>3723.340087890625</v>
      </c>
      <c r="F16">
        <v>3972.889892578125</v>
      </c>
      <c r="G16">
        <v>122371150000</v>
      </c>
      <c r="H16">
        <v>3972.889892578125</v>
      </c>
      <c r="I16" t="s">
        <v>638</v>
      </c>
      <c r="J16" s="22">
        <v>45496</v>
      </c>
      <c r="K16">
        <v>4.2438632533165148E-2</v>
      </c>
      <c r="L16">
        <v>130.3798828125</v>
      </c>
      <c r="M16">
        <v>151.89990234375</v>
      </c>
      <c r="N16" t="s">
        <v>587</v>
      </c>
      <c r="O16">
        <v>2021</v>
      </c>
    </row>
    <row r="17" spans="1:15" x14ac:dyDescent="0.35">
      <c r="A17" t="s">
        <v>582</v>
      </c>
      <c r="B17" s="22">
        <v>44287</v>
      </c>
      <c r="C17">
        <v>3992.780029296875</v>
      </c>
      <c r="D17">
        <v>4218.77978515625</v>
      </c>
      <c r="E17">
        <v>3992.780029296875</v>
      </c>
      <c r="F17">
        <v>4181.169921875</v>
      </c>
      <c r="G17">
        <v>83124090000</v>
      </c>
      <c r="H17">
        <v>4181.169921875</v>
      </c>
      <c r="I17" t="s">
        <v>638</v>
      </c>
      <c r="J17" s="22">
        <v>45496</v>
      </c>
      <c r="K17">
        <v>5.2425321347558507E-2</v>
      </c>
      <c r="L17">
        <v>188.389892578125</v>
      </c>
      <c r="M17">
        <v>225.999755859375</v>
      </c>
      <c r="N17" t="s">
        <v>589</v>
      </c>
      <c r="O17">
        <v>2021</v>
      </c>
    </row>
    <row r="18" spans="1:15" x14ac:dyDescent="0.35">
      <c r="A18" t="s">
        <v>582</v>
      </c>
      <c r="B18" s="22">
        <v>44317</v>
      </c>
      <c r="C18">
        <v>4191.97998046875</v>
      </c>
      <c r="D18">
        <v>4238.0400390625</v>
      </c>
      <c r="E18">
        <v>4056.8798828125</v>
      </c>
      <c r="F18">
        <v>4204.10986328125</v>
      </c>
      <c r="G18">
        <v>88321860000</v>
      </c>
      <c r="H18">
        <v>4204.10986328125</v>
      </c>
      <c r="I18" t="s">
        <v>638</v>
      </c>
      <c r="J18" s="22">
        <v>45496</v>
      </c>
      <c r="K18">
        <v>5.4864886706069704E-3</v>
      </c>
      <c r="L18">
        <v>12.1298828125</v>
      </c>
      <c r="M18">
        <v>46.06005859375</v>
      </c>
      <c r="N18" t="s">
        <v>584</v>
      </c>
      <c r="O18">
        <v>2021</v>
      </c>
    </row>
    <row r="19" spans="1:15" x14ac:dyDescent="0.35">
      <c r="A19" t="s">
        <v>582</v>
      </c>
      <c r="B19" s="22">
        <v>44348</v>
      </c>
      <c r="C19">
        <v>4216.52001953125</v>
      </c>
      <c r="D19">
        <v>4302.43017578125</v>
      </c>
      <c r="E19">
        <v>4164.39990234375</v>
      </c>
      <c r="F19">
        <v>4297.5</v>
      </c>
      <c r="G19">
        <v>102544180000</v>
      </c>
      <c r="H19">
        <v>4297.5</v>
      </c>
      <c r="I19" t="s">
        <v>638</v>
      </c>
      <c r="J19" s="22">
        <v>45496</v>
      </c>
      <c r="K19">
        <v>2.221400956583475E-2</v>
      </c>
      <c r="L19">
        <v>80.97998046875</v>
      </c>
      <c r="M19">
        <v>85.91015625</v>
      </c>
      <c r="N19" t="s">
        <v>588</v>
      </c>
      <c r="O19">
        <v>2021</v>
      </c>
    </row>
    <row r="20" spans="1:15" x14ac:dyDescent="0.35">
      <c r="A20" t="s">
        <v>582</v>
      </c>
      <c r="B20" s="22">
        <v>44378</v>
      </c>
      <c r="C20">
        <v>4300.72998046875</v>
      </c>
      <c r="D20">
        <v>4429.97021484375</v>
      </c>
      <c r="E20">
        <v>4233.1298828125</v>
      </c>
      <c r="F20">
        <v>4395.259765625</v>
      </c>
      <c r="G20">
        <v>84255620000</v>
      </c>
      <c r="H20">
        <v>4395.259765625</v>
      </c>
      <c r="I20" t="s">
        <v>638</v>
      </c>
      <c r="J20" s="22">
        <v>45496</v>
      </c>
      <c r="K20">
        <v>2.2748054828388709E-2</v>
      </c>
      <c r="L20">
        <v>94.52978515625</v>
      </c>
      <c r="M20">
        <v>129.240234375</v>
      </c>
      <c r="N20" t="s">
        <v>589</v>
      </c>
      <c r="O20">
        <v>2021</v>
      </c>
    </row>
    <row r="21" spans="1:15" x14ac:dyDescent="0.35">
      <c r="A21" t="s">
        <v>582</v>
      </c>
      <c r="B21" s="22">
        <v>44409</v>
      </c>
      <c r="C21">
        <v>4406.85986328125</v>
      </c>
      <c r="D21">
        <v>4537.35986328125</v>
      </c>
      <c r="E21">
        <v>4367.72998046875</v>
      </c>
      <c r="F21">
        <v>4522.68017578125</v>
      </c>
      <c r="G21">
        <v>80500760000</v>
      </c>
      <c r="H21">
        <v>4522.68017578125</v>
      </c>
      <c r="I21" t="s">
        <v>638</v>
      </c>
      <c r="J21" s="22">
        <v>45496</v>
      </c>
      <c r="K21">
        <v>2.899041625543863E-2</v>
      </c>
      <c r="L21">
        <v>115.8203125</v>
      </c>
      <c r="M21">
        <v>130.5</v>
      </c>
      <c r="N21" t="s">
        <v>585</v>
      </c>
      <c r="O21">
        <v>2021</v>
      </c>
    </row>
    <row r="22" spans="1:15" x14ac:dyDescent="0.35">
      <c r="A22" t="s">
        <v>582</v>
      </c>
      <c r="B22" s="22">
        <v>44440</v>
      </c>
      <c r="C22">
        <v>4528.7998046875</v>
      </c>
      <c r="D22">
        <v>4545.85009765625</v>
      </c>
      <c r="E22">
        <v>4305.91015625</v>
      </c>
      <c r="F22">
        <v>4307.5400390625</v>
      </c>
      <c r="G22">
        <v>85528860000</v>
      </c>
      <c r="H22">
        <v>4307.5400390625</v>
      </c>
      <c r="I22" t="s">
        <v>638</v>
      </c>
      <c r="J22" s="22">
        <v>45496</v>
      </c>
      <c r="K22">
        <v>-4.7569168801901103E-2</v>
      </c>
      <c r="L22">
        <v>-221.259765625</v>
      </c>
      <c r="M22">
        <v>17.05029296875</v>
      </c>
      <c r="N22" t="s">
        <v>583</v>
      </c>
      <c r="O22">
        <v>2021</v>
      </c>
    </row>
    <row r="23" spans="1:15" x14ac:dyDescent="0.35">
      <c r="A23" t="s">
        <v>582</v>
      </c>
      <c r="B23" s="22">
        <v>44470</v>
      </c>
      <c r="C23">
        <v>4317.16015625</v>
      </c>
      <c r="D23">
        <v>4608.080078125</v>
      </c>
      <c r="E23">
        <v>4278.93994140625</v>
      </c>
      <c r="F23">
        <v>4605.3798828125</v>
      </c>
      <c r="G23">
        <v>80253600000</v>
      </c>
      <c r="H23">
        <v>4605.3798828125</v>
      </c>
      <c r="I23" t="s">
        <v>638</v>
      </c>
      <c r="J23" s="22">
        <v>45496</v>
      </c>
      <c r="K23">
        <v>6.9143836400606506E-2</v>
      </c>
      <c r="L23">
        <v>288.2197265625</v>
      </c>
      <c r="M23">
        <v>290.919921875</v>
      </c>
      <c r="N23" t="s">
        <v>586</v>
      </c>
      <c r="O23">
        <v>2021</v>
      </c>
    </row>
    <row r="24" spans="1:15" x14ac:dyDescent="0.35">
      <c r="A24" t="s">
        <v>582</v>
      </c>
      <c r="B24" s="22">
        <v>44501</v>
      </c>
      <c r="C24">
        <v>4610.6201171875</v>
      </c>
      <c r="D24">
        <v>4743.830078125</v>
      </c>
      <c r="E24">
        <v>4560</v>
      </c>
      <c r="F24">
        <v>4567</v>
      </c>
      <c r="G24">
        <v>88268840000</v>
      </c>
      <c r="H24">
        <v>4567</v>
      </c>
      <c r="I24" t="s">
        <v>638</v>
      </c>
      <c r="J24" s="22">
        <v>45496</v>
      </c>
      <c r="K24">
        <v>-8.3337061847461591E-3</v>
      </c>
      <c r="L24">
        <v>-43.6201171875</v>
      </c>
      <c r="M24">
        <v>133.2099609375</v>
      </c>
      <c r="N24" t="s">
        <v>587</v>
      </c>
      <c r="O24">
        <v>2021</v>
      </c>
    </row>
    <row r="25" spans="1:15" x14ac:dyDescent="0.35">
      <c r="A25" t="s">
        <v>582</v>
      </c>
      <c r="B25" s="22">
        <v>44531</v>
      </c>
      <c r="C25">
        <v>4602.81982421875</v>
      </c>
      <c r="D25">
        <v>4808.93017578125</v>
      </c>
      <c r="E25">
        <v>4495.1201171875</v>
      </c>
      <c r="F25">
        <v>4766.18017578125</v>
      </c>
      <c r="G25">
        <v>92750180000</v>
      </c>
      <c r="H25">
        <v>4766.18017578125</v>
      </c>
      <c r="I25" t="s">
        <v>638</v>
      </c>
      <c r="J25" s="22">
        <v>45496</v>
      </c>
      <c r="K25">
        <v>4.3612913462064862E-2</v>
      </c>
      <c r="L25">
        <v>163.3603515625</v>
      </c>
      <c r="M25">
        <v>206.1103515625</v>
      </c>
      <c r="N25" t="s">
        <v>583</v>
      </c>
      <c r="O25">
        <v>2021</v>
      </c>
    </row>
    <row r="26" spans="1:15" x14ac:dyDescent="0.35">
      <c r="A26" t="s">
        <v>582</v>
      </c>
      <c r="B26" s="22">
        <v>44562</v>
      </c>
      <c r="C26">
        <v>4778.14013671875</v>
      </c>
      <c r="D26">
        <v>4818.6201171875</v>
      </c>
      <c r="E26">
        <v>4222.6201171875</v>
      </c>
      <c r="F26">
        <v>4515.5498046875</v>
      </c>
      <c r="G26">
        <v>95562890000</v>
      </c>
      <c r="H26">
        <v>4515.5498046875</v>
      </c>
      <c r="I26" t="s">
        <v>638</v>
      </c>
      <c r="J26" s="22">
        <v>45496</v>
      </c>
      <c r="K26">
        <v>-5.2585165027393847E-2</v>
      </c>
      <c r="L26">
        <v>-262.59033203125</v>
      </c>
      <c r="M26">
        <v>40.47998046875</v>
      </c>
      <c r="N26" t="s">
        <v>584</v>
      </c>
      <c r="O26">
        <v>2022</v>
      </c>
    </row>
    <row r="27" spans="1:15" x14ac:dyDescent="0.35">
      <c r="A27" t="s">
        <v>582</v>
      </c>
      <c r="B27" s="22">
        <v>44593</v>
      </c>
      <c r="C27">
        <v>4519.56982421875</v>
      </c>
      <c r="D27">
        <v>4595.31005859375</v>
      </c>
      <c r="E27">
        <v>4114.64990234375</v>
      </c>
      <c r="F27">
        <v>4373.93994140625</v>
      </c>
      <c r="G27">
        <v>92667710000</v>
      </c>
      <c r="H27">
        <v>4373.93994140625</v>
      </c>
      <c r="I27" t="s">
        <v>638</v>
      </c>
      <c r="J27" s="22">
        <v>45496</v>
      </c>
      <c r="K27">
        <v>-3.1360491945908293E-2</v>
      </c>
      <c r="L27">
        <v>-145.6298828125</v>
      </c>
      <c r="M27">
        <v>75.740234375</v>
      </c>
      <c r="N27" t="s">
        <v>588</v>
      </c>
      <c r="O27">
        <v>2022</v>
      </c>
    </row>
    <row r="28" spans="1:15" x14ac:dyDescent="0.35">
      <c r="A28" t="s">
        <v>582</v>
      </c>
      <c r="B28" s="22">
        <v>44621</v>
      </c>
      <c r="C28">
        <v>4363.14013671875</v>
      </c>
      <c r="D28">
        <v>4637.2998046875</v>
      </c>
      <c r="E28">
        <v>4157.8701171875</v>
      </c>
      <c r="F28">
        <v>4530.41015625</v>
      </c>
      <c r="G28">
        <v>123546260000</v>
      </c>
      <c r="H28">
        <v>4530.41015625</v>
      </c>
      <c r="I28" t="s">
        <v>638</v>
      </c>
      <c r="J28" s="22">
        <v>45496</v>
      </c>
      <c r="K28">
        <v>3.5773288371546252E-2</v>
      </c>
      <c r="L28">
        <v>167.27001953125</v>
      </c>
      <c r="M28">
        <v>274.15966796875</v>
      </c>
      <c r="N28" t="s">
        <v>588</v>
      </c>
      <c r="O28">
        <v>2022</v>
      </c>
    </row>
    <row r="29" spans="1:15" x14ac:dyDescent="0.35">
      <c r="A29" t="s">
        <v>582</v>
      </c>
      <c r="B29" s="22">
        <v>44652</v>
      </c>
      <c r="C29">
        <v>4540.31982421875</v>
      </c>
      <c r="D29">
        <v>4593.4501953125</v>
      </c>
      <c r="E29">
        <v>4124.27978515625</v>
      </c>
      <c r="F29">
        <v>4131.93017578125</v>
      </c>
      <c r="G29">
        <v>90367840000</v>
      </c>
      <c r="H29">
        <v>4131.93017578125</v>
      </c>
      <c r="I29" t="s">
        <v>638</v>
      </c>
      <c r="J29" s="22">
        <v>45496</v>
      </c>
      <c r="K29">
        <v>-8.7956711804343057E-2</v>
      </c>
      <c r="L29">
        <v>-408.3896484375</v>
      </c>
      <c r="M29">
        <v>53.13037109375</v>
      </c>
      <c r="N29" t="s">
        <v>586</v>
      </c>
      <c r="O29">
        <v>2022</v>
      </c>
    </row>
    <row r="30" spans="1:15" x14ac:dyDescent="0.35">
      <c r="A30" t="s">
        <v>582</v>
      </c>
      <c r="B30" s="22">
        <v>44682</v>
      </c>
      <c r="C30">
        <v>4130.60986328125</v>
      </c>
      <c r="D30">
        <v>4307.66015625</v>
      </c>
      <c r="E30">
        <v>3810.320068359375</v>
      </c>
      <c r="F30">
        <v>4132.14990234375</v>
      </c>
      <c r="G30">
        <v>108860390000</v>
      </c>
      <c r="H30">
        <v>4132.14990234375</v>
      </c>
      <c r="I30" t="s">
        <v>638</v>
      </c>
      <c r="J30" s="22">
        <v>45496</v>
      </c>
      <c r="K30">
        <v>5.3177704644635782E-5</v>
      </c>
      <c r="L30">
        <v>1.5400390625</v>
      </c>
      <c r="M30">
        <v>177.05029296875</v>
      </c>
      <c r="N30" t="s">
        <v>585</v>
      </c>
      <c r="O30">
        <v>2022</v>
      </c>
    </row>
    <row r="31" spans="1:15" x14ac:dyDescent="0.35">
      <c r="A31" t="s">
        <v>582</v>
      </c>
      <c r="B31" s="22">
        <v>44713</v>
      </c>
      <c r="C31">
        <v>4149.77978515625</v>
      </c>
      <c r="D31">
        <v>4177.509765625</v>
      </c>
      <c r="E31">
        <v>3636.8701171875</v>
      </c>
      <c r="F31">
        <v>3785.3798828125</v>
      </c>
      <c r="G31">
        <v>106116710000</v>
      </c>
      <c r="H31">
        <v>3785.3798828125</v>
      </c>
      <c r="I31" t="s">
        <v>638</v>
      </c>
      <c r="J31" s="22">
        <v>45496</v>
      </c>
      <c r="K31">
        <v>-8.3919999933826817E-2</v>
      </c>
      <c r="L31">
        <v>-364.39990234375</v>
      </c>
      <c r="M31">
        <v>27.72998046875</v>
      </c>
      <c r="N31" t="s">
        <v>583</v>
      </c>
      <c r="O31">
        <v>2022</v>
      </c>
    </row>
    <row r="32" spans="1:15" x14ac:dyDescent="0.35">
      <c r="A32" t="s">
        <v>582</v>
      </c>
      <c r="B32" s="22">
        <v>44743</v>
      </c>
      <c r="C32">
        <v>3781</v>
      </c>
      <c r="D32">
        <v>4140.14990234375</v>
      </c>
      <c r="E32">
        <v>3721.56005859375</v>
      </c>
      <c r="F32">
        <v>4130.2900390625</v>
      </c>
      <c r="G32">
        <v>81688320000</v>
      </c>
      <c r="H32">
        <v>4130.2900390625</v>
      </c>
      <c r="I32" t="s">
        <v>638</v>
      </c>
      <c r="J32" s="22">
        <v>45496</v>
      </c>
      <c r="K32">
        <v>9.1116391730210022E-2</v>
      </c>
      <c r="L32">
        <v>349.2900390625</v>
      </c>
      <c r="M32">
        <v>359.14990234375</v>
      </c>
      <c r="N32" t="s">
        <v>586</v>
      </c>
      <c r="O32">
        <v>2022</v>
      </c>
    </row>
    <row r="33" spans="1:15" x14ac:dyDescent="0.35">
      <c r="A33" t="s">
        <v>582</v>
      </c>
      <c r="B33" s="22">
        <v>44774</v>
      </c>
      <c r="C33">
        <v>4112.3798828125</v>
      </c>
      <c r="D33">
        <v>4325.27978515625</v>
      </c>
      <c r="E33">
        <v>3954.530029296875</v>
      </c>
      <c r="F33">
        <v>3955</v>
      </c>
      <c r="G33">
        <v>92252350000</v>
      </c>
      <c r="H33">
        <v>3955</v>
      </c>
      <c r="I33" t="s">
        <v>638</v>
      </c>
      <c r="J33" s="22">
        <v>45496</v>
      </c>
      <c r="K33">
        <v>-4.2440128272998368E-2</v>
      </c>
      <c r="L33">
        <v>-157.3798828125</v>
      </c>
      <c r="M33">
        <v>212.89990234375</v>
      </c>
      <c r="N33" t="s">
        <v>587</v>
      </c>
      <c r="O33">
        <v>2022</v>
      </c>
    </row>
    <row r="34" spans="1:15" x14ac:dyDescent="0.35">
      <c r="A34" t="s">
        <v>582</v>
      </c>
      <c r="B34" s="22">
        <v>44805</v>
      </c>
      <c r="C34">
        <v>3936.72998046875</v>
      </c>
      <c r="D34">
        <v>4119.27978515625</v>
      </c>
      <c r="E34">
        <v>3584.1298828125</v>
      </c>
      <c r="F34">
        <v>3585.6201171875</v>
      </c>
      <c r="G34">
        <v>94241020000</v>
      </c>
      <c r="H34">
        <v>3585.6201171875</v>
      </c>
      <c r="I34" t="s">
        <v>638</v>
      </c>
      <c r="J34" s="22">
        <v>45496</v>
      </c>
      <c r="K34">
        <v>-9.3395672013274367E-2</v>
      </c>
      <c r="L34">
        <v>-351.10986328125</v>
      </c>
      <c r="M34">
        <v>182.5498046875</v>
      </c>
      <c r="N34" t="s">
        <v>589</v>
      </c>
      <c r="O34">
        <v>2022</v>
      </c>
    </row>
    <row r="35" spans="1:15" x14ac:dyDescent="0.35">
      <c r="A35" t="s">
        <v>582</v>
      </c>
      <c r="B35" s="22">
        <v>44835</v>
      </c>
      <c r="C35">
        <v>3609.780029296875</v>
      </c>
      <c r="D35">
        <v>3905.419921875</v>
      </c>
      <c r="E35">
        <v>3491.580078125</v>
      </c>
      <c r="F35">
        <v>3871.97998046875</v>
      </c>
      <c r="G35">
        <v>95823760000</v>
      </c>
      <c r="H35">
        <v>3871.97998046875</v>
      </c>
      <c r="I35" t="s">
        <v>638</v>
      </c>
      <c r="J35" s="22">
        <v>45496</v>
      </c>
      <c r="K35">
        <v>7.9863413837008901E-2</v>
      </c>
      <c r="L35">
        <v>262.199951171875</v>
      </c>
      <c r="M35">
        <v>295.639892578125</v>
      </c>
      <c r="N35" t="s">
        <v>584</v>
      </c>
      <c r="O35">
        <v>2022</v>
      </c>
    </row>
    <row r="36" spans="1:15" x14ac:dyDescent="0.35">
      <c r="A36" t="s">
        <v>582</v>
      </c>
      <c r="B36" s="22">
        <v>44866</v>
      </c>
      <c r="C36">
        <v>3901.7900390625</v>
      </c>
      <c r="D36">
        <v>4080.110107421875</v>
      </c>
      <c r="E36">
        <v>3698.14990234375</v>
      </c>
      <c r="F36">
        <v>4080.110107421875</v>
      </c>
      <c r="G36">
        <v>92671910000</v>
      </c>
      <c r="H36">
        <v>4080.110107421875</v>
      </c>
      <c r="I36" t="s">
        <v>638</v>
      </c>
      <c r="J36" s="22">
        <v>45496</v>
      </c>
      <c r="K36">
        <v>5.3752893352493107E-2</v>
      </c>
      <c r="L36">
        <v>178.320068359375</v>
      </c>
      <c r="M36">
        <v>178.320068359375</v>
      </c>
      <c r="N36" t="s">
        <v>588</v>
      </c>
      <c r="O36">
        <v>2022</v>
      </c>
    </row>
    <row r="37" spans="1:15" x14ac:dyDescent="0.35">
      <c r="A37" t="s">
        <v>582</v>
      </c>
      <c r="B37" s="22">
        <v>44896</v>
      </c>
      <c r="C37">
        <v>4087.139892578125</v>
      </c>
      <c r="D37">
        <v>4100.9599609375</v>
      </c>
      <c r="E37">
        <v>3764.489990234375</v>
      </c>
      <c r="F37">
        <v>3839.5</v>
      </c>
      <c r="G37">
        <v>85249330000</v>
      </c>
      <c r="H37">
        <v>3839.5</v>
      </c>
      <c r="I37" t="s">
        <v>638</v>
      </c>
      <c r="J37" s="22">
        <v>45496</v>
      </c>
      <c r="K37">
        <v>-5.8971474074730468E-2</v>
      </c>
      <c r="L37">
        <v>-247.639892578125</v>
      </c>
      <c r="M37">
        <v>13.820068359375</v>
      </c>
      <c r="N37" t="s">
        <v>589</v>
      </c>
      <c r="O37">
        <v>2022</v>
      </c>
    </row>
    <row r="38" spans="1:15" x14ac:dyDescent="0.35">
      <c r="A38" t="s">
        <v>582</v>
      </c>
      <c r="B38" s="22">
        <v>44927</v>
      </c>
      <c r="C38">
        <v>3853.2900390625</v>
      </c>
      <c r="D38">
        <v>4094.2099609375</v>
      </c>
      <c r="E38">
        <v>3794.330078125</v>
      </c>
      <c r="F38">
        <v>4076.60009765625</v>
      </c>
      <c r="G38">
        <v>80763810000</v>
      </c>
      <c r="H38">
        <v>4076.60009765625</v>
      </c>
      <c r="I38" t="s">
        <v>638</v>
      </c>
      <c r="J38" s="22">
        <v>45496</v>
      </c>
      <c r="K38">
        <v>6.1752857834679098E-2</v>
      </c>
      <c r="L38">
        <v>223.31005859375</v>
      </c>
      <c r="M38">
        <v>240.919921875</v>
      </c>
      <c r="N38" t="s">
        <v>585</v>
      </c>
      <c r="O38">
        <v>2023</v>
      </c>
    </row>
    <row r="39" spans="1:15" x14ac:dyDescent="0.35">
      <c r="A39" t="s">
        <v>582</v>
      </c>
      <c r="B39" s="22">
        <v>44958</v>
      </c>
      <c r="C39">
        <v>4070.070068359375</v>
      </c>
      <c r="D39">
        <v>4195.43994140625</v>
      </c>
      <c r="E39">
        <v>3943.080078125</v>
      </c>
      <c r="F39">
        <v>3970.14990234375</v>
      </c>
      <c r="G39">
        <v>80392280000</v>
      </c>
      <c r="H39">
        <v>3970.14990234375</v>
      </c>
      <c r="I39" t="s">
        <v>638</v>
      </c>
      <c r="J39" s="22">
        <v>45496</v>
      </c>
      <c r="K39">
        <v>-2.6112493931818581E-2</v>
      </c>
      <c r="L39">
        <v>-99.920166015625</v>
      </c>
      <c r="M39">
        <v>125.369873046875</v>
      </c>
      <c r="N39" t="s">
        <v>583</v>
      </c>
      <c r="O39">
        <v>2023</v>
      </c>
    </row>
    <row r="40" spans="1:15" x14ac:dyDescent="0.35">
      <c r="A40" t="s">
        <v>582</v>
      </c>
      <c r="B40" s="22">
        <v>44986</v>
      </c>
      <c r="C40">
        <v>3963.340087890625</v>
      </c>
      <c r="D40">
        <v>4110.75</v>
      </c>
      <c r="E40">
        <v>3808.860107421875</v>
      </c>
      <c r="F40">
        <v>4109.31005859375</v>
      </c>
      <c r="G40">
        <v>113094800000</v>
      </c>
      <c r="H40">
        <v>4109.31005859375</v>
      </c>
      <c r="I40" t="s">
        <v>638</v>
      </c>
      <c r="J40" s="22">
        <v>45496</v>
      </c>
      <c r="K40">
        <v>3.5051612577108981E-2</v>
      </c>
      <c r="L40">
        <v>145.969970703125</v>
      </c>
      <c r="M40">
        <v>147.409912109375</v>
      </c>
      <c r="N40" t="s">
        <v>583</v>
      </c>
      <c r="O40">
        <v>2023</v>
      </c>
    </row>
    <row r="41" spans="1:15" x14ac:dyDescent="0.35">
      <c r="A41" t="s">
        <v>582</v>
      </c>
      <c r="B41" s="22">
        <v>45017</v>
      </c>
      <c r="C41">
        <v>4102.2001953125</v>
      </c>
      <c r="D41">
        <v>4170.06005859375</v>
      </c>
      <c r="E41">
        <v>4049.35009765625</v>
      </c>
      <c r="F41">
        <v>4169.47998046875</v>
      </c>
      <c r="G41">
        <v>70861260000</v>
      </c>
      <c r="H41">
        <v>4169.47998046875</v>
      </c>
      <c r="I41" t="s">
        <v>638</v>
      </c>
      <c r="J41" s="22">
        <v>45496</v>
      </c>
      <c r="K41">
        <v>1.4642341662481019E-2</v>
      </c>
      <c r="L41">
        <v>67.27978515625</v>
      </c>
      <c r="M41">
        <v>67.85986328125</v>
      </c>
      <c r="N41" t="s">
        <v>584</v>
      </c>
      <c r="O41">
        <v>2023</v>
      </c>
    </row>
    <row r="42" spans="1:15" x14ac:dyDescent="0.35">
      <c r="A42" t="s">
        <v>582</v>
      </c>
      <c r="B42" s="22">
        <v>45047</v>
      </c>
      <c r="C42">
        <v>4166.7900390625</v>
      </c>
      <c r="D42">
        <v>4231.10009765625</v>
      </c>
      <c r="E42">
        <v>4048.280029296875</v>
      </c>
      <c r="F42">
        <v>4179.830078125</v>
      </c>
      <c r="G42">
        <v>88929200000</v>
      </c>
      <c r="H42">
        <v>4179.830078125</v>
      </c>
      <c r="I42" t="s">
        <v>638</v>
      </c>
      <c r="J42" s="22">
        <v>45496</v>
      </c>
      <c r="K42">
        <v>2.482347368192972E-3</v>
      </c>
      <c r="L42">
        <v>13.0400390625</v>
      </c>
      <c r="M42">
        <v>64.31005859375</v>
      </c>
      <c r="N42" t="s">
        <v>587</v>
      </c>
      <c r="O42">
        <v>2023</v>
      </c>
    </row>
    <row r="43" spans="1:15" x14ac:dyDescent="0.35">
      <c r="A43" t="s">
        <v>582</v>
      </c>
      <c r="B43" s="22">
        <v>45078</v>
      </c>
      <c r="C43">
        <v>4183.02978515625</v>
      </c>
      <c r="D43">
        <v>4458.47998046875</v>
      </c>
      <c r="E43">
        <v>4171.64013671875</v>
      </c>
      <c r="F43">
        <v>4450.3798828125</v>
      </c>
      <c r="G43">
        <v>87983140000</v>
      </c>
      <c r="H43">
        <v>4450.3798828125</v>
      </c>
      <c r="I43" t="s">
        <v>638</v>
      </c>
      <c r="J43" s="22">
        <v>45496</v>
      </c>
      <c r="K43">
        <v>6.4727464904234644E-2</v>
      </c>
      <c r="L43">
        <v>267.35009765625</v>
      </c>
      <c r="M43">
        <v>275.4501953125</v>
      </c>
      <c r="N43" t="s">
        <v>589</v>
      </c>
      <c r="O43">
        <v>2023</v>
      </c>
    </row>
    <row r="44" spans="1:15" x14ac:dyDescent="0.35">
      <c r="A44" t="s">
        <v>582</v>
      </c>
      <c r="B44" s="22">
        <v>45108</v>
      </c>
      <c r="C44">
        <v>4450.47998046875</v>
      </c>
      <c r="D44">
        <v>4607.06982421875</v>
      </c>
      <c r="E44">
        <v>4385.0498046875</v>
      </c>
      <c r="F44">
        <v>4588.9599609375</v>
      </c>
      <c r="G44">
        <v>75063200000</v>
      </c>
      <c r="H44">
        <v>4588.9599609375</v>
      </c>
      <c r="I44" t="s">
        <v>638</v>
      </c>
      <c r="J44" s="22">
        <v>45496</v>
      </c>
      <c r="K44">
        <v>3.1138932355010859E-2</v>
      </c>
      <c r="L44">
        <v>138.47998046875</v>
      </c>
      <c r="M44">
        <v>156.58984375</v>
      </c>
      <c r="N44" t="s">
        <v>584</v>
      </c>
      <c r="O44">
        <v>2023</v>
      </c>
    </row>
    <row r="45" spans="1:15" x14ac:dyDescent="0.35">
      <c r="A45" t="s">
        <v>582</v>
      </c>
      <c r="B45" s="22">
        <v>45139</v>
      </c>
      <c r="C45">
        <v>4578.830078125</v>
      </c>
      <c r="D45">
        <v>4584.6201171875</v>
      </c>
      <c r="E45">
        <v>4335.31005859375</v>
      </c>
      <c r="F45">
        <v>4507.66015625</v>
      </c>
      <c r="G45">
        <v>86840820000</v>
      </c>
      <c r="H45">
        <v>4507.66015625</v>
      </c>
      <c r="I45" t="s">
        <v>638</v>
      </c>
      <c r="J45" s="22">
        <v>45496</v>
      </c>
      <c r="K45">
        <v>-1.7716390070854019E-2</v>
      </c>
      <c r="L45">
        <v>-71.169921875</v>
      </c>
      <c r="M45">
        <v>5.7900390625</v>
      </c>
      <c r="N45" t="s">
        <v>588</v>
      </c>
      <c r="O45">
        <v>2023</v>
      </c>
    </row>
    <row r="46" spans="1:15" x14ac:dyDescent="0.35">
      <c r="A46" t="s">
        <v>582</v>
      </c>
      <c r="B46" s="22">
        <v>45170</v>
      </c>
      <c r="C46">
        <v>4530.60009765625</v>
      </c>
      <c r="D46">
        <v>4541.25</v>
      </c>
      <c r="E46">
        <v>4238.6298828125</v>
      </c>
      <c r="F46">
        <v>4288.0498046875</v>
      </c>
      <c r="G46">
        <v>73482980000</v>
      </c>
      <c r="H46">
        <v>4288.0498046875</v>
      </c>
      <c r="I46" t="s">
        <v>638</v>
      </c>
      <c r="J46" s="22">
        <v>45496</v>
      </c>
      <c r="K46">
        <v>-4.8719367465624892E-2</v>
      </c>
      <c r="L46">
        <v>-242.55029296875</v>
      </c>
      <c r="M46">
        <v>10.64990234375</v>
      </c>
      <c r="N46" t="s">
        <v>586</v>
      </c>
      <c r="O46">
        <v>2023</v>
      </c>
    </row>
    <row r="47" spans="1:15" x14ac:dyDescent="0.35">
      <c r="A47" t="s">
        <v>582</v>
      </c>
      <c r="B47" s="22">
        <v>45200</v>
      </c>
      <c r="C47">
        <v>4284.52001953125</v>
      </c>
      <c r="D47">
        <v>4393.56982421875</v>
      </c>
      <c r="E47">
        <v>4103.77978515625</v>
      </c>
      <c r="F47">
        <v>4193.7998046875</v>
      </c>
      <c r="G47">
        <v>83519460000</v>
      </c>
      <c r="H47">
        <v>4193.7998046875</v>
      </c>
      <c r="I47" t="s">
        <v>638</v>
      </c>
      <c r="J47" s="22">
        <v>45496</v>
      </c>
      <c r="K47">
        <v>-2.197968873798295E-2</v>
      </c>
      <c r="L47">
        <v>-90.72021484375</v>
      </c>
      <c r="M47">
        <v>109.0498046875</v>
      </c>
      <c r="N47" t="s">
        <v>585</v>
      </c>
      <c r="O47">
        <v>2023</v>
      </c>
    </row>
    <row r="48" spans="1:15" x14ac:dyDescent="0.35">
      <c r="A48" t="s">
        <v>582</v>
      </c>
      <c r="B48" s="22">
        <v>45231</v>
      </c>
      <c r="C48">
        <v>4201.27001953125</v>
      </c>
      <c r="D48">
        <v>4587.64013671875</v>
      </c>
      <c r="E48">
        <v>4197.740234375</v>
      </c>
      <c r="F48">
        <v>4567.7998046875</v>
      </c>
      <c r="G48">
        <v>80970570000</v>
      </c>
      <c r="H48">
        <v>4567.7998046875</v>
      </c>
      <c r="I48" t="s">
        <v>638</v>
      </c>
      <c r="J48" s="22">
        <v>45496</v>
      </c>
      <c r="K48">
        <v>8.9179268781970134E-2</v>
      </c>
      <c r="L48">
        <v>366.52978515625</v>
      </c>
      <c r="M48">
        <v>386.3701171875</v>
      </c>
      <c r="N48" t="s">
        <v>583</v>
      </c>
      <c r="O48">
        <v>2023</v>
      </c>
    </row>
    <row r="49" spans="1:15" x14ac:dyDescent="0.35">
      <c r="A49" t="s">
        <v>582</v>
      </c>
      <c r="B49" s="22">
        <v>45261</v>
      </c>
      <c r="C49">
        <v>4559.43017578125</v>
      </c>
      <c r="D49">
        <v>4793.2998046875</v>
      </c>
      <c r="E49">
        <v>4546.5</v>
      </c>
      <c r="F49">
        <v>4769.830078125</v>
      </c>
      <c r="G49">
        <v>81530670000</v>
      </c>
      <c r="H49">
        <v>4769.830078125</v>
      </c>
      <c r="I49" t="s">
        <v>638</v>
      </c>
      <c r="J49" s="22">
        <v>45496</v>
      </c>
      <c r="K49">
        <v>4.4229231156360127E-2</v>
      </c>
      <c r="L49">
        <v>210.39990234375</v>
      </c>
      <c r="M49">
        <v>233.86962890625</v>
      </c>
      <c r="N49" t="s">
        <v>586</v>
      </c>
      <c r="O49">
        <v>2023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DCDD-593D-4189-9504-FBE5B91B5152}">
  <sheetPr>
    <tabColor theme="1"/>
  </sheetPr>
  <dimension ref="A1:C7"/>
  <sheetViews>
    <sheetView showGridLines="0" workbookViewId="0">
      <selection activeCell="B6" sqref="B6"/>
    </sheetView>
  </sheetViews>
  <sheetFormatPr defaultRowHeight="14.5" x14ac:dyDescent="0.35"/>
  <cols>
    <col min="1" max="1" width="29.7265625" bestFit="1" customWidth="1"/>
    <col min="2" max="2" width="44.7265625" customWidth="1"/>
    <col min="3" max="3" width="34.453125" bestFit="1" customWidth="1"/>
  </cols>
  <sheetData>
    <row r="1" spans="1:3" x14ac:dyDescent="0.35">
      <c r="A1" s="36" t="s">
        <v>125</v>
      </c>
      <c r="B1" s="36" t="s">
        <v>126</v>
      </c>
    </row>
    <row r="2" spans="1:3" x14ac:dyDescent="0.35">
      <c r="A2" s="37" t="s">
        <v>121</v>
      </c>
      <c r="B2" s="38" t="s">
        <v>123</v>
      </c>
      <c r="C2" s="46" t="s">
        <v>472</v>
      </c>
    </row>
    <row r="3" spans="1:3" x14ac:dyDescent="0.35">
      <c r="A3" s="37" t="s">
        <v>119</v>
      </c>
      <c r="B3" s="38" t="s">
        <v>122</v>
      </c>
      <c r="C3" s="46" t="s">
        <v>472</v>
      </c>
    </row>
    <row r="4" spans="1:3" x14ac:dyDescent="0.35">
      <c r="A4" s="37" t="s">
        <v>120</v>
      </c>
      <c r="B4" s="38" t="s">
        <v>124</v>
      </c>
      <c r="C4" s="46" t="s">
        <v>472</v>
      </c>
    </row>
    <row r="5" spans="1:3" x14ac:dyDescent="0.35">
      <c r="A5" s="37" t="s">
        <v>127</v>
      </c>
      <c r="B5" s="38" t="s">
        <v>128</v>
      </c>
      <c r="C5" s="46" t="s">
        <v>472</v>
      </c>
    </row>
    <row r="6" spans="1:3" x14ac:dyDescent="0.35">
      <c r="A6" s="37" t="s">
        <v>129</v>
      </c>
      <c r="B6" s="38" t="s">
        <v>130</v>
      </c>
      <c r="C6" s="46" t="s">
        <v>472</v>
      </c>
    </row>
    <row r="7" spans="1:3" x14ac:dyDescent="0.35">
      <c r="A7" s="37" t="s">
        <v>132</v>
      </c>
      <c r="B7" s="38" t="s">
        <v>131</v>
      </c>
      <c r="C7" s="46" t="s">
        <v>472</v>
      </c>
    </row>
  </sheetData>
  <autoFilter ref="A1:B1" xr:uid="{B834DCDD-593D-4189-9504-FBE5B91B5152}">
    <sortState xmlns:xlrd2="http://schemas.microsoft.com/office/spreadsheetml/2017/richdata2" ref="A2:B4">
      <sortCondition ref="A1"/>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97D56-3334-496E-BE3A-A0801A9D85AB}">
  <sheetPr>
    <tabColor theme="1"/>
  </sheetPr>
  <dimension ref="A1"/>
  <sheetViews>
    <sheetView showGridLines="0" workbookViewId="0">
      <selection activeCell="B39" sqref="B39"/>
    </sheetView>
  </sheetViews>
  <sheetFormatPr defaultRowHeight="14.5" x14ac:dyDescent="0.3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F496-26B0-4FB3-9AD8-FBD3F23D785D}">
  <sheetPr>
    <tabColor theme="1"/>
  </sheetPr>
  <dimension ref="A1:A2"/>
  <sheetViews>
    <sheetView workbookViewId="0">
      <selection activeCell="A2" sqref="A2"/>
    </sheetView>
  </sheetViews>
  <sheetFormatPr defaultRowHeight="14.5" x14ac:dyDescent="0.35"/>
  <sheetData>
    <row r="1" spans="1:1" x14ac:dyDescent="0.35">
      <c r="A1" t="s">
        <v>65</v>
      </c>
    </row>
    <row r="2" spans="1:1" x14ac:dyDescent="0.35">
      <c r="A2" s="19" t="s">
        <v>66</v>
      </c>
    </row>
  </sheetData>
  <hyperlinks>
    <hyperlink ref="A2" r:id="rId1" xr:uid="{1A83A14C-A7EB-47B2-9BF5-2F1DC5967D5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1EBB0-F07C-4513-BA51-566370FBD4DA}">
  <sheetPr>
    <tabColor rgb="FF0C78C2"/>
  </sheetPr>
  <dimension ref="A1:O208"/>
  <sheetViews>
    <sheetView showGridLines="0" tabSelected="1" zoomScale="90" zoomScaleNormal="90" workbookViewId="0">
      <pane xSplit="1" ySplit="2" topLeftCell="B180" activePane="bottomRight" state="frozen"/>
      <selection pane="topRight" activeCell="B1" sqref="B1"/>
      <selection pane="bottomLeft" activeCell="A3" sqref="A3"/>
      <selection pane="bottomRight" activeCell="E194" sqref="E194"/>
    </sheetView>
  </sheetViews>
  <sheetFormatPr defaultRowHeight="14.5" outlineLevelRow="2" x14ac:dyDescent="0.35"/>
  <cols>
    <col min="1" max="1" width="22.453125" customWidth="1"/>
    <col min="3" max="3" width="15.26953125" customWidth="1"/>
    <col min="4" max="4" width="21.81640625" bestFit="1" customWidth="1"/>
    <col min="5" max="5" width="17.26953125" style="10" bestFit="1" customWidth="1"/>
    <col min="6" max="6" width="17.81640625" style="10" bestFit="1" customWidth="1"/>
    <col min="7" max="7" width="17.36328125" style="10" bestFit="1" customWidth="1"/>
    <col min="8" max="8" width="18.54296875" style="10" customWidth="1"/>
    <col min="9" max="9" width="21.54296875" style="10" bestFit="1" customWidth="1"/>
    <col min="10" max="10" width="18.54296875" style="10" customWidth="1"/>
    <col min="11" max="11" width="17" style="10" bestFit="1" customWidth="1"/>
    <col min="12" max="12" width="17.54296875" bestFit="1" customWidth="1"/>
    <col min="13" max="13" width="17.453125" bestFit="1" customWidth="1"/>
    <col min="14" max="14" width="21.36328125" bestFit="1" customWidth="1"/>
    <col min="15" max="15" width="18.453125" bestFit="1" customWidth="1"/>
  </cols>
  <sheetData>
    <row r="1" spans="1:15" ht="21" customHeight="1" x14ac:dyDescent="0.35">
      <c r="A1" s="50" t="s">
        <v>477</v>
      </c>
      <c r="B1" s="147" t="s">
        <v>646</v>
      </c>
      <c r="C1" s="148"/>
      <c r="D1" s="149"/>
      <c r="E1" s="144"/>
      <c r="F1" s="144"/>
      <c r="G1" s="144"/>
      <c r="H1" s="144"/>
      <c r="I1" s="145" t="s">
        <v>2</v>
      </c>
      <c r="J1" s="145"/>
      <c r="K1" s="145"/>
      <c r="L1" s="145"/>
      <c r="M1" s="145"/>
      <c r="N1" s="49" t="s">
        <v>473</v>
      </c>
    </row>
    <row r="2" spans="1:15" ht="21" x14ac:dyDescent="0.5">
      <c r="A2" s="146" t="s">
        <v>0</v>
      </c>
      <c r="B2" s="146"/>
      <c r="C2" s="146"/>
      <c r="D2" s="146"/>
      <c r="E2" s="28">
        <f>_xlfn.MINIFS(TickerYears!$E:$E,TickerYears!$A:$A,$B$1)+E4</f>
        <v>2020</v>
      </c>
      <c r="F2" s="28">
        <f t="shared" ref="F2:M2" si="0">E2+1</f>
        <v>2021</v>
      </c>
      <c r="G2" s="28">
        <f t="shared" si="0"/>
        <v>2022</v>
      </c>
      <c r="H2" s="28">
        <f t="shared" si="0"/>
        <v>2023</v>
      </c>
      <c r="I2" s="29">
        <f t="shared" si="0"/>
        <v>2024</v>
      </c>
      <c r="J2" s="29">
        <f t="shared" si="0"/>
        <v>2025</v>
      </c>
      <c r="K2" s="29">
        <f t="shared" si="0"/>
        <v>2026</v>
      </c>
      <c r="L2" s="29">
        <f t="shared" si="0"/>
        <v>2027</v>
      </c>
      <c r="M2" s="29">
        <f t="shared" si="0"/>
        <v>2028</v>
      </c>
    </row>
    <row r="3" spans="1:15" ht="15" thickBot="1" x14ac:dyDescent="0.4">
      <c r="A3" s="1" t="s">
        <v>3</v>
      </c>
      <c r="B3" s="1"/>
      <c r="C3" s="1"/>
      <c r="D3" s="1"/>
      <c r="E3" s="9" t="b">
        <f>E2=_xlfn.MINIFS(TickerYears!$E:$E,TickerYears!$A:$A,$B$1)</f>
        <v>1</v>
      </c>
      <c r="F3" s="9" t="b">
        <f>F2=_xlfn.MAXIFS(TickerYears!$E:$E,TickerYears!$A:$A,$B$1)</f>
        <v>0</v>
      </c>
      <c r="G3" s="9" t="b">
        <f>G2=_xlfn.MAXIFS(TickerYears!$E:$E,TickerYears!$A:$A,$B$1)</f>
        <v>0</v>
      </c>
      <c r="H3" s="9" t="b">
        <f>H2=_xlfn.MAXIFS(TickerYears!$E:$E,TickerYears!$A:$A,$B$1)</f>
        <v>1</v>
      </c>
      <c r="I3" s="9"/>
      <c r="J3" s="9"/>
      <c r="K3" s="9"/>
      <c r="L3" s="9"/>
      <c r="M3" s="9"/>
    </row>
    <row r="4" spans="1:15" ht="15" thickTop="1" x14ac:dyDescent="0.35">
      <c r="E4" s="123">
        <v>0</v>
      </c>
    </row>
    <row r="5" spans="1:15" x14ac:dyDescent="0.35">
      <c r="A5" s="2" t="s">
        <v>4</v>
      </c>
      <c r="B5" s="2"/>
      <c r="C5" s="2"/>
      <c r="D5" s="2"/>
      <c r="E5" s="11"/>
      <c r="F5" s="11"/>
      <c r="G5" s="11"/>
      <c r="H5" s="11"/>
      <c r="I5" s="11"/>
      <c r="J5" s="11"/>
      <c r="K5" s="11"/>
      <c r="L5" s="11"/>
      <c r="M5" s="11"/>
    </row>
    <row r="6" spans="1:15" outlineLevel="1" x14ac:dyDescent="0.35">
      <c r="A6" s="3" t="s">
        <v>5</v>
      </c>
      <c r="I6" s="78">
        <f>PERCENTILE(E7:H7,0.2)</f>
        <v>3.3071781204945604E-2</v>
      </c>
    </row>
    <row r="7" spans="1:15" outlineLevel="1" x14ac:dyDescent="0.35">
      <c r="A7" s="130" t="s">
        <v>11</v>
      </c>
      <c r="D7" s="86">
        <f t="shared" ref="D7:D13" si="1">STDEV(E7:H7)</f>
        <v>2.7469877454134102E-2</v>
      </c>
      <c r="E7" s="68" t="str">
        <f>IFERROR((E31-D31)/D31,"")</f>
        <v/>
      </c>
      <c r="F7" s="68">
        <f>IFERROR((F31-E31)/E31,"")</f>
        <v>8.0956761729530813E-2</v>
      </c>
      <c r="G7" s="68">
        <f>IFERROR((G31-F31)/F31,"")</f>
        <v>3.6170212765957444E-2</v>
      </c>
      <c r="H7" s="68">
        <f>IFERROR((H31-G31)/G31,"")</f>
        <v>3.1006160164271046E-2</v>
      </c>
      <c r="I7" s="81">
        <f>AVERAGE($F$7:$H$7)</f>
        <v>4.9377711553253101E-2</v>
      </c>
      <c r="J7" s="81">
        <f>PERCENTILE($I$6:$I$7,0.8)</f>
        <v>4.6116525483591603E-2</v>
      </c>
      <c r="K7" s="81">
        <f>PERCENTILE($I$6:$I$7,0.6)</f>
        <v>4.2855339413930105E-2</v>
      </c>
      <c r="L7" s="81">
        <f>PERCENTILE($I$6:$I$7,0.4)</f>
        <v>3.95941533442686E-2</v>
      </c>
      <c r="M7" s="81">
        <f>PERCENTILE(E7:H7,0.2)</f>
        <v>3.3071781204945604E-2</v>
      </c>
      <c r="N7" s="86">
        <f>STDEV(I7:M7)</f>
        <v>6.2730166546511434E-3</v>
      </c>
      <c r="O7" t="b">
        <f>N7&lt;D7</f>
        <v>1</v>
      </c>
    </row>
    <row r="8" spans="1:15" outlineLevel="1" x14ac:dyDescent="0.35">
      <c r="A8" s="130" t="s">
        <v>12</v>
      </c>
      <c r="D8" s="86">
        <f t="shared" si="1"/>
        <v>5.352093464334161E-3</v>
      </c>
      <c r="E8" s="68">
        <f>IFERROR(E32/E31,"")</f>
        <v>0.42272309107635697</v>
      </c>
      <c r="F8" s="68">
        <f>IFERROR(F32/F31,"")</f>
        <v>0.4227659574468085</v>
      </c>
      <c r="G8" s="68">
        <f>IFERROR(G32/G31,"")</f>
        <v>0.43326488706365501</v>
      </c>
      <c r="H8" s="68">
        <f>IFERROR(H32/H31,"")</f>
        <v>0.42222664807807209</v>
      </c>
      <c r="I8" s="81">
        <f>AVERAGE($E$8:$H$8)</f>
        <v>0.42524514591622314</v>
      </c>
      <c r="J8" s="81">
        <f>AVERAGE($E$8:$H$8)</f>
        <v>0.42524514591622314</v>
      </c>
      <c r="K8" s="81">
        <f>AVERAGE($E$8:$H$8)</f>
        <v>0.42524514591622314</v>
      </c>
      <c r="L8" s="81">
        <f>AVERAGE($E$8:$H$8)</f>
        <v>0.42524514591622314</v>
      </c>
      <c r="M8" s="81">
        <f>AVERAGE($E$8:$H$8)</f>
        <v>0.42524514591622314</v>
      </c>
      <c r="N8" s="86">
        <f t="shared" ref="N8:N19" si="2">STDEV(I8:M8)</f>
        <v>0</v>
      </c>
      <c r="O8" t="b">
        <f t="shared" ref="O8:O19" si="3">N8&lt;D8</f>
        <v>1</v>
      </c>
    </row>
    <row r="9" spans="1:15" outlineLevel="1" x14ac:dyDescent="0.35">
      <c r="A9" s="130" t="s">
        <v>524</v>
      </c>
      <c r="D9" s="86">
        <f t="shared" si="1"/>
        <v>8.9142852815958622E-3</v>
      </c>
      <c r="E9" s="68">
        <f>E37/E31</f>
        <v>0.35855565777368903</v>
      </c>
      <c r="F9" s="68">
        <f>F37/F31</f>
        <v>0.35574468085106381</v>
      </c>
      <c r="G9" s="68">
        <f>G37/G31</f>
        <v>0.33839835728952772</v>
      </c>
      <c r="H9" s="68">
        <f>H37/H31</f>
        <v>0.35072694682334199</v>
      </c>
      <c r="I9" s="81">
        <f>AVERAGE($E$9:$H$9)</f>
        <v>0.35085641068440565</v>
      </c>
      <c r="J9" s="81">
        <f>AVERAGE($E$9:$H$9)</f>
        <v>0.35085641068440565</v>
      </c>
      <c r="K9" s="81">
        <f>AVERAGE($E$9:$H$9)</f>
        <v>0.35085641068440565</v>
      </c>
      <c r="L9" s="81">
        <f>AVERAGE($E$9:$H$9)</f>
        <v>0.35085641068440565</v>
      </c>
      <c r="M9" s="81">
        <f>AVERAGE($E$9:$H$9)</f>
        <v>0.35085641068440565</v>
      </c>
      <c r="N9" s="86">
        <f t="shared" si="2"/>
        <v>0</v>
      </c>
    </row>
    <row r="10" spans="1:15" outlineLevel="1" x14ac:dyDescent="0.35">
      <c r="A10" s="133" t="s">
        <v>15</v>
      </c>
      <c r="D10" s="86">
        <f t="shared" si="1"/>
        <v>1.7279307840773517E-2</v>
      </c>
      <c r="E10" s="68" t="str">
        <f>IFERROR(E38/E60,"")</f>
        <v/>
      </c>
      <c r="F10" s="68">
        <f t="shared" ref="F10:H10" si="4">IFERROR(F38/F60,"")</f>
        <v>0.15186246418338109</v>
      </c>
      <c r="G10" s="68">
        <f t="shared" si="4"/>
        <v>0.12729844413012731</v>
      </c>
      <c r="H10" s="68">
        <f t="shared" si="4"/>
        <v>0.11852861035422343</v>
      </c>
      <c r="I10" s="81">
        <f>AVERAGE($E$10:$H$10)</f>
        <v>0.13256317288924394</v>
      </c>
      <c r="J10" s="81">
        <f>AVERAGE($E$10:$H$10)</f>
        <v>0.13256317288924394</v>
      </c>
      <c r="K10" s="81">
        <f>AVERAGE($E$10:$H$10)</f>
        <v>0.13256317288924394</v>
      </c>
      <c r="L10" s="81">
        <f>AVERAGE($E$10:$H$10)</f>
        <v>0.13256317288924394</v>
      </c>
      <c r="M10" s="81">
        <f>AVERAGE($E$10:$H$10)</f>
        <v>0.13256317288924394</v>
      </c>
      <c r="N10" s="86">
        <f t="shared" si="2"/>
        <v>0</v>
      </c>
      <c r="O10" t="b">
        <f t="shared" si="3"/>
        <v>1</v>
      </c>
    </row>
    <row r="11" spans="1:15" outlineLevel="1" x14ac:dyDescent="0.35">
      <c r="A11" s="130" t="s">
        <v>519</v>
      </c>
      <c r="D11" s="86">
        <f t="shared" si="1"/>
        <v>3.6833848792216335E-3</v>
      </c>
      <c r="E11" s="68">
        <f>E38/E31</f>
        <v>2.5298988040478382E-2</v>
      </c>
      <c r="F11" s="68">
        <f>F38/F31</f>
        <v>2.2553191489361701E-2</v>
      </c>
      <c r="G11" s="68">
        <f>G38/G31</f>
        <v>1.8480492813141684E-2</v>
      </c>
      <c r="H11" s="68">
        <f>H38/H31</f>
        <v>1.7327225652260504E-2</v>
      </c>
      <c r="I11" s="81">
        <f>AVERAGE($E$11:$H$11)</f>
        <v>2.0914974498810565E-2</v>
      </c>
      <c r="J11" s="81">
        <f>AVERAGE($E$11:$H$11)</f>
        <v>2.0914974498810565E-2</v>
      </c>
      <c r="K11" s="81">
        <f>AVERAGE($E$11:$H$11)</f>
        <v>2.0914974498810565E-2</v>
      </c>
      <c r="L11" s="81">
        <f>AVERAGE($E$11:$H$11)</f>
        <v>2.0914974498810565E-2</v>
      </c>
      <c r="M11" s="81">
        <f>AVERAGE($E$11:$H$11)</f>
        <v>2.0914974498810565E-2</v>
      </c>
      <c r="N11" s="86">
        <f t="shared" si="2"/>
        <v>0</v>
      </c>
    </row>
    <row r="12" spans="1:15" outlineLevel="1" x14ac:dyDescent="0.35">
      <c r="A12" s="133" t="s">
        <v>16</v>
      </c>
      <c r="D12" s="86">
        <f t="shared" si="1"/>
        <v>6.2371293034529244E-3</v>
      </c>
      <c r="E12" s="68" t="str">
        <f>IFERROR(E39/E163,"")</f>
        <v/>
      </c>
      <c r="F12" s="68">
        <f t="shared" ref="F12:H12" si="5">IFERROR(F39/F163,"")</f>
        <v>0</v>
      </c>
      <c r="G12" s="68">
        <f t="shared" si="5"/>
        <v>0</v>
      </c>
      <c r="H12" s="68">
        <f t="shared" si="5"/>
        <v>1.0803024846957148E-2</v>
      </c>
      <c r="I12" s="81">
        <f>AVERAGE($E$12:$H$12)</f>
        <v>3.6010082823190494E-3</v>
      </c>
      <c r="J12" s="81">
        <f>AVERAGE($E$12:$H$12)</f>
        <v>3.6010082823190494E-3</v>
      </c>
      <c r="K12" s="81">
        <f>AVERAGE($E$12:$H$12)</f>
        <v>3.6010082823190494E-3</v>
      </c>
      <c r="L12" s="81">
        <f>AVERAGE($E$12:$H$12)</f>
        <v>3.6010082823190494E-3</v>
      </c>
      <c r="M12" s="81">
        <f>AVERAGE($E$12:$H$12)</f>
        <v>3.6010082823190494E-3</v>
      </c>
      <c r="N12" s="86">
        <f t="shared" si="2"/>
        <v>0</v>
      </c>
      <c r="O12" t="b">
        <f t="shared" si="3"/>
        <v>1</v>
      </c>
    </row>
    <row r="13" spans="1:15" outlineLevel="1" x14ac:dyDescent="0.35">
      <c r="A13" s="133" t="s">
        <v>17</v>
      </c>
      <c r="D13" s="86">
        <f t="shared" si="1"/>
        <v>2.9953050867148546E-2</v>
      </c>
      <c r="E13" s="68">
        <f>AVERAGEIFS(IncomeStatement[TaxRateForCalcs],IncomeStatement[Ticker],$B$1,IncomeStatement[Year],E2,IncomeStatement[periodType],"&lt;&gt;TTM")</f>
        <v>0.237895</v>
      </c>
      <c r="F13" s="68">
        <f>AVERAGEIFS(IncomeStatement[TaxRateForCalcs],IncomeStatement[Ticker],$B$1,IncomeStatement[Year],F2,IncomeStatement[periodType],"&lt;&gt;TTM")</f>
        <v>0.17799999999999999</v>
      </c>
      <c r="G13" s="68">
        <f>AVERAGEIFS(IncomeStatement[TaxRateForCalcs],IncomeStatement[Ticker],$B$1,IncomeStatement[Year],G2,IncomeStatement[periodType],"&lt;&gt;TTM")</f>
        <v>0.24099999999999999</v>
      </c>
      <c r="H13" s="68">
        <f>AVERAGEIFS(IncomeStatement[TaxRateForCalcs],IncomeStatement[Ticker],$B$1,IncomeStatement[Year],H2,IncomeStatement[periodType],"&lt;&gt;TTM")</f>
        <v>0.23400000000000001</v>
      </c>
      <c r="I13" s="81">
        <f>AVERAGE($E$13:$H$13)</f>
        <v>0.22272375</v>
      </c>
      <c r="J13" s="81">
        <f>AVERAGE($E$13:$H$13)</f>
        <v>0.22272375</v>
      </c>
      <c r="K13" s="81">
        <f>AVERAGE($E$13:$H$13)</f>
        <v>0.22272375</v>
      </c>
      <c r="L13" s="81">
        <f>AVERAGE($E$13:$H$13)</f>
        <v>0.22272375</v>
      </c>
      <c r="M13" s="81">
        <f>AVERAGE($E$13:$H$13)</f>
        <v>0.22272375</v>
      </c>
      <c r="N13" s="86">
        <f t="shared" si="2"/>
        <v>3.1031676915590914E-17</v>
      </c>
      <c r="O13" t="b">
        <f t="shared" si="3"/>
        <v>1</v>
      </c>
    </row>
    <row r="14" spans="1:15" outlineLevel="1" x14ac:dyDescent="0.35">
      <c r="A14" s="3" t="s">
        <v>6</v>
      </c>
      <c r="D14" s="86"/>
      <c r="E14" s="65"/>
      <c r="F14" s="65"/>
      <c r="G14" s="65"/>
      <c r="H14" s="65"/>
      <c r="I14" s="66"/>
      <c r="J14" s="66"/>
      <c r="K14" s="66"/>
      <c r="L14" s="67"/>
      <c r="M14" s="67"/>
    </row>
    <row r="15" spans="1:15" outlineLevel="1" x14ac:dyDescent="0.35">
      <c r="A15" t="s">
        <v>565</v>
      </c>
      <c r="D15" s="86">
        <f>STDEV(E15:H15)</f>
        <v>7.5881298546106354E-2</v>
      </c>
      <c r="E15" s="62">
        <f>E53/E31</f>
        <v>0</v>
      </c>
      <c r="F15" s="62">
        <f>F53/F31</f>
        <v>0</v>
      </c>
      <c r="G15" s="62">
        <f>G53/G31</f>
        <v>0</v>
      </c>
      <c r="H15" s="62">
        <f>H53/H31</f>
        <v>0.15176259709221271</v>
      </c>
      <c r="I15" s="131">
        <f>AVERAGE($E$15:$H$15)</f>
        <v>3.7940649273053177E-2</v>
      </c>
      <c r="J15" s="131">
        <f>AVERAGE($E$15:$H$15)</f>
        <v>3.7940649273053177E-2</v>
      </c>
      <c r="K15" s="131">
        <f>AVERAGE($E$15:$H$15)</f>
        <v>3.7940649273053177E-2</v>
      </c>
      <c r="L15" s="131">
        <f>AVERAGE($E$15:$H$15)</f>
        <v>3.7940649273053177E-2</v>
      </c>
      <c r="M15" s="131">
        <f>AVERAGE($E$15:$H$15)</f>
        <v>3.7940649273053177E-2</v>
      </c>
      <c r="N15" s="86"/>
    </row>
    <row r="16" spans="1:15" outlineLevel="1" x14ac:dyDescent="0.35">
      <c r="A16" s="133" t="s">
        <v>18</v>
      </c>
      <c r="D16" s="86"/>
      <c r="E16" s="135">
        <f t="shared" ref="E16:H17" si="6">E54/E31*365</f>
        <v>0</v>
      </c>
      <c r="F16" s="135">
        <f t="shared" si="6"/>
        <v>58.788297872340429</v>
      </c>
      <c r="G16" s="135">
        <f t="shared" si="6"/>
        <v>61.158110882956876</v>
      </c>
      <c r="H16" s="135">
        <f t="shared" si="6"/>
        <v>60.045807608046211</v>
      </c>
      <c r="I16" s="83">
        <f>AVERAGE($E$16:$H$16)</f>
        <v>44.998054090835879</v>
      </c>
      <c r="J16" s="83">
        <f>AVERAGE($E$16:$H$16)</f>
        <v>44.998054090835879</v>
      </c>
      <c r="K16" s="83">
        <f>AVERAGE($E$16:$H$16)</f>
        <v>44.998054090835879</v>
      </c>
      <c r="L16" s="83">
        <f>AVERAGE($E$16:$H$16)</f>
        <v>44.998054090835879</v>
      </c>
      <c r="M16" s="83">
        <f>AVERAGE($E$16:$H$16)</f>
        <v>44.998054090835879</v>
      </c>
      <c r="N16" s="86">
        <f t="shared" si="2"/>
        <v>0</v>
      </c>
      <c r="O16" t="b">
        <f t="shared" si="3"/>
        <v>0</v>
      </c>
    </row>
    <row r="17" spans="1:15" outlineLevel="1" x14ac:dyDescent="0.35">
      <c r="A17" s="133" t="s">
        <v>19</v>
      </c>
      <c r="D17" s="86"/>
      <c r="E17" s="135">
        <f t="shared" si="6"/>
        <v>0</v>
      </c>
      <c r="F17" s="135">
        <f t="shared" si="6"/>
        <v>59.149471565173627</v>
      </c>
      <c r="G17" s="135">
        <f t="shared" si="6"/>
        <v>59.680094786729853</v>
      </c>
      <c r="H17" s="135">
        <f t="shared" si="6"/>
        <v>51.134433962264147</v>
      </c>
      <c r="I17" s="83">
        <f>AVERAGE($E$17:$H$17)</f>
        <v>42.491000078541909</v>
      </c>
      <c r="J17" s="83">
        <f>AVERAGE($E$17:$H$17)</f>
        <v>42.491000078541909</v>
      </c>
      <c r="K17" s="83">
        <f>AVERAGE($E$17:$H$17)</f>
        <v>42.491000078541909</v>
      </c>
      <c r="L17" s="83">
        <f>AVERAGE($E$17:$H$17)</f>
        <v>42.491000078541909</v>
      </c>
      <c r="M17" s="83">
        <f>AVERAGE($E$17:$H$17)</f>
        <v>42.491000078541909</v>
      </c>
      <c r="N17" s="86">
        <f t="shared" si="2"/>
        <v>0</v>
      </c>
      <c r="O17" t="b">
        <f t="shared" si="3"/>
        <v>0</v>
      </c>
    </row>
    <row r="18" spans="1:15" outlineLevel="1" x14ac:dyDescent="0.35">
      <c r="A18" s="130" t="s">
        <v>564</v>
      </c>
      <c r="D18" s="86">
        <f t="shared" ref="D18:D25" si="7">STDEV(E18:H18)</f>
        <v>1.5826274978794026E-2</v>
      </c>
      <c r="E18" s="68">
        <f>E58/E31</f>
        <v>0</v>
      </c>
      <c r="F18" s="68">
        <f>F58/F31</f>
        <v>2.6808510638297874E-2</v>
      </c>
      <c r="G18" s="68">
        <f>G58/G31</f>
        <v>2.4435318275154005E-2</v>
      </c>
      <c r="H18" s="68">
        <f>H58/H31</f>
        <v>3.7442740489942242E-2</v>
      </c>
      <c r="I18" s="81">
        <f>AVERAGE($E$18:$H$18)</f>
        <v>2.2171642350848529E-2</v>
      </c>
      <c r="J18" s="81">
        <f>AVERAGE($E$18:$H$18)</f>
        <v>2.2171642350848529E-2</v>
      </c>
      <c r="K18" s="81">
        <f>AVERAGE($E$18:$H$18)</f>
        <v>2.2171642350848529E-2</v>
      </c>
      <c r="L18" s="81">
        <f>AVERAGE($E$18:$H$18)</f>
        <v>2.2171642350848529E-2</v>
      </c>
      <c r="M18" s="81">
        <f>AVERAGE($E$18:$H$18)</f>
        <v>2.2171642350848529E-2</v>
      </c>
      <c r="N18" s="86">
        <f t="shared" si="2"/>
        <v>0</v>
      </c>
    </row>
    <row r="19" spans="1:15" outlineLevel="1" x14ac:dyDescent="0.35">
      <c r="A19" s="133" t="s">
        <v>20</v>
      </c>
      <c r="D19" s="86"/>
      <c r="E19" s="135">
        <f>E71/E32*365</f>
        <v>0</v>
      </c>
      <c r="F19" s="135">
        <f>F71/F32*365</f>
        <v>95.888273779567186</v>
      </c>
      <c r="G19" s="135">
        <f>G71/G32*365</f>
        <v>87.530805687203795</v>
      </c>
      <c r="H19" s="135">
        <f>H71/H32*365</f>
        <v>98.136792452830193</v>
      </c>
      <c r="I19" s="83">
        <f>AVERAGE($E$19:$H$19)</f>
        <v>70.388967979900301</v>
      </c>
      <c r="J19" s="83">
        <f>AVERAGE($E$19:$H$19)</f>
        <v>70.388967979900301</v>
      </c>
      <c r="K19" s="83">
        <f>AVERAGE($E$19:$H$19)</f>
        <v>70.388967979900301</v>
      </c>
      <c r="L19" s="83">
        <f>AVERAGE($E$19:$H$19)</f>
        <v>70.388967979900301</v>
      </c>
      <c r="M19" s="83">
        <f>AVERAGE($E$19:$H$19)</f>
        <v>70.388967979900301</v>
      </c>
      <c r="N19" s="86">
        <f t="shared" si="2"/>
        <v>0</v>
      </c>
      <c r="O19" t="b">
        <f t="shared" si="3"/>
        <v>0</v>
      </c>
    </row>
    <row r="20" spans="1:15" outlineLevel="1" x14ac:dyDescent="0.35">
      <c r="A20" s="130" t="s">
        <v>629</v>
      </c>
      <c r="D20" s="86">
        <f t="shared" si="7"/>
        <v>2.1057815250018768E-3</v>
      </c>
      <c r="E20" s="68">
        <f>E154/E31</f>
        <v>8.2796688132474698E-3</v>
      </c>
      <c r="F20" s="68">
        <f>F154/F31</f>
        <v>1.148936170212766E-2</v>
      </c>
      <c r="G20" s="68">
        <f>G154/G31</f>
        <v>6.9815195071868588E-3</v>
      </c>
      <c r="H20" s="68">
        <f>H154/H31</f>
        <v>1.0754829715196175E-2</v>
      </c>
      <c r="I20" s="81">
        <f>AVERAGE($E$20:$H$20)</f>
        <v>9.3763449344395414E-3</v>
      </c>
      <c r="J20" s="81">
        <f>AVERAGE($E$20:$H$20)</f>
        <v>9.3763449344395414E-3</v>
      </c>
      <c r="K20" s="81">
        <f>AVERAGE($E$20:$H$20)</f>
        <v>9.3763449344395414E-3</v>
      </c>
      <c r="L20" s="81">
        <f>AVERAGE($E$20:$H$20)</f>
        <v>9.3763449344395414E-3</v>
      </c>
      <c r="M20" s="81">
        <f>AVERAGE($E$20:$H$20)</f>
        <v>9.3763449344395414E-3</v>
      </c>
      <c r="N20" s="86">
        <f>STDEV(I20:M20)</f>
        <v>0</v>
      </c>
      <c r="O20" t="b">
        <f>N20&lt;D20</f>
        <v>1</v>
      </c>
    </row>
    <row r="21" spans="1:15" outlineLevel="1" x14ac:dyDescent="0.35">
      <c r="A21" s="130" t="s">
        <v>562</v>
      </c>
      <c r="D21" s="86">
        <f t="shared" si="7"/>
        <v>3.4105392648771647E-3</v>
      </c>
      <c r="E21" s="68">
        <f>E73/E31</f>
        <v>0</v>
      </c>
      <c r="F21" s="68">
        <f>F73/F31</f>
        <v>7.2340425531914896E-3</v>
      </c>
      <c r="G21" s="68">
        <f>G73/G31</f>
        <v>6.570841889117043E-3</v>
      </c>
      <c r="H21" s="68">
        <f>H73/H31</f>
        <v>6.5723959370643298E-3</v>
      </c>
      <c r="I21" s="81">
        <f>AVERAGE($E$21:$H$21)</f>
        <v>5.094320094843216E-3</v>
      </c>
      <c r="J21" s="81">
        <f>AVERAGE($E$21:$H$21)</f>
        <v>5.094320094843216E-3</v>
      </c>
      <c r="K21" s="81">
        <f>AVERAGE($E$21:$H$21)</f>
        <v>5.094320094843216E-3</v>
      </c>
      <c r="L21" s="81">
        <f>AVERAGE($E$21:$H$21)</f>
        <v>5.094320094843216E-3</v>
      </c>
      <c r="M21" s="81">
        <f>AVERAGE($E$21:$H$21)</f>
        <v>5.094320094843216E-3</v>
      </c>
      <c r="N21" s="86"/>
    </row>
    <row r="22" spans="1:15" outlineLevel="1" x14ac:dyDescent="0.35">
      <c r="A22" s="133" t="s">
        <v>561</v>
      </c>
      <c r="D22" s="86">
        <f t="shared" si="7"/>
        <v>5.1409382905216863E-2</v>
      </c>
      <c r="E22" s="68">
        <f>E72/E32</f>
        <v>0</v>
      </c>
      <c r="F22" s="68">
        <f>F72/F32</f>
        <v>0.11424257674886763</v>
      </c>
      <c r="G22" s="68">
        <f>G72/G32</f>
        <v>0.1</v>
      </c>
      <c r="H22" s="68">
        <f>H72/H32</f>
        <v>8.6792452830188674E-2</v>
      </c>
      <c r="I22" s="81">
        <f>AVERAGE($E$22:$H$22)</f>
        <v>7.5258757394764078E-2</v>
      </c>
      <c r="J22" s="81">
        <f>AVERAGE($E$22:$H$22)</f>
        <v>7.5258757394764078E-2</v>
      </c>
      <c r="K22" s="81">
        <f>AVERAGE($E$22:$H$22)</f>
        <v>7.5258757394764078E-2</v>
      </c>
      <c r="L22" s="81">
        <f>AVERAGE($E$22:$H$22)</f>
        <v>7.5258757394764078E-2</v>
      </c>
      <c r="M22" s="81">
        <f>AVERAGE($E$22:$H$22)</f>
        <v>7.5258757394764078E-2</v>
      </c>
      <c r="N22" s="86"/>
    </row>
    <row r="23" spans="1:15" outlineLevel="1" x14ac:dyDescent="0.35">
      <c r="A23" s="130" t="s">
        <v>563</v>
      </c>
      <c r="D23" s="86">
        <f t="shared" si="7"/>
        <v>2.2072199036567111E-2</v>
      </c>
      <c r="E23" s="68">
        <f>E$76/E$31</f>
        <v>0</v>
      </c>
      <c r="F23" s="68">
        <f>F$76/F$31</f>
        <v>3.3617021276595743E-2</v>
      </c>
      <c r="G23" s="68">
        <f>G$76/G$31</f>
        <v>3.6344969199178644E-2</v>
      </c>
      <c r="H23" s="68">
        <f>H$76/H$31</f>
        <v>5.2579167496514638E-2</v>
      </c>
      <c r="I23" s="81">
        <f>AVERAGE($E$23:$H$23)</f>
        <v>3.063528949307226E-2</v>
      </c>
      <c r="J23" s="81">
        <f>AVERAGE($E$23:$H$23)</f>
        <v>3.063528949307226E-2</v>
      </c>
      <c r="K23" s="81">
        <f>AVERAGE($E$23:$H$23)</f>
        <v>3.063528949307226E-2</v>
      </c>
      <c r="L23" s="81">
        <f>AVERAGE($E$23:$H$23)</f>
        <v>3.063528949307226E-2</v>
      </c>
      <c r="M23" s="81">
        <f>AVERAGE($E$23:$H$23)</f>
        <v>3.063528949307226E-2</v>
      </c>
      <c r="N23" s="86"/>
    </row>
    <row r="24" spans="1:15" outlineLevel="1" x14ac:dyDescent="0.35">
      <c r="A24" s="130" t="s">
        <v>568</v>
      </c>
      <c r="D24" s="86">
        <f t="shared" si="7"/>
        <v>0</v>
      </c>
      <c r="E24" s="68">
        <f>E130/E31</f>
        <v>0</v>
      </c>
      <c r="F24" s="68">
        <f>F130/F31</f>
        <v>0</v>
      </c>
      <c r="G24" s="68">
        <f>G130/G31</f>
        <v>0</v>
      </c>
      <c r="H24" s="68">
        <f>H130/H31</f>
        <v>0</v>
      </c>
      <c r="I24" s="81">
        <f>AVERAGE(E24:H24)</f>
        <v>0</v>
      </c>
      <c r="J24" s="81">
        <f>AVERAGE(F24:I24)</f>
        <v>0</v>
      </c>
      <c r="K24" s="81">
        <f>AVERAGE(G24:J24)</f>
        <v>0</v>
      </c>
      <c r="L24" s="81">
        <f>AVERAGE(H24:K24)</f>
        <v>0</v>
      </c>
      <c r="M24" s="81">
        <f>AVERAGE(I24:L24)</f>
        <v>0</v>
      </c>
      <c r="N24" s="86"/>
    </row>
    <row r="25" spans="1:15" outlineLevel="1" x14ac:dyDescent="0.35">
      <c r="A25" s="130" t="s">
        <v>623</v>
      </c>
      <c r="D25" s="86">
        <f t="shared" si="7"/>
        <v>4.9493926938147161E-3</v>
      </c>
      <c r="E25" s="68">
        <f>E85/E31</f>
        <v>0</v>
      </c>
      <c r="F25" s="68">
        <f>F85/F31</f>
        <v>1.148936170212766E-2</v>
      </c>
      <c r="G25" s="68">
        <f>G85/G31</f>
        <v>2.6694045174537988E-3</v>
      </c>
      <c r="H25" s="68">
        <f>H85/H31</f>
        <v>5.9749053973312087E-3</v>
      </c>
      <c r="I25" s="81">
        <f>AVERAGE($E$25:$H$25)</f>
        <v>5.0334179042281664E-3</v>
      </c>
      <c r="J25" s="81">
        <f>AVERAGE($E$25:$H$25)</f>
        <v>5.0334179042281664E-3</v>
      </c>
      <c r="K25" s="81">
        <f>AVERAGE($E$25:$H$25)</f>
        <v>5.0334179042281664E-3</v>
      </c>
      <c r="L25" s="81">
        <f>AVERAGE($E$25:$H$25)</f>
        <v>5.0334179042281664E-3</v>
      </c>
      <c r="M25" s="81">
        <f>AVERAGE($E$25:$H$25)</f>
        <v>5.0334179042281664E-3</v>
      </c>
      <c r="N25" s="86"/>
    </row>
    <row r="26" spans="1:15" outlineLevel="1" x14ac:dyDescent="0.35">
      <c r="A26" t="s">
        <v>22</v>
      </c>
      <c r="E26" s="63">
        <f t="shared" ref="E26:H27" si="8">E131</f>
        <v>0</v>
      </c>
      <c r="F26" s="63">
        <f t="shared" si="8"/>
        <v>0</v>
      </c>
      <c r="G26" s="63">
        <f t="shared" si="8"/>
        <v>0</v>
      </c>
      <c r="H26" s="63">
        <f t="shared" si="8"/>
        <v>2608000000</v>
      </c>
      <c r="I26" s="64">
        <f>E26</f>
        <v>0</v>
      </c>
      <c r="J26" s="64">
        <f>F26</f>
        <v>0</v>
      </c>
      <c r="K26" s="64">
        <f>G26</f>
        <v>0</v>
      </c>
      <c r="L26" s="64">
        <f>H26</f>
        <v>2608000000</v>
      </c>
      <c r="M26" s="64">
        <f>I26</f>
        <v>0</v>
      </c>
    </row>
    <row r="27" spans="1:15" outlineLevel="1" x14ac:dyDescent="0.35">
      <c r="A27" t="s">
        <v>23</v>
      </c>
      <c r="E27" s="63">
        <f t="shared" si="8"/>
        <v>-844000000</v>
      </c>
      <c r="F27" s="63">
        <f t="shared" si="8"/>
        <v>-800000000</v>
      </c>
      <c r="G27" s="63">
        <f t="shared" si="8"/>
        <v>-781000000</v>
      </c>
      <c r="H27" s="63">
        <f t="shared" si="8"/>
        <v>-147000000</v>
      </c>
      <c r="I27" s="134">
        <f>AVERAGE(E27:H27)</f>
        <v>-643000000</v>
      </c>
      <c r="J27" s="134">
        <f>AVERAGE(E27:I27)</f>
        <v>-643000000</v>
      </c>
      <c r="K27" s="134">
        <f>AVERAGE(F27:J27)</f>
        <v>-602800000</v>
      </c>
      <c r="L27" s="134">
        <f>AVERAGE(G27:K27)</f>
        <v>-563360000</v>
      </c>
      <c r="M27" s="134">
        <f>AVERAGE(H27:L27)</f>
        <v>-519832000</v>
      </c>
    </row>
    <row r="28" spans="1:15" outlineLevel="1" x14ac:dyDescent="0.35">
      <c r="E28" s="84"/>
    </row>
    <row r="30" spans="1:15" x14ac:dyDescent="0.35">
      <c r="A30" s="2" t="s">
        <v>5</v>
      </c>
      <c r="B30" s="2"/>
      <c r="C30" s="2"/>
      <c r="D30" s="2"/>
      <c r="E30" s="11"/>
      <c r="F30" s="11"/>
      <c r="G30" s="11"/>
      <c r="H30" s="11"/>
      <c r="I30" s="11"/>
      <c r="J30" s="11"/>
      <c r="K30" s="11"/>
      <c r="L30" s="11"/>
      <c r="M30" s="11"/>
    </row>
    <row r="31" spans="1:15" outlineLevel="1" x14ac:dyDescent="0.35">
      <c r="A31" s="3" t="s">
        <v>24</v>
      </c>
      <c r="B31" s="3"/>
      <c r="C31" s="3"/>
      <c r="D31" s="3"/>
      <c r="E31" s="12">
        <f>SUMIFS(IncomeStatement[TotalRevenue],IncomeStatement[Ticker],$B$1,IncomeStatement[Year],E2,IncomeStatement[periodType],"&lt;&gt;TTM")</f>
        <v>4348000000</v>
      </c>
      <c r="F31" s="12">
        <f>SUMIFS(IncomeStatement[TotalRevenue],IncomeStatement[Ticker],$B$1,IncomeStatement[Year],F2,IncomeStatement[periodType],"&lt;&gt;TTM")</f>
        <v>4700000000</v>
      </c>
      <c r="G31" s="12">
        <f>SUMIFS(IncomeStatement[TotalRevenue],IncomeStatement[Ticker],$B$1,IncomeStatement[Year],G2,IncomeStatement[periodType],"&lt;&gt;TTM")</f>
        <v>4870000000</v>
      </c>
      <c r="H31" s="12">
        <f>SUMIFS(IncomeStatement[TotalRevenue],IncomeStatement[Ticker],$B$1,IncomeStatement[Year],H2,IncomeStatement[periodType],"&lt;&gt;TTM")</f>
        <v>5021000000</v>
      </c>
      <c r="I31" s="93">
        <f>H31*(1+I7)</f>
        <v>5268925489.7088833</v>
      </c>
      <c r="J31" s="93">
        <f>I31*(1+J7)</f>
        <v>5511910026.3261881</v>
      </c>
      <c r="K31" s="93">
        <f>J31*(1+K7)</f>
        <v>5748124801.3234415</v>
      </c>
      <c r="L31" s="93">
        <f>K31*(1+L7)</f>
        <v>5975716936.1490345</v>
      </c>
      <c r="M31" s="93">
        <f>L31*(1+M7)</f>
        <v>6173344539.2040434</v>
      </c>
    </row>
    <row r="32" spans="1:15" outlineLevel="1" x14ac:dyDescent="0.35">
      <c r="A32" t="s">
        <v>25</v>
      </c>
      <c r="E32" s="59">
        <f>SUMIFS(IncomeStatement[CostOfRevenue],IncomeStatement[Ticker],$B$1,IncomeStatement[Year],E2,IncomeStatement[periodType],"&lt;&gt;TTM")</f>
        <v>1838000000</v>
      </c>
      <c r="F32" s="59">
        <f>SUMIFS(IncomeStatement[CostOfRevenue],IncomeStatement[Ticker],$B$1,IncomeStatement[Year],F2,IncomeStatement[periodType],"&lt;&gt;TTM")</f>
        <v>1987000000</v>
      </c>
      <c r="G32" s="59">
        <f>SUMIFS(IncomeStatement[CostOfRevenue],IncomeStatement[Ticker],$B$1,IncomeStatement[Year],G2,IncomeStatement[periodType],"&lt;&gt;TTM")</f>
        <v>2110000000</v>
      </c>
      <c r="H32" s="59">
        <f>SUMIFS(IncomeStatement[CostOfRevenue],IncomeStatement[Ticker],$B$1,IncomeStatement[Year],H2,IncomeStatement[periodType],"&lt;&gt;TTM")</f>
        <v>2120000000</v>
      </c>
      <c r="I32" s="94">
        <f>I31*I8</f>
        <v>2240584988.6929617</v>
      </c>
      <c r="J32" s="94">
        <f>J31*J8</f>
        <v>2343912983.422173</v>
      </c>
      <c r="K32" s="94">
        <f>K31*K8</f>
        <v>2444362169.8834481</v>
      </c>
      <c r="L32" s="94">
        <f>L31*L8</f>
        <v>2541144620.466742</v>
      </c>
      <c r="M32" s="94">
        <f>M31*M8</f>
        <v>2625184799.3649426</v>
      </c>
    </row>
    <row r="33" spans="1:14" ht="15" outlineLevel="1" thickBot="1" x14ac:dyDescent="0.4">
      <c r="A33" s="6" t="s">
        <v>26</v>
      </c>
      <c r="B33" s="6"/>
      <c r="C33" s="6"/>
      <c r="D33" s="6"/>
      <c r="E33" s="15">
        <f t="shared" ref="E33:M33" si="9">E31-E32</f>
        <v>2510000000</v>
      </c>
      <c r="F33" s="15">
        <f t="shared" si="9"/>
        <v>2713000000</v>
      </c>
      <c r="G33" s="15">
        <f t="shared" si="9"/>
        <v>2760000000</v>
      </c>
      <c r="H33" s="15">
        <f t="shared" si="9"/>
        <v>2901000000</v>
      </c>
      <c r="I33" s="95">
        <f t="shared" si="9"/>
        <v>3028340501.0159216</v>
      </c>
      <c r="J33" s="95">
        <f t="shared" si="9"/>
        <v>3167997042.9040151</v>
      </c>
      <c r="K33" s="95">
        <f t="shared" si="9"/>
        <v>3303762631.4399934</v>
      </c>
      <c r="L33" s="95">
        <f t="shared" si="9"/>
        <v>3434572315.6822925</v>
      </c>
      <c r="M33" s="95">
        <f t="shared" si="9"/>
        <v>3548159739.8391008</v>
      </c>
    </row>
    <row r="34" spans="1:14" ht="15" outlineLevel="1" thickTop="1" x14ac:dyDescent="0.35">
      <c r="A34" s="3" t="s">
        <v>485</v>
      </c>
      <c r="B34" s="3"/>
      <c r="C34" s="3"/>
      <c r="D34" s="3"/>
      <c r="E34" s="12">
        <f>SUMIFS(IncomeStatement[GrossProfit],IncomeStatement[Ticker],$B$1,IncomeStatement[Year],E2,IncomeStatement[periodType],"&lt;&gt;TTM")</f>
        <v>2510000000</v>
      </c>
      <c r="F34" s="12">
        <f>SUMIFS(IncomeStatement[GrossProfit],IncomeStatement[Ticker],$B$1,IncomeStatement[Year],F2,IncomeStatement[periodType],"&lt;&gt;TTM")</f>
        <v>2713000000</v>
      </c>
      <c r="G34" s="12">
        <f>SUMIFS(IncomeStatement[GrossProfit],IncomeStatement[Ticker],$B$1,IncomeStatement[Year],G2,IncomeStatement[periodType],"&lt;&gt;TTM")</f>
        <v>2760000000</v>
      </c>
      <c r="H34" s="12">
        <f>SUMIFS(IncomeStatement[GrossProfit],IncomeStatement[Ticker],$B$1,IncomeStatement[Year],H2,IncomeStatement[periodType],"&lt;&gt;TTM")</f>
        <v>2901000000</v>
      </c>
      <c r="I34" s="93"/>
      <c r="J34" s="93"/>
      <c r="K34" s="93"/>
      <c r="L34" s="93"/>
      <c r="M34" s="93"/>
    </row>
    <row r="35" spans="1:14" outlineLevel="1" x14ac:dyDescent="0.35">
      <c r="A35" s="3"/>
      <c r="B35" s="3"/>
      <c r="C35" s="3"/>
      <c r="D35" s="99"/>
      <c r="E35" s="92"/>
      <c r="F35" s="92"/>
      <c r="G35" s="92"/>
      <c r="H35" s="92"/>
      <c r="I35"/>
      <c r="J35" s="93"/>
      <c r="K35" s="93"/>
      <c r="L35" s="93"/>
      <c r="M35" s="93"/>
      <c r="N35" s="86">
        <f>STDEV(E36:M36)</f>
        <v>2.7887110077276737E-3</v>
      </c>
    </row>
    <row r="36" spans="1:14" outlineLevel="1" x14ac:dyDescent="0.35">
      <c r="A36" s="3" t="s">
        <v>27</v>
      </c>
      <c r="B36" s="3"/>
      <c r="C36" s="3"/>
      <c r="D36" s="99">
        <f>STDEV(E36:H36)</f>
        <v>4.5539460060103178E-3</v>
      </c>
      <c r="E36" s="92">
        <f>E40/E31</f>
        <v>0.781278748850046</v>
      </c>
      <c r="F36" s="92">
        <f t="shared" ref="F36:M36" si="10">F40/F31</f>
        <v>0.77851063829787237</v>
      </c>
      <c r="G36" s="92">
        <f t="shared" si="10"/>
        <v>0.77166324435318279</v>
      </c>
      <c r="H36" s="92">
        <f t="shared" si="10"/>
        <v>0.77295359490141402</v>
      </c>
      <c r="I36" s="92">
        <f t="shared" si="10"/>
        <v>0.77610155660062874</v>
      </c>
      <c r="J36" s="92">
        <f t="shared" si="10"/>
        <v>0.77610155660062874</v>
      </c>
      <c r="K36" s="92">
        <f t="shared" si="10"/>
        <v>0.77610155660062874</v>
      </c>
      <c r="L36" s="92">
        <f t="shared" si="10"/>
        <v>0.77610155660062885</v>
      </c>
      <c r="M36" s="92">
        <f t="shared" si="10"/>
        <v>0.77610155660062874</v>
      </c>
      <c r="N36" s="86">
        <f>STDEV(I36:M36)</f>
        <v>5.5511151231257827E-17</v>
      </c>
    </row>
    <row r="37" spans="1:14" outlineLevel="1" x14ac:dyDescent="0.35">
      <c r="A37" t="s">
        <v>521</v>
      </c>
      <c r="B37" s="3"/>
      <c r="C37" s="3"/>
      <c r="D37" s="3"/>
      <c r="E37" s="82">
        <f>SUMIFS(IncomeStatement[OperatingExpense],IncomeStatement[Ticker],$B$1,IncomeStatement[Year],E$2,IncomeStatement[periodType],"&lt;&gt;TTM")</f>
        <v>1559000000</v>
      </c>
      <c r="F37" s="82">
        <f>SUMIFS(IncomeStatement[OperatingExpense],IncomeStatement[Ticker],$B$1,IncomeStatement[Year],F$2,IncomeStatement[periodType],"&lt;&gt;TTM")</f>
        <v>1672000000</v>
      </c>
      <c r="G37" s="82">
        <f>SUMIFS(IncomeStatement[OperatingExpense],IncomeStatement[Ticker],$B$1,IncomeStatement[Year],G$2,IncomeStatement[periodType],"&lt;&gt;TTM")</f>
        <v>1648000000</v>
      </c>
      <c r="H37" s="82">
        <f>SUMIFS(IncomeStatement[OperatingExpense],IncomeStatement[Ticker],$B$1,IncomeStatement[Year],H$2,IncomeStatement[periodType],"&lt;&gt;TTM")</f>
        <v>1761000000</v>
      </c>
      <c r="I37" s="85">
        <f>I31*I9</f>
        <v>1848636285.4828331</v>
      </c>
      <c r="J37" s="85">
        <f>J31*J9</f>
        <v>1933888967.8521943</v>
      </c>
      <c r="K37" s="85">
        <f>K31*K9</f>
        <v>2016766435.9583549</v>
      </c>
      <c r="L37" s="85">
        <f>L31*L9</f>
        <v>2096618595.483264</v>
      </c>
      <c r="M37" s="85">
        <f>M31*M9</f>
        <v>2165957506.9433069</v>
      </c>
    </row>
    <row r="38" spans="1:14" outlineLevel="1" x14ac:dyDescent="0.35">
      <c r="A38" t="s">
        <v>30</v>
      </c>
      <c r="B38" s="3"/>
      <c r="C38" s="3"/>
      <c r="D38" s="3"/>
      <c r="E38" s="82">
        <f>SUMIFS(IncomeStatement[ReconciledDepreciation],IncomeStatement[Ticker],$B$1,IncomeStatement[Year],E$2,IncomeStatement[periodType],"&lt;&gt;TTM")</f>
        <v>110000000</v>
      </c>
      <c r="F38" s="82">
        <f>SUMIFS(IncomeStatement[ReconciledDepreciation],IncomeStatement[Ticker],$B$1,IncomeStatement[Year],F$2,IncomeStatement[periodType],"&lt;&gt;TTM")</f>
        <v>106000000</v>
      </c>
      <c r="G38" s="82">
        <f>SUMIFS(IncomeStatement[ReconciledDepreciation],IncomeStatement[Ticker],$B$1,IncomeStatement[Year],G$2,IncomeStatement[periodType],"&lt;&gt;TTM")</f>
        <v>90000000</v>
      </c>
      <c r="H38" s="82">
        <f>SUMIFS(IncomeStatement[ReconciledDepreciation],IncomeStatement[Ticker],$B$1,IncomeStatement[Year],H$2,IncomeStatement[periodType],"&lt;&gt;TTM")</f>
        <v>87000000</v>
      </c>
      <c r="I38" s="85">
        <f>I31*I11</f>
        <v>110199442.25339426</v>
      </c>
      <c r="J38" s="85">
        <f>J31*J11</f>
        <v>115281457.64035049</v>
      </c>
      <c r="K38" s="85">
        <f>K31*K11</f>
        <v>120221883.63566032</v>
      </c>
      <c r="L38" s="85">
        <f>L31*L11</f>
        <v>124981967.33166745</v>
      </c>
      <c r="M38" s="85">
        <f>M31*M11</f>
        <v>129115343.60982403</v>
      </c>
      <c r="N38" t="s">
        <v>520</v>
      </c>
    </row>
    <row r="39" spans="1:14" outlineLevel="1" x14ac:dyDescent="0.35">
      <c r="A39" t="s">
        <v>31</v>
      </c>
      <c r="E39" s="10">
        <f>SUMIFS(IncomeStatement[InterestExpense],IncomeStatement[Ticker],$B$1,IncomeStatement[Year],E2,IncomeStatement[periodType],"&lt;&gt;TTM")</f>
        <v>0</v>
      </c>
      <c r="F39" s="10">
        <f>SUMIFS(IncomeStatement[InterestExpense],IncomeStatement[Ticker],$B$1,IncomeStatement[Year],F2,IncomeStatement[periodType],"&lt;&gt;TTM")</f>
        <v>0</v>
      </c>
      <c r="G39" s="10">
        <f>SUMIFS(IncomeStatement[InterestExpense],IncomeStatement[Ticker],$B$1,IncomeStatement[Year],G2,IncomeStatement[periodType],"&lt;&gt;TTM")</f>
        <v>0</v>
      </c>
      <c r="H39" s="10">
        <f>SUMIFS(IncomeStatement[InterestExpense],IncomeStatement[Ticker],$B$1,IncomeStatement[Year],H2,IncomeStatement[periodType],"&lt;&gt;TTM")</f>
        <v>30000000</v>
      </c>
      <c r="I39" s="85">
        <f>I164</f>
        <v>9391429.6002880801</v>
      </c>
      <c r="J39" s="85">
        <f>J164</f>
        <v>9391429.6002880801</v>
      </c>
      <c r="K39" s="85">
        <f>K164</f>
        <v>9391429.6002880801</v>
      </c>
      <c r="L39" s="85">
        <f>L164</f>
        <v>18782859.20057616</v>
      </c>
      <c r="M39" s="85">
        <f>M164</f>
        <v>18782859.20057616</v>
      </c>
      <c r="N39" t="s">
        <v>133</v>
      </c>
    </row>
    <row r="40" spans="1:14" outlineLevel="1" x14ac:dyDescent="0.35">
      <c r="A40" s="100" t="s">
        <v>503</v>
      </c>
      <c r="B40" s="100"/>
      <c r="C40" s="100"/>
      <c r="D40" s="100"/>
      <c r="E40" s="101">
        <f>SUMIFS(IncomeStatement[TotalExpenses],IncomeStatement[Ticker],$B$1,IncomeStatement[Year],E2,IncomeStatement[periodType],"&lt;&gt;TTM")</f>
        <v>3397000000</v>
      </c>
      <c r="F40" s="101">
        <f>SUMIFS(IncomeStatement[TotalExpenses],IncomeStatement[Ticker],$B$1,IncomeStatement[Year],F2,IncomeStatement[periodType],"&lt;&gt;TTM")</f>
        <v>3659000000</v>
      </c>
      <c r="G40" s="101">
        <f>SUMIFS(IncomeStatement[TotalExpenses],IncomeStatement[Ticker],$B$1,IncomeStatement[Year],G2,IncomeStatement[periodType],"&lt;&gt;TTM")</f>
        <v>3758000000</v>
      </c>
      <c r="H40" s="101">
        <f>SUMIFS(IncomeStatement[TotalExpenses],IncomeStatement[Ticker],$B$1,IncomeStatement[Year],H2,IncomeStatement[periodType],"&lt;&gt;TTM")</f>
        <v>3881000000</v>
      </c>
      <c r="I40" s="101">
        <f>SUM(I37)+I32</f>
        <v>4089221274.1757946</v>
      </c>
      <c r="J40" s="101">
        <f>SUM(J37)+J32</f>
        <v>4277801951.2743673</v>
      </c>
      <c r="K40" s="101">
        <f>SUM(K37)+K32</f>
        <v>4461128605.8418026</v>
      </c>
      <c r="L40" s="101">
        <f>SUM(L37)+L32</f>
        <v>4637763215.9500065</v>
      </c>
      <c r="M40" s="101">
        <f>SUM(M37)+M32</f>
        <v>4791142306.3082495</v>
      </c>
    </row>
    <row r="41" spans="1:14" outlineLevel="1" x14ac:dyDescent="0.35">
      <c r="A41" s="3" t="s">
        <v>486</v>
      </c>
      <c r="B41" s="3"/>
      <c r="C41" s="3"/>
      <c r="D41" s="3"/>
      <c r="E41" s="12">
        <f>SUMIFS(IncomeStatement[PretaxIncome],IncomeStatement[Ticker],$B$1,IncomeStatement[Year],E2,IncomeStatement[periodType],"&lt;&gt;TTM")</f>
        <v>950000000</v>
      </c>
      <c r="F41" s="12">
        <f>SUMIFS(IncomeStatement[PretaxIncome],IncomeStatement[Ticker],$B$1,IncomeStatement[Year],F2,IncomeStatement[periodType],"&lt;&gt;TTM")</f>
        <v>1047000000</v>
      </c>
      <c r="G41" s="12">
        <f>SUMIFS(IncomeStatement[PretaxIncome],IncomeStatement[Ticker],$B$1,IncomeStatement[Year],G2,IncomeStatement[periodType],"&lt;&gt;TTM")</f>
        <v>1113000000</v>
      </c>
      <c r="H41" s="12">
        <f>SUMIFS(IncomeStatement[PretaxIncome],IncomeStatement[Ticker],$B$1,IncomeStatement[Year],H2,IncomeStatement[periodType],"&lt;&gt;TTM")</f>
        <v>1096000000</v>
      </c>
      <c r="I41" s="93">
        <f>I33-I37-I39</f>
        <v>1170312785.9328003</v>
      </c>
      <c r="J41" s="93">
        <f>J33-J37-J39</f>
        <v>1224716645.4515326</v>
      </c>
      <c r="K41" s="93">
        <f>K33-K37-K39</f>
        <v>1277604765.8813503</v>
      </c>
      <c r="L41" s="93">
        <f>L33-L37-L39</f>
        <v>1319170860.9984524</v>
      </c>
      <c r="M41" s="93">
        <f>M33-M37-M39</f>
        <v>1363419373.6952178</v>
      </c>
    </row>
    <row r="42" spans="1:14" ht="15" outlineLevel="1" thickBot="1" x14ac:dyDescent="0.4">
      <c r="A42" s="52" t="s">
        <v>478</v>
      </c>
      <c r="B42" s="52"/>
      <c r="C42" s="52"/>
      <c r="D42" s="52"/>
      <c r="E42" s="53">
        <f>SUMIFS(IncomeStatement[EBITDA],IncomeStatement[Ticker],$B$1,IncomeStatement[Year],E2,IncomeStatement[periodType],"&lt;&gt;TTM")</f>
        <v>1061000000</v>
      </c>
      <c r="F42" s="53">
        <f>SUMIFS(IncomeStatement[EBITDA],IncomeStatement[Ticker],$B$1,IncomeStatement[Year],F2,IncomeStatement[periodType],"&lt;&gt;TTM")</f>
        <v>1153000000</v>
      </c>
      <c r="G42" s="53">
        <f>SUMIFS(IncomeStatement[EBITDA],IncomeStatement[Ticker],$B$1,IncomeStatement[Year],G2,IncomeStatement[periodType],"&lt;&gt;TTM")</f>
        <v>1203000000</v>
      </c>
      <c r="H42" s="53">
        <f>SUMIFS(IncomeStatement[EBITDA],IncomeStatement[Ticker],$B$1,IncomeStatement[Year],H2,IncomeStatement[periodType],"&lt;&gt;TTM")</f>
        <v>1213000000</v>
      </c>
      <c r="I42" s="96">
        <f>I41+I39+I38</f>
        <v>1289903657.7864828</v>
      </c>
      <c r="J42" s="96">
        <f>J41+J39+J38</f>
        <v>1349389532.6921713</v>
      </c>
      <c r="K42" s="96">
        <f>K41+K39+K38</f>
        <v>1407218079.1172988</v>
      </c>
      <c r="L42" s="96">
        <f>L41+L39+L38</f>
        <v>1462935687.5306959</v>
      </c>
      <c r="M42" s="96">
        <f>M41+M39+M38</f>
        <v>1511317576.5056179</v>
      </c>
    </row>
    <row r="43" spans="1:14" ht="15" outlineLevel="1" thickTop="1" x14ac:dyDescent="0.35">
      <c r="A43" s="3"/>
      <c r="B43" s="3"/>
      <c r="C43" s="3"/>
      <c r="D43" s="3"/>
      <c r="E43" s="90"/>
      <c r="F43" s="90"/>
      <c r="G43" s="90"/>
      <c r="H43" s="90"/>
      <c r="I43" s="97"/>
      <c r="J43" s="97"/>
      <c r="K43" s="97"/>
      <c r="L43" s="97"/>
      <c r="M43" s="97"/>
    </row>
    <row r="44" spans="1:14" outlineLevel="1" x14ac:dyDescent="0.35">
      <c r="A44" s="7" t="s">
        <v>523</v>
      </c>
      <c r="E44" s="91">
        <f t="shared" ref="E44:M44" si="11">E45/E41</f>
        <v>0.23789473684210527</v>
      </c>
      <c r="F44" s="91">
        <f t="shared" si="11"/>
        <v>0.17765042979942694</v>
      </c>
      <c r="G44" s="91">
        <f t="shared" si="11"/>
        <v>0.24079065588499551</v>
      </c>
      <c r="H44" s="91">
        <f t="shared" si="11"/>
        <v>0.23448905109489052</v>
      </c>
      <c r="I44" s="98">
        <f t="shared" si="11"/>
        <v>0.22272375</v>
      </c>
      <c r="J44" s="98">
        <f t="shared" si="11"/>
        <v>0.22272375</v>
      </c>
      <c r="K44" s="98">
        <f t="shared" si="11"/>
        <v>0.22272375000000003</v>
      </c>
      <c r="L44" s="98">
        <f t="shared" si="11"/>
        <v>0.22272375000000003</v>
      </c>
      <c r="M44" s="98">
        <f t="shared" si="11"/>
        <v>0.22272375000000003</v>
      </c>
    </row>
    <row r="45" spans="1:14" outlineLevel="1" x14ac:dyDescent="0.35">
      <c r="A45" t="s">
        <v>522</v>
      </c>
      <c r="E45" s="10">
        <f>SUMIFS(IncomeStatement[TaxProvision],IncomeStatement[Ticker],$B$1,IncomeStatement[Year],E$2,IncomeStatement[periodType],"&lt;&gt;TTM")</f>
        <v>226000000</v>
      </c>
      <c r="F45" s="10">
        <f>SUMIFS(IncomeStatement[TaxProvision],IncomeStatement[Ticker],$B$1,IncomeStatement[Year],F$2,IncomeStatement[periodType],"&lt;&gt;TTM")</f>
        <v>186000000</v>
      </c>
      <c r="G45" s="10">
        <f>SUMIFS(IncomeStatement[TaxProvision],IncomeStatement[Ticker],$B$1,IncomeStatement[Year],G$2,IncomeStatement[periodType],"&lt;&gt;TTM")</f>
        <v>268000000</v>
      </c>
      <c r="H45" s="10">
        <f>SUMIFS(IncomeStatement[TaxProvision],IncomeStatement[Ticker],$B$1,IncomeStatement[Year],H$2,IncomeStatement[periodType],"&lt;&gt;TTM")</f>
        <v>257000000</v>
      </c>
      <c r="I45" s="85">
        <f>I41*I13</f>
        <v>260656452.35590053</v>
      </c>
      <c r="J45" s="85">
        <f>J41*J13</f>
        <v>272773483.96238577</v>
      </c>
      <c r="K45" s="85">
        <f>K41*K13</f>
        <v>284552924.47496641</v>
      </c>
      <c r="L45" s="85">
        <f>L41*L13</f>
        <v>293810681.05230409</v>
      </c>
      <c r="M45" s="85">
        <f>M41*M13</f>
        <v>303665875.7320503</v>
      </c>
    </row>
    <row r="46" spans="1:14" ht="15" outlineLevel="1" thickBot="1" x14ac:dyDescent="0.4">
      <c r="A46" s="52" t="s">
        <v>479</v>
      </c>
      <c r="B46" s="52"/>
      <c r="C46" s="52"/>
      <c r="D46" s="52"/>
      <c r="E46" s="53">
        <f>SUMIFS(IncomeStatement[NetIncome],IncomeStatement[Ticker],$B$1,IncomeStatement[Year],E$2,IncomeStatement[periodType],"&lt;&gt;TTM")</f>
        <v>724000000</v>
      </c>
      <c r="F46" s="53">
        <f>SUMIFS(IncomeStatement[NetIncome],IncomeStatement[Ticker],$B$1,IncomeStatement[Year],F$2,IncomeStatement[periodType],"&lt;&gt;TTM")</f>
        <v>861000000</v>
      </c>
      <c r="G46" s="53">
        <f>SUMIFS(IncomeStatement[NetIncome],IncomeStatement[Ticker],$B$1,IncomeStatement[Year],G$2,IncomeStatement[periodType],"&lt;&gt;TTM")</f>
        <v>845000000</v>
      </c>
      <c r="H46" s="53">
        <f>SUMIFS(IncomeStatement[NetIncome],IncomeStatement[Ticker],$B$1,IncomeStatement[Year],H$2,IncomeStatement[periodType],"&lt;&gt;TTM")</f>
        <v>839000000</v>
      </c>
      <c r="I46" s="96">
        <f>I41-I45</f>
        <v>909656333.57689977</v>
      </c>
      <c r="J46" s="96">
        <f>J41-J45</f>
        <v>951943161.48914683</v>
      </c>
      <c r="K46" s="96">
        <f>K41-K45</f>
        <v>993051841.40638387</v>
      </c>
      <c r="L46" s="96">
        <f>L41-L45</f>
        <v>1025360179.9461484</v>
      </c>
      <c r="M46" s="96">
        <f>M41-M45</f>
        <v>1059753497.9631675</v>
      </c>
      <c r="N46" s="86">
        <f>STDEV(E47:M47)</f>
        <v>4.7688500306280312E-3</v>
      </c>
    </row>
    <row r="47" spans="1:14" ht="15" outlineLevel="1" thickTop="1" x14ac:dyDescent="0.35">
      <c r="A47" s="7" t="s">
        <v>525</v>
      </c>
      <c r="D47" s="99">
        <f>STDEV(E47:H47)</f>
        <v>7.7529702544669324E-3</v>
      </c>
      <c r="E47" s="78">
        <f>E46/E31</f>
        <v>0.16651333946642136</v>
      </c>
      <c r="F47" s="78">
        <f t="shared" ref="F47:M47" si="12">F46/F31</f>
        <v>0.18319148936170213</v>
      </c>
      <c r="G47" s="78">
        <f t="shared" si="12"/>
        <v>0.17351129363449691</v>
      </c>
      <c r="H47" s="78">
        <f t="shared" si="12"/>
        <v>0.16709818761202946</v>
      </c>
      <c r="I47" s="70">
        <f t="shared" si="12"/>
        <v>0.17264551099718811</v>
      </c>
      <c r="J47" s="70">
        <f t="shared" si="12"/>
        <v>0.17270658572843911</v>
      </c>
      <c r="K47" s="70">
        <f t="shared" si="12"/>
        <v>0.17276100915167061</v>
      </c>
      <c r="L47" s="70">
        <f t="shared" si="12"/>
        <v>0.17158780961384143</v>
      </c>
      <c r="M47" s="70">
        <f t="shared" si="12"/>
        <v>0.17166602175419909</v>
      </c>
      <c r="N47" s="86">
        <f>STDEV(I47:M47)</f>
        <v>5.922038636783372E-4</v>
      </c>
    </row>
    <row r="48" spans="1:14" outlineLevel="1" x14ac:dyDescent="0.35">
      <c r="A48" s="7" t="s">
        <v>526</v>
      </c>
      <c r="E48" s="78" t="str">
        <f>IFERROR((E46-D46)/D46,"")</f>
        <v/>
      </c>
      <c r="F48" s="78">
        <f t="shared" ref="F48:M48" si="13">IFERROR((F46-E46)/E46,"")</f>
        <v>0.18922651933701656</v>
      </c>
      <c r="G48" s="78">
        <f t="shared" si="13"/>
        <v>-1.8583042973286876E-2</v>
      </c>
      <c r="H48" s="78">
        <f t="shared" si="13"/>
        <v>-7.100591715976331E-3</v>
      </c>
      <c r="I48" s="78">
        <f t="shared" si="13"/>
        <v>8.4214938709058121E-2</v>
      </c>
      <c r="J48" s="78">
        <f t="shared" si="13"/>
        <v>4.648659757687737E-2</v>
      </c>
      <c r="K48" s="78">
        <f t="shared" si="13"/>
        <v>4.3183964736854437E-2</v>
      </c>
      <c r="L48" s="78">
        <f t="shared" si="13"/>
        <v>3.2534392659711177E-2</v>
      </c>
      <c r="M48" s="78">
        <f t="shared" si="13"/>
        <v>3.3542669873161526E-2</v>
      </c>
    </row>
    <row r="49" spans="1:14" x14ac:dyDescent="0.35">
      <c r="A49" s="7"/>
      <c r="E49" s="78"/>
      <c r="F49" s="78"/>
      <c r="G49" s="78"/>
      <c r="H49" s="78"/>
      <c r="I49" s="78"/>
      <c r="J49" s="78"/>
      <c r="K49" s="78"/>
      <c r="L49" s="78"/>
      <c r="M49" s="78"/>
    </row>
    <row r="50" spans="1:14" x14ac:dyDescent="0.35">
      <c r="A50" s="2" t="s">
        <v>6</v>
      </c>
      <c r="B50" s="2"/>
      <c r="C50" s="2"/>
      <c r="D50" s="2"/>
      <c r="E50" s="11"/>
      <c r="F50" s="11"/>
      <c r="G50" s="11"/>
      <c r="H50" s="11"/>
      <c r="I50" s="11"/>
      <c r="J50" s="11"/>
      <c r="K50" s="11"/>
      <c r="L50" s="11"/>
      <c r="M50" s="11"/>
    </row>
    <row r="51" spans="1:14" outlineLevel="1" x14ac:dyDescent="0.35">
      <c r="A51" s="3" t="s">
        <v>36</v>
      </c>
      <c r="E51" s="79">
        <f>E53/E42</f>
        <v>0</v>
      </c>
      <c r="F51" s="79">
        <f>F53/F42</f>
        <v>0</v>
      </c>
      <c r="G51" s="79">
        <f>G53/G42</f>
        <v>0</v>
      </c>
      <c r="H51" s="79">
        <f>H53/H42</f>
        <v>0.62819455894476506</v>
      </c>
      <c r="L51" s="10"/>
      <c r="M51" s="10"/>
    </row>
    <row r="52" spans="1:14" outlineLevel="1" x14ac:dyDescent="0.35">
      <c r="A52" s="3" t="s">
        <v>527</v>
      </c>
      <c r="E52" s="10">
        <f>SUMIFS(BalanceSheet[CurrentAssets],BalanceSheet[Ticker],$B$1,BalanceSheet[Year],E$2,BalanceSheet[periodType],"&lt;&gt;TTM")</f>
        <v>0</v>
      </c>
      <c r="F52" s="10">
        <f>SUMIFS(BalanceSheet[CurrentAssets],BalanceSheet[Ticker],$B$1,BalanceSheet[Year],F$2,BalanceSheet[periodType],"&lt;&gt;TTM")</f>
        <v>1205000000</v>
      </c>
      <c r="G52" s="10">
        <f>SUMIFS(BalanceSheet[CurrentAssets],BalanceSheet[Ticker],$B$1,BalanceSheet[Year],G$2,BalanceSheet[periodType],"&lt;&gt;TTM")</f>
        <v>1280000000</v>
      </c>
      <c r="H52" s="10">
        <f>SUMIFS(BalanceSheet[CurrentAssets],BalanceSheet[Ticker],$B$1,BalanceSheet[Year],H$2,BalanceSheet[periodType],"&lt;&gt;TTM")</f>
        <v>2073000000</v>
      </c>
      <c r="L52" s="10"/>
      <c r="M52" s="10"/>
    </row>
    <row r="53" spans="1:14" outlineLevel="1" x14ac:dyDescent="0.35">
      <c r="A53" t="s">
        <v>37</v>
      </c>
      <c r="E53" s="10">
        <f>SUMIFS(BalanceSheet[CashAndCashEquivalents],BalanceSheet[Ticker],$B$1,BalanceSheet[Year],E2,BalanceSheet[periodType],"&lt;&gt;TTM")</f>
        <v>0</v>
      </c>
      <c r="F53" s="10">
        <f>SUMIFS(BalanceSheet[CashAndCashEquivalents],BalanceSheet[Ticker],$B$1,BalanceSheet[Year],F2,BalanceSheet[periodType],"&lt;&gt;TTM")</f>
        <v>0</v>
      </c>
      <c r="G53" s="10">
        <f>SUMIFS(BalanceSheet[CashAndCashEquivalents],BalanceSheet[Ticker],$B$1,BalanceSheet[Year],G2,BalanceSheet[periodType],"&lt;&gt;TTM")</f>
        <v>0</v>
      </c>
      <c r="H53" s="10">
        <f>SUMIFS(BalanceSheet[CashAndCashEquivalents],BalanceSheet[Ticker],$B$1,BalanceSheet[Year],H2,BalanceSheet[periodType],"&lt;&gt;TTM")</f>
        <v>762000000</v>
      </c>
      <c r="I53" s="85">
        <f>I138</f>
        <v>1818514850.7305424</v>
      </c>
      <c r="J53" s="85">
        <f>J138</f>
        <v>3065276181.2363796</v>
      </c>
      <c r="K53" s="85">
        <f>K138</f>
        <v>4612957187.6220932</v>
      </c>
      <c r="L53" s="85">
        <f>L138</f>
        <v>6515188815.3055</v>
      </c>
      <c r="M53" s="85">
        <f>M138</f>
        <v>8030742034.1586275</v>
      </c>
      <c r="N53" t="s">
        <v>135</v>
      </c>
    </row>
    <row r="54" spans="1:14" outlineLevel="1" x14ac:dyDescent="0.35">
      <c r="A54" t="s">
        <v>38</v>
      </c>
      <c r="E54" s="10">
        <f>SUMIFS(BalanceSheet[AccountsReceivable],BalanceSheet[Ticker],$B$1,BalanceSheet[Year],E2,BalanceSheet[periodType],"&lt;&gt;TTM")</f>
        <v>0</v>
      </c>
      <c r="F54" s="10">
        <f>SUMIFS(BalanceSheet[AccountsReceivable],BalanceSheet[Ticker],$B$1,BalanceSheet[Year],F2,BalanceSheet[periodType],"&lt;&gt;TTM")</f>
        <v>757000000</v>
      </c>
      <c r="G54" s="10">
        <f>SUMIFS(BalanceSheet[AccountsReceivable],BalanceSheet[Ticker],$B$1,BalanceSheet[Year],G2,BalanceSheet[periodType],"&lt;&gt;TTM")</f>
        <v>816000000</v>
      </c>
      <c r="H54" s="10">
        <f>SUMIFS(BalanceSheet[AccountsReceivable],BalanceSheet[Ticker],$B$1,BalanceSheet[Year],H2,BalanceSheet[periodType],"&lt;&gt;TTM")</f>
        <v>826000000</v>
      </c>
      <c r="I54" s="85">
        <f t="shared" ref="I54:M55" si="14">I145</f>
        <v>649565463.52466917</v>
      </c>
      <c r="J54" s="85">
        <f t="shared" si="14"/>
        <v>679521165.77656555</v>
      </c>
      <c r="K54" s="85">
        <f t="shared" si="14"/>
        <v>708642275.97486973</v>
      </c>
      <c r="L54" s="85">
        <f t="shared" si="14"/>
        <v>736700366.9160502</v>
      </c>
      <c r="M54" s="85">
        <f t="shared" si="14"/>
        <v>761064360.26430082</v>
      </c>
      <c r="N54" s="55" t="s">
        <v>133</v>
      </c>
    </row>
    <row r="55" spans="1:14" outlineLevel="1" x14ac:dyDescent="0.35">
      <c r="A55" t="s">
        <v>39</v>
      </c>
      <c r="E55" s="10">
        <f>SUMIFS(BalanceSheet[Inventory],BalanceSheet[Ticker],$B$1,BalanceSheet[Year],E2,BalanceSheet[periodType],"&lt;&gt;TTM")</f>
        <v>0</v>
      </c>
      <c r="F55" s="10">
        <f>SUMIFS(BalanceSheet[Inventory],BalanceSheet[Ticker],$B$1,BalanceSheet[Year],F2,BalanceSheet[periodType],"&lt;&gt;TTM")</f>
        <v>322000000</v>
      </c>
      <c r="G55" s="10">
        <f>SUMIFS(BalanceSheet[Inventory],BalanceSheet[Ticker],$B$1,BalanceSheet[Year],G2,BalanceSheet[periodType],"&lt;&gt;TTM")</f>
        <v>345000000</v>
      </c>
      <c r="H55" s="10">
        <f>SUMIFS(BalanceSheet[Inventory],BalanceSheet[Ticker],$B$1,BalanceSheet[Year],H2,BalanceSheet[periodType],"&lt;&gt;TTM")</f>
        <v>297000000</v>
      </c>
      <c r="I55" s="85">
        <f t="shared" si="14"/>
        <v>260834786.11104783</v>
      </c>
      <c r="J55" s="85">
        <f t="shared" si="14"/>
        <v>272863580.17174506</v>
      </c>
      <c r="K55" s="85">
        <f t="shared" si="14"/>
        <v>284557241.51370537</v>
      </c>
      <c r="L55" s="85">
        <f t="shared" si="14"/>
        <v>295824044.56942105</v>
      </c>
      <c r="M55" s="85">
        <f t="shared" si="14"/>
        <v>305607472.64658302</v>
      </c>
      <c r="N55" s="55" t="s">
        <v>133</v>
      </c>
    </row>
    <row r="56" spans="1:14" outlineLevel="1" x14ac:dyDescent="0.35">
      <c r="A56" t="s">
        <v>531</v>
      </c>
      <c r="E56" s="10">
        <f>SUMIFS(BalanceSheet[OtherReceivables],BalanceSheet[Ticker],$B$1,BalanceSheet[Year],E$2,BalanceSheet[periodType],"&lt;&gt;TTM")</f>
        <v>0</v>
      </c>
      <c r="F56" s="10">
        <f>SUMIFS(BalanceSheet[OtherReceivables],BalanceSheet[Ticker],$B$1,BalanceSheet[Year],F$2,BalanceSheet[periodType],"&lt;&gt;TTM")</f>
        <v>0</v>
      </c>
      <c r="G56" s="10">
        <f>SUMIFS(BalanceSheet[OtherReceivables],BalanceSheet[Ticker],$B$1,BalanceSheet[Year],G$2,BalanceSheet[periodType],"&lt;&gt;TTM")</f>
        <v>0</v>
      </c>
      <c r="H56" s="10">
        <f>SUMIFS(BalanceSheet[OtherReceivables],BalanceSheet[Ticker],$B$1,BalanceSheet[Year],H$2,BalanceSheet[periodType],"&lt;&gt;TTM")</f>
        <v>0</v>
      </c>
      <c r="I56" s="65">
        <f>AVERAGE($E56:$H56)</f>
        <v>0</v>
      </c>
      <c r="J56" s="65">
        <f t="shared" ref="J56:M58" si="15">AVERAGE($E56:$H56)</f>
        <v>0</v>
      </c>
      <c r="K56" s="65">
        <f t="shared" si="15"/>
        <v>0</v>
      </c>
      <c r="L56" s="65">
        <f t="shared" si="15"/>
        <v>0</v>
      </c>
      <c r="M56" s="65">
        <f t="shared" si="15"/>
        <v>0</v>
      </c>
    </row>
    <row r="57" spans="1:14" outlineLevel="1" x14ac:dyDescent="0.35">
      <c r="A57" t="s">
        <v>495</v>
      </c>
      <c r="E57" s="10">
        <f>SUMIFS(BalanceSheet[OtherShortTermInvestments],BalanceSheet[Ticker],$B$1,BalanceSheet[Year],E$2,BalanceSheet[periodType],"&lt;&gt;TTM")</f>
        <v>0</v>
      </c>
      <c r="F57" s="10">
        <f>SUMIFS(BalanceSheet[OtherShortTermInvestments],BalanceSheet[Ticker],$B$1,BalanceSheet[Year],F$2,BalanceSheet[periodType],"&lt;&gt;TTM")</f>
        <v>0</v>
      </c>
      <c r="G57" s="10">
        <f>SUMIFS(BalanceSheet[OtherShortTermInvestments],BalanceSheet[Ticker],$B$1,BalanceSheet[Year],G$2,BalanceSheet[periodType],"&lt;&gt;TTM")</f>
        <v>0</v>
      </c>
      <c r="H57" s="10">
        <f>SUMIFS(BalanceSheet[OtherShortTermInvestments],BalanceSheet[Ticker],$B$1,BalanceSheet[Year],H$2,BalanceSheet[periodType],"&lt;&gt;TTM")</f>
        <v>0</v>
      </c>
      <c r="I57" s="65">
        <f>AVERAGE($E57:$H57)</f>
        <v>0</v>
      </c>
      <c r="J57" s="65">
        <f t="shared" si="15"/>
        <v>0</v>
      </c>
      <c r="K57" s="65">
        <f t="shared" si="15"/>
        <v>0</v>
      </c>
      <c r="L57" s="65">
        <f t="shared" si="15"/>
        <v>0</v>
      </c>
      <c r="M57" s="65">
        <f t="shared" si="15"/>
        <v>0</v>
      </c>
    </row>
    <row r="58" spans="1:14" outlineLevel="1" x14ac:dyDescent="0.35">
      <c r="A58" t="s">
        <v>493</v>
      </c>
      <c r="E58" s="48">
        <f>SUMIFS(BalanceSheet[OtherCurrentAssets],BalanceSheet[Ticker],$B$1,BalanceSheet[Year],E$2,BalanceSheet[periodType],"&lt;&gt;TTM")</f>
        <v>0</v>
      </c>
      <c r="F58" s="48">
        <f>SUMIFS(BalanceSheet[OtherCurrentAssets],BalanceSheet[Ticker],$B$1,BalanceSheet[Year],F$2,BalanceSheet[periodType],"&lt;&gt;TTM")</f>
        <v>126000000</v>
      </c>
      <c r="G58" s="48">
        <f>SUMIFS(BalanceSheet[OtherCurrentAssets],BalanceSheet[Ticker],$B$1,BalanceSheet[Year],G$2,BalanceSheet[periodType],"&lt;&gt;TTM")</f>
        <v>119000000</v>
      </c>
      <c r="H58" s="48">
        <f>SUMIFS(BalanceSheet[OtherCurrentAssets],BalanceSheet[Ticker],$B$1,BalanceSheet[Year],H$2,BalanceSheet[periodType],"&lt;&gt;TTM")</f>
        <v>188000000</v>
      </c>
      <c r="I58" s="48">
        <f>AVERAGE($E58:$H58)</f>
        <v>108250000</v>
      </c>
      <c r="J58" s="48">
        <f t="shared" si="15"/>
        <v>108250000</v>
      </c>
      <c r="K58" s="48">
        <f t="shared" si="15"/>
        <v>108250000</v>
      </c>
      <c r="L58" s="48">
        <f t="shared" si="15"/>
        <v>108250000</v>
      </c>
      <c r="M58" s="48">
        <f t="shared" si="15"/>
        <v>108250000</v>
      </c>
    </row>
    <row r="59" spans="1:14" outlineLevel="1" x14ac:dyDescent="0.35">
      <c r="A59" s="102" t="s">
        <v>509</v>
      </c>
      <c r="B59" s="102"/>
      <c r="C59" s="102"/>
      <c r="D59" s="102"/>
      <c r="E59" s="103">
        <f t="shared" ref="E59:M59" si="16">SUM(E53:E58)</f>
        <v>0</v>
      </c>
      <c r="F59" s="103">
        <f t="shared" si="16"/>
        <v>1205000000</v>
      </c>
      <c r="G59" s="103">
        <f t="shared" si="16"/>
        <v>1280000000</v>
      </c>
      <c r="H59" s="103">
        <f t="shared" si="16"/>
        <v>2073000000</v>
      </c>
      <c r="I59" s="103">
        <f t="shared" si="16"/>
        <v>2837165100.3662596</v>
      </c>
      <c r="J59" s="103">
        <f t="shared" si="16"/>
        <v>4125910927.1846905</v>
      </c>
      <c r="K59" s="103">
        <f t="shared" si="16"/>
        <v>5714406705.1106682</v>
      </c>
      <c r="L59" s="103">
        <f t="shared" si="16"/>
        <v>7655963226.7909708</v>
      </c>
      <c r="M59" s="103">
        <f t="shared" si="16"/>
        <v>9205663867.0695114</v>
      </c>
    </row>
    <row r="60" spans="1:14" outlineLevel="1" x14ac:dyDescent="0.35">
      <c r="A60" t="s">
        <v>40</v>
      </c>
      <c r="E60" s="10">
        <f>SUMIFS(BalanceSheet[GrossPPE],BalanceSheet[Ticker],$B$1,BalanceSheet[Year],E2,BalanceSheet[periodType],"&lt;&gt;TTM")</f>
        <v>0</v>
      </c>
      <c r="F60" s="10">
        <f>SUMIFS(BalanceSheet[GrossPPE],BalanceSheet[Ticker],$B$1,BalanceSheet[Year],F2,BalanceSheet[periodType],"&lt;&gt;TTM")</f>
        <v>698000000</v>
      </c>
      <c r="G60" s="10">
        <f>SUMIFS(BalanceSheet[GrossPPE],BalanceSheet[Ticker],$B$1,BalanceSheet[Year],G2,BalanceSheet[periodType],"&lt;&gt;TTM")</f>
        <v>707000000</v>
      </c>
      <c r="H60" s="10">
        <f>SUMIFS(BalanceSheet[GrossPPE],BalanceSheet[Ticker],$B$1,BalanceSheet[Year],H2,BalanceSheet[periodType],"&lt;&gt;TTM")</f>
        <v>734000000</v>
      </c>
      <c r="I60" s="85">
        <f>I156</f>
        <v>673203820.57197702</v>
      </c>
      <c r="J60" s="85">
        <f>J156</f>
        <v>609603932.58605659</v>
      </c>
      <c r="K60" s="85">
        <f>K156</f>
        <v>543278449.81381166</v>
      </c>
      <c r="L60" s="85">
        <f>L156</f>
        <v>474326865.7060498</v>
      </c>
      <c r="M60" s="85">
        <f>M156</f>
        <v>403094929.89494157</v>
      </c>
      <c r="N60" s="55" t="s">
        <v>133</v>
      </c>
    </row>
    <row r="61" spans="1:14" outlineLevel="1" x14ac:dyDescent="0.35">
      <c r="A61" t="s">
        <v>530</v>
      </c>
      <c r="E61" s="10">
        <f>SUMIFS(BalanceSheet[AccumulatedDepreciation],BalanceSheet[Ticker],$B$1,BalanceSheet[Year],E$2,BalanceSheet[periodType],"&lt;&gt;TTM")</f>
        <v>0</v>
      </c>
      <c r="F61" s="10">
        <f>SUMIFS(BalanceSheet[AccumulatedDepreciation],BalanceSheet[Ticker],$B$1,BalanceSheet[Year],F$2,BalanceSheet[periodType],"&lt;&gt;TTM")</f>
        <v>-438000000</v>
      </c>
      <c r="G61" s="10">
        <f>SUMIFS(BalanceSheet[AccumulatedDepreciation],BalanceSheet[Ticker],$B$1,BalanceSheet[Year],G$2,BalanceSheet[periodType],"&lt;&gt;TTM")</f>
        <v>-460000000</v>
      </c>
      <c r="H61" s="10">
        <f>SUMIFS(BalanceSheet[AccumulatedDepreciation],BalanceSheet[Ticker],$B$1,BalanceSheet[Year],H$2,BalanceSheet[periodType],"&lt;&gt;TTM")</f>
        <v>-472000000</v>
      </c>
      <c r="I61" s="10">
        <f>AVERAGE($E$61:$H$61)</f>
        <v>-342500000</v>
      </c>
      <c r="J61" s="10">
        <f>AVERAGE($E$61:$H$61)</f>
        <v>-342500000</v>
      </c>
      <c r="K61" s="10">
        <f>AVERAGE($E$61:$H$61)</f>
        <v>-342500000</v>
      </c>
      <c r="L61" s="10">
        <f>AVERAGE($E$61:$H$61)</f>
        <v>-342500000</v>
      </c>
      <c r="M61" s="10">
        <f>AVERAGE($E$61:$H$61)</f>
        <v>-342500000</v>
      </c>
    </row>
    <row r="62" spans="1:14" outlineLevel="1" x14ac:dyDescent="0.35">
      <c r="A62" t="s">
        <v>238</v>
      </c>
      <c r="E62" s="10">
        <f>SUMIFS(BalanceSheet[GoodwillAndOtherIntangibleAssets],BalanceSheet[Ticker],$B$1,BalanceSheet[Year],E$2,BalanceSheet[periodType],"&lt;&gt;TTM")</f>
        <v>0</v>
      </c>
      <c r="F62" s="10">
        <f>SUMIFS(BalanceSheet[GoodwillAndOtherIntangibleAssets],BalanceSheet[Ticker],$B$1,BalanceSheet[Year],F$2,BalanceSheet[periodType],"&lt;&gt;TTM")</f>
        <v>3035000000</v>
      </c>
      <c r="G62" s="10">
        <f>SUMIFS(BalanceSheet[GoodwillAndOtherIntangibleAssets],BalanceSheet[Ticker],$B$1,BalanceSheet[Year],G$2,BalanceSheet[periodType],"&lt;&gt;TTM")</f>
        <v>2955000000</v>
      </c>
      <c r="H62" s="10">
        <f>SUMIFS(BalanceSheet[GoodwillAndOtherIntangibleAssets],BalanceSheet[Ticker],$B$1,BalanceSheet[Year],H$2,BalanceSheet[periodType],"&lt;&gt;TTM")</f>
        <v>2960000000</v>
      </c>
      <c r="I62" s="10">
        <f>AVERAGE($E$62:$H$62)</f>
        <v>2237500000</v>
      </c>
      <c r="J62" s="10">
        <f>AVERAGE($E$62:$H$62)</f>
        <v>2237500000</v>
      </c>
      <c r="K62" s="10">
        <f>AVERAGE($E$62:$H$62)</f>
        <v>2237500000</v>
      </c>
      <c r="L62" s="10">
        <f>AVERAGE($E$62:$H$62)</f>
        <v>2237500000</v>
      </c>
      <c r="M62" s="10">
        <f>AVERAGE($E$62:$H$62)</f>
        <v>2237500000</v>
      </c>
    </row>
    <row r="63" spans="1:14" outlineLevel="1" x14ac:dyDescent="0.35">
      <c r="A63" t="s">
        <v>548</v>
      </c>
      <c r="E63" s="10">
        <f>SUMIFS(BalanceSheet[InvestmentsAndAdvances],BalanceSheet[Ticker],$B$1,BalanceSheet[Year],E$2,BalanceSheet[periodType],"&lt;&gt;TTM")</f>
        <v>0</v>
      </c>
      <c r="F63" s="10">
        <f>SUMIFS(BalanceSheet[InvestmentsAndAdvances],BalanceSheet[Ticker],$B$1,BalanceSheet[Year],F$2,BalanceSheet[periodType],"&lt;&gt;TTM")</f>
        <v>0</v>
      </c>
      <c r="G63" s="10">
        <f>SUMIFS(BalanceSheet[InvestmentsAndAdvances],BalanceSheet[Ticker],$B$1,BalanceSheet[Year],G$2,BalanceSheet[periodType],"&lt;&gt;TTM")</f>
        <v>0</v>
      </c>
      <c r="H63" s="10">
        <f>SUMIFS(BalanceSheet[InvestmentsAndAdvances],BalanceSheet[Ticker],$B$1,BalanceSheet[Year],H$2,BalanceSheet[periodType],"&lt;&gt;TTM")</f>
        <v>0</v>
      </c>
      <c r="I63" s="10">
        <f>AVERAGE($E$63:$H$63)</f>
        <v>0</v>
      </c>
      <c r="J63" s="10">
        <f>AVERAGE($E$63:$H$63)</f>
        <v>0</v>
      </c>
      <c r="K63" s="10">
        <f>AVERAGE($E$63:$H$63)</f>
        <v>0</v>
      </c>
      <c r="L63" s="10">
        <f>AVERAGE($E$63:$H$63)</f>
        <v>0</v>
      </c>
      <c r="M63" s="10">
        <f>AVERAGE($E$63:$H$63)</f>
        <v>0</v>
      </c>
    </row>
    <row r="64" spans="1:14" outlineLevel="1" x14ac:dyDescent="0.35">
      <c r="A64" t="s">
        <v>547</v>
      </c>
      <c r="E64" s="10">
        <f>SUMIFS(BalanceSheet[NonCurrentDeferredAssets],BalanceSheet[Ticker],$B$1,BalanceSheet[Year],E$2,BalanceSheet[periodType],"&lt;&gt;TTM")</f>
        <v>0</v>
      </c>
      <c r="F64" s="10">
        <f>SUMIFS(BalanceSheet[NonCurrentDeferredAssets],BalanceSheet[Ticker],$B$1,BalanceSheet[Year],F$2,BalanceSheet[periodType],"&lt;&gt;TTM")</f>
        <v>0</v>
      </c>
      <c r="G64" s="10">
        <f>SUMIFS(BalanceSheet[NonCurrentDeferredAssets],BalanceSheet[Ticker],$B$1,BalanceSheet[Year],G$2,BalanceSheet[periodType],"&lt;&gt;TTM")</f>
        <v>0</v>
      </c>
      <c r="H64" s="10">
        <f>SUMIFS(BalanceSheet[NonCurrentDeferredAssets],BalanceSheet[Ticker],$B$1,BalanceSheet[Year],H$2,BalanceSheet[periodType],"&lt;&gt;TTM")</f>
        <v>0</v>
      </c>
      <c r="I64" s="10">
        <f>AVERAGE($E$64:$H$64)</f>
        <v>0</v>
      </c>
      <c r="J64" s="10">
        <f>AVERAGE($E$64:$H$64)</f>
        <v>0</v>
      </c>
      <c r="K64" s="10">
        <f>AVERAGE($E$64:$H$64)</f>
        <v>0</v>
      </c>
      <c r="L64" s="10">
        <f>AVERAGE($E$64:$H$64)</f>
        <v>0</v>
      </c>
      <c r="M64" s="10">
        <f>AVERAGE($E$64:$H$64)</f>
        <v>0</v>
      </c>
    </row>
    <row r="65" spans="1:14" outlineLevel="1" x14ac:dyDescent="0.35">
      <c r="A65" t="s">
        <v>529</v>
      </c>
      <c r="E65" s="48">
        <f>SUMIFS(BalanceSheet[OtherNonCurrentAssets],BalanceSheet[Ticker],$B$1,BalanceSheet[Year],E$2,BalanceSheet[periodType],"&lt;&gt;TTM")</f>
        <v>0</v>
      </c>
      <c r="F65" s="48">
        <f>SUMIFS(BalanceSheet[OtherNonCurrentAssets],BalanceSheet[Ticker],$B$1,BalanceSheet[Year],F$2,BalanceSheet[periodType],"&lt;&gt;TTM")</f>
        <v>340000000</v>
      </c>
      <c r="G65" s="48">
        <f>SUMIFS(BalanceSheet[OtherNonCurrentAssets],BalanceSheet[Ticker],$B$1,BalanceSheet[Year],G$2,BalanceSheet[periodType],"&lt;&gt;TTM")</f>
        <v>343000000</v>
      </c>
      <c r="H65" s="48">
        <f>SUMIFS(BalanceSheet[OtherNonCurrentAssets],BalanceSheet[Ticker],$B$1,BalanceSheet[Year],H$2,BalanceSheet[periodType],"&lt;&gt;TTM")</f>
        <v>398000000</v>
      </c>
      <c r="I65" s="48">
        <f>AVERAGE($E$65:$H$65)</f>
        <v>270250000</v>
      </c>
      <c r="J65" s="48">
        <f>AVERAGE($E$65:$H$65)</f>
        <v>270250000</v>
      </c>
      <c r="K65" s="48">
        <f>AVERAGE($E$65:$H$65)</f>
        <v>270250000</v>
      </c>
      <c r="L65" s="48">
        <f>AVERAGE($E$65:$H$65)</f>
        <v>270250000</v>
      </c>
      <c r="M65" s="48">
        <f>AVERAGE($E$65:$H$65)</f>
        <v>270250000</v>
      </c>
    </row>
    <row r="66" spans="1:14" ht="15" outlineLevel="1" thickBot="1" x14ac:dyDescent="0.4">
      <c r="A66" s="6" t="s">
        <v>41</v>
      </c>
      <c r="B66" s="6"/>
      <c r="C66" s="6"/>
      <c r="D66" s="6"/>
      <c r="E66" s="15">
        <f t="shared" ref="E66:M66" si="17">E59+SUM(E60:E65)</f>
        <v>0</v>
      </c>
      <c r="F66" s="15">
        <f t="shared" si="17"/>
        <v>4840000000</v>
      </c>
      <c r="G66" s="15">
        <f t="shared" si="17"/>
        <v>4825000000</v>
      </c>
      <c r="H66" s="15">
        <f t="shared" si="17"/>
        <v>5693000000</v>
      </c>
      <c r="I66" s="15">
        <f t="shared" si="17"/>
        <v>5675618920.9382362</v>
      </c>
      <c r="J66" s="15">
        <f t="shared" si="17"/>
        <v>6900764859.7707472</v>
      </c>
      <c r="K66" s="15">
        <f t="shared" si="17"/>
        <v>8422935154.9244804</v>
      </c>
      <c r="L66" s="15">
        <f t="shared" si="17"/>
        <v>10295540092.497021</v>
      </c>
      <c r="M66" s="15">
        <f t="shared" si="17"/>
        <v>11774008796.964453</v>
      </c>
    </row>
    <row r="67" spans="1:14" ht="15" outlineLevel="1" thickTop="1" x14ac:dyDescent="0.35">
      <c r="A67" s="3" t="s">
        <v>480</v>
      </c>
      <c r="B67" s="3"/>
      <c r="C67" s="3"/>
      <c r="D67" s="3"/>
      <c r="E67" s="54">
        <f>SUMIFS(BalanceSheet[TotalAssets],BalanceSheet[Ticker],$B$1,BalanceSheet[Year],E2,BalanceSheet[periodType],"&lt;&gt;TTM")</f>
        <v>0</v>
      </c>
      <c r="F67" s="54">
        <f>SUMIFS(BalanceSheet[TotalAssets],BalanceSheet[Ticker],$B$1,BalanceSheet[Year],F2,BalanceSheet[periodType],"&lt;&gt;TTM")</f>
        <v>4840000000</v>
      </c>
      <c r="G67" s="54">
        <f>SUMIFS(BalanceSheet[TotalAssets],BalanceSheet[Ticker],$B$1,BalanceSheet[Year],G2,BalanceSheet[periodType],"&lt;&gt;TTM")</f>
        <v>4825000000</v>
      </c>
      <c r="H67" s="54">
        <f>SUMIFS(BalanceSheet[TotalAssets],BalanceSheet[Ticker],$B$1,BalanceSheet[Year],H2,BalanceSheet[periodType],"&lt;&gt;TTM")</f>
        <v>5693000000</v>
      </c>
      <c r="I67" s="54"/>
      <c r="J67" s="54"/>
      <c r="K67" s="54"/>
      <c r="L67" s="54"/>
      <c r="M67" s="54"/>
    </row>
    <row r="68" spans="1:14" outlineLevel="1" x14ac:dyDescent="0.35">
      <c r="E68" s="59"/>
      <c r="F68" s="59"/>
      <c r="G68" s="59"/>
      <c r="H68" s="59"/>
      <c r="I68" s="59"/>
      <c r="J68" s="59"/>
      <c r="K68" s="59"/>
      <c r="L68" s="59"/>
      <c r="M68" s="59"/>
    </row>
    <row r="69" spans="1:14" outlineLevel="1" x14ac:dyDescent="0.35">
      <c r="A69" s="3" t="s">
        <v>42</v>
      </c>
      <c r="E69" s="65"/>
      <c r="F69" s="65"/>
      <c r="G69" s="65"/>
      <c r="H69" s="65"/>
      <c r="L69" s="10"/>
      <c r="M69" s="10"/>
    </row>
    <row r="70" spans="1:14" outlineLevel="1" x14ac:dyDescent="0.35">
      <c r="A70" s="3" t="s">
        <v>528</v>
      </c>
      <c r="E70" s="10">
        <f>SUMIFS(BalanceSheet[CurrentLiabilities],BalanceSheet[Ticker],$B$1,BalanceSheet[Year],E$2,BalanceSheet[periodType],"&lt;&gt;TTM")</f>
        <v>0</v>
      </c>
      <c r="F70" s="10">
        <f>SUMIFS(BalanceSheet[CurrentLiabilities],BalanceSheet[Ticker],$B$1,BalanceSheet[Year],F$2,BalanceSheet[periodType],"&lt;&gt;TTM")</f>
        <v>1121000000</v>
      </c>
      <c r="G70" s="10">
        <f>SUMIFS(BalanceSheet[CurrentLiabilities],BalanceSheet[Ticker],$B$1,BalanceSheet[Year],G$2,BalanceSheet[periodType],"&lt;&gt;TTM")</f>
        <v>1123000000</v>
      </c>
      <c r="H70" s="10">
        <f>SUMIFS(BalanceSheet[CurrentLiabilities],BalanceSheet[Ticker],$B$1,BalanceSheet[Year],H$2,BalanceSheet[periodType],"&lt;&gt;TTM")</f>
        <v>1265000000</v>
      </c>
      <c r="L70" s="10"/>
      <c r="M70" s="10"/>
    </row>
    <row r="71" spans="1:14" outlineLevel="1" x14ac:dyDescent="0.35">
      <c r="A71" s="55" t="s">
        <v>43</v>
      </c>
      <c r="E71" s="10">
        <f>SUMIFS(BalanceSheet[Payables],BalanceSheet[Ticker],$B$1,BalanceSheet[Year],E2,BalanceSheet[periodType],"&lt;&gt;TTM")</f>
        <v>0</v>
      </c>
      <c r="F71" s="10">
        <f>SUMIFS(BalanceSheet[Payables],BalanceSheet[Ticker],$B$1,BalanceSheet[Year],F2,BalanceSheet[periodType],"&lt;&gt;TTM")</f>
        <v>522000000</v>
      </c>
      <c r="G71" s="10">
        <f>SUMIFS(BalanceSheet[Payables],BalanceSheet[Ticker],$B$1,BalanceSheet[Year],G2,BalanceSheet[periodType],"&lt;&gt;TTM")</f>
        <v>506000000</v>
      </c>
      <c r="H71" s="10">
        <f>SUMIFS(BalanceSheet[Payables],BalanceSheet[Ticker],$B$1,BalanceSheet[Year],H2,BalanceSheet[periodType],"&lt;&gt;TTM")</f>
        <v>570000000</v>
      </c>
      <c r="I71" s="10">
        <f>I147</f>
        <v>432088945.27494287</v>
      </c>
      <c r="J71" s="10">
        <f>J147</f>
        <v>452015386.13089287</v>
      </c>
      <c r="K71" s="10">
        <f>K147</f>
        <v>471386658.92385113</v>
      </c>
      <c r="L71" s="10">
        <f>L147</f>
        <v>490050814.58172441</v>
      </c>
      <c r="M71" s="10">
        <f>M147</f>
        <v>506257667.90087652</v>
      </c>
      <c r="N71" t="s">
        <v>133</v>
      </c>
    </row>
    <row r="72" spans="1:14" outlineLevel="1" x14ac:dyDescent="0.35">
      <c r="A72" s="55" t="s">
        <v>492</v>
      </c>
      <c r="E72" s="10">
        <f>SUMIFS(BalanceSheet[CurrentAccruedExpenses],BalanceSheet[Ticker],$B$1,BalanceSheet[Year],E$2,BalanceSheet[periodType],"&lt;&gt;TTM")</f>
        <v>0</v>
      </c>
      <c r="F72" s="10">
        <f>SUMIFS(BalanceSheet[CurrentAccruedExpenses],BalanceSheet[Ticker],$B$1,BalanceSheet[Year],F$2,BalanceSheet[periodType],"&lt;&gt;TTM")</f>
        <v>227000000</v>
      </c>
      <c r="G72" s="10">
        <f>SUMIFS(BalanceSheet[CurrentAccruedExpenses],BalanceSheet[Ticker],$B$1,BalanceSheet[Year],G$2,BalanceSheet[periodType],"&lt;&gt;TTM")</f>
        <v>211000000</v>
      </c>
      <c r="H72" s="10">
        <f>SUMIFS(BalanceSheet[CurrentAccruedExpenses],BalanceSheet[Ticker],$B$1,BalanceSheet[Year],H$2,BalanceSheet[periodType],"&lt;&gt;TTM")</f>
        <v>184000000</v>
      </c>
      <c r="I72" s="10">
        <f>I32*I22</f>
        <v>168623642.08639383</v>
      </c>
      <c r="J72" s="10">
        <f>J32*J22</f>
        <v>176399978.573807</v>
      </c>
      <c r="K72" s="10">
        <f>K32*K22</f>
        <v>183959659.52819753</v>
      </c>
      <c r="L72" s="10">
        <f>L32*L22</f>
        <v>191243386.49671638</v>
      </c>
      <c r="M72" s="10">
        <f>M32*M22</f>
        <v>197568145.93182862</v>
      </c>
    </row>
    <row r="73" spans="1:14" outlineLevel="1" x14ac:dyDescent="0.35">
      <c r="A73" s="55" t="s">
        <v>532</v>
      </c>
      <c r="E73" s="10">
        <f>SUMIFS(BalanceSheet[CurrentDebtAndCapitalLeaseObligation],BalanceSheet[Ticker],$B$1,BalanceSheet[Year],E$2,BalanceSheet[periodType],"&lt;&gt;TTM")</f>
        <v>0</v>
      </c>
      <c r="F73" s="10">
        <f>SUMIFS(BalanceSheet[CurrentDebtAndCapitalLeaseObligation],BalanceSheet[Ticker],$B$1,BalanceSheet[Year],F$2,BalanceSheet[periodType],"&lt;&gt;TTM")</f>
        <v>34000000</v>
      </c>
      <c r="G73" s="10">
        <f>SUMIFS(BalanceSheet[CurrentDebtAndCapitalLeaseObligation],BalanceSheet[Ticker],$B$1,BalanceSheet[Year],G$2,BalanceSheet[periodType],"&lt;&gt;TTM")</f>
        <v>32000000</v>
      </c>
      <c r="H73" s="10">
        <f>SUMIFS(BalanceSheet[CurrentDebtAndCapitalLeaseObligation],BalanceSheet[Ticker],$B$1,BalanceSheet[Year],H$2,BalanceSheet[periodType],"&lt;&gt;TTM")</f>
        <v>33000000</v>
      </c>
      <c r="I73" s="48">
        <f>I31*I21</f>
        <v>26841593.000455596</v>
      </c>
      <c r="J73" s="48">
        <f>J31*J21</f>
        <v>28079434.008081298</v>
      </c>
      <c r="K73" s="48">
        <f>K31*K21</f>
        <v>29282787.683048677</v>
      </c>
      <c r="L73" s="48">
        <f>L31*L21</f>
        <v>30442214.868918963</v>
      </c>
      <c r="M73" s="48">
        <f>M31*M21</f>
        <v>31448993.138457794</v>
      </c>
    </row>
    <row r="74" spans="1:14" outlineLevel="1" x14ac:dyDescent="0.35">
      <c r="A74" s="55" t="s">
        <v>533</v>
      </c>
      <c r="E74" s="10">
        <f>SUMIFS(BalanceSheet[CurrentDeferredLiabilities],BalanceSheet[Ticker],$B$1,BalanceSheet[Year],E$2,BalanceSheet[periodType],"&lt;&gt;TTM")</f>
        <v>0</v>
      </c>
      <c r="F74" s="10">
        <f>SUMIFS(BalanceSheet[CurrentDeferredLiabilities],BalanceSheet[Ticker],$B$1,BalanceSheet[Year],F$2,BalanceSheet[periodType],"&lt;&gt;TTM")</f>
        <v>175000000</v>
      </c>
      <c r="G74" s="10">
        <f>SUMIFS(BalanceSheet[CurrentDeferredLiabilities],BalanceSheet[Ticker],$B$1,BalanceSheet[Year],G$2,BalanceSheet[periodType],"&lt;&gt;TTM")</f>
        <v>192000000</v>
      </c>
      <c r="H74" s="10">
        <f>SUMIFS(BalanceSheet[CurrentDeferredLiabilities],BalanceSheet[Ticker],$B$1,BalanceSheet[Year],H$2,BalanceSheet[periodType],"&lt;&gt;TTM")</f>
        <v>208000000</v>
      </c>
      <c r="I74" s="10">
        <f t="shared" ref="I74:M75" si="18">AVERAGE($E74:$H74)</f>
        <v>143750000</v>
      </c>
      <c r="J74" s="10">
        <f t="shared" si="18"/>
        <v>143750000</v>
      </c>
      <c r="K74" s="10">
        <f t="shared" si="18"/>
        <v>143750000</v>
      </c>
      <c r="L74" s="10">
        <f t="shared" si="18"/>
        <v>143750000</v>
      </c>
      <c r="M74" s="10">
        <f t="shared" si="18"/>
        <v>143750000</v>
      </c>
    </row>
    <row r="75" spans="1:14" outlineLevel="1" x14ac:dyDescent="0.35">
      <c r="A75" s="55" t="s">
        <v>543</v>
      </c>
      <c r="E75" s="10">
        <f>SUMIFS(BalanceSheet[PensionandOtherPostRetirementBenefitPlansCurrent],BalanceSheet[Ticker],$B$1,BalanceSheet[Year],E$2,BalanceSheet[periodType],"&lt;&gt;TTM")</f>
        <v>0</v>
      </c>
      <c r="F75" s="10">
        <f>SUMIFS(BalanceSheet[PensionandOtherPostRetirementBenefitPlansCurrent],BalanceSheet[Ticker],$B$1,BalanceSheet[Year],F$2,BalanceSheet[periodType],"&lt;&gt;TTM")</f>
        <v>5000000</v>
      </c>
      <c r="G75" s="10">
        <f>SUMIFS(BalanceSheet[PensionandOtherPostRetirementBenefitPlansCurrent],BalanceSheet[Ticker],$B$1,BalanceSheet[Year],G$2,BalanceSheet[periodType],"&lt;&gt;TTM")</f>
        <v>5000000</v>
      </c>
      <c r="H75" s="10">
        <f>SUMIFS(BalanceSheet[PensionandOtherPostRetirementBenefitPlansCurrent],BalanceSheet[Ticker],$B$1,BalanceSheet[Year],H$2,BalanceSheet[periodType],"&lt;&gt;TTM")</f>
        <v>6000000</v>
      </c>
      <c r="I75" s="10">
        <f t="shared" si="18"/>
        <v>4000000</v>
      </c>
      <c r="J75" s="10">
        <f t="shared" si="18"/>
        <v>4000000</v>
      </c>
      <c r="K75" s="10">
        <f t="shared" si="18"/>
        <v>4000000</v>
      </c>
      <c r="L75" s="10">
        <f t="shared" si="18"/>
        <v>4000000</v>
      </c>
      <c r="M75" s="10">
        <f t="shared" si="18"/>
        <v>4000000</v>
      </c>
    </row>
    <row r="76" spans="1:14" outlineLevel="1" x14ac:dyDescent="0.35">
      <c r="A76" s="55" t="s">
        <v>494</v>
      </c>
      <c r="E76" s="48">
        <f>SUMIFS(BalanceSheet[OtherCurrentLiabilities],BalanceSheet[Ticker],$B$1,BalanceSheet[Year],E$2,BalanceSheet[periodType],"&lt;&gt;TTM")</f>
        <v>0</v>
      </c>
      <c r="F76" s="48">
        <f>SUMIFS(BalanceSheet[OtherCurrentLiabilities],BalanceSheet[Ticker],$B$1,BalanceSheet[Year],F$2,BalanceSheet[periodType],"&lt;&gt;TTM")</f>
        <v>158000000</v>
      </c>
      <c r="G76" s="48">
        <f>SUMIFS(BalanceSheet[OtherCurrentLiabilities],BalanceSheet[Ticker],$B$1,BalanceSheet[Year],G$2,BalanceSheet[periodType],"&lt;&gt;TTM")</f>
        <v>177000000</v>
      </c>
      <c r="H76" s="48">
        <f>SUMIFS(BalanceSheet[OtherCurrentLiabilities],BalanceSheet[Ticker],$B$1,BalanceSheet[Year],H$2,BalanceSheet[periodType],"&lt;&gt;TTM")</f>
        <v>264000000</v>
      </c>
      <c r="I76" s="48">
        <f>I31*I23</f>
        <v>161415057.69465917</v>
      </c>
      <c r="J76" s="48">
        <f>J31*J23</f>
        <v>168858959.31627032</v>
      </c>
      <c r="K76" s="48">
        <f>K31*K23</f>
        <v>176095467.33085209</v>
      </c>
      <c r="L76" s="48">
        <f>L31*L23</f>
        <v>183067818.26758048</v>
      </c>
      <c r="M76" s="48">
        <f>M31*M23</f>
        <v>189122197.09899265</v>
      </c>
    </row>
    <row r="77" spans="1:14" outlineLevel="1" x14ac:dyDescent="0.35">
      <c r="A77" s="102" t="s">
        <v>510</v>
      </c>
      <c r="B77" s="102"/>
      <c r="C77" s="102"/>
      <c r="D77" s="102"/>
      <c r="E77" s="103">
        <f t="shared" ref="E77:M77" si="19">SUM(E71:E76)</f>
        <v>0</v>
      </c>
      <c r="F77" s="103">
        <f t="shared" si="19"/>
        <v>1121000000</v>
      </c>
      <c r="G77" s="103">
        <f t="shared" si="19"/>
        <v>1123000000</v>
      </c>
      <c r="H77" s="103">
        <f t="shared" si="19"/>
        <v>1265000000</v>
      </c>
      <c r="I77" s="103">
        <f t="shared" si="19"/>
        <v>936719238.05645156</v>
      </c>
      <c r="J77" s="103">
        <f t="shared" si="19"/>
        <v>973103758.02905154</v>
      </c>
      <c r="K77" s="103">
        <f t="shared" si="19"/>
        <v>1008474573.4659495</v>
      </c>
      <c r="L77" s="103">
        <f t="shared" si="19"/>
        <v>1042554234.2149403</v>
      </c>
      <c r="M77" s="103">
        <f t="shared" si="19"/>
        <v>1072147004.0701556</v>
      </c>
    </row>
    <row r="78" spans="1:14" outlineLevel="1" x14ac:dyDescent="0.35">
      <c r="A78" t="s">
        <v>44</v>
      </c>
      <c r="E78" s="59">
        <f>SUMIFS(BalanceSheet[LongTermDebt],BalanceSheet[Ticker],$B$1,BalanceSheet[Year],E2,BalanceSheet[periodType],"&lt;&gt;TTM")</f>
        <v>0</v>
      </c>
      <c r="F78" s="59">
        <f>SUMIFS(BalanceSheet[LongTermDebt],BalanceSheet[Ticker],$B$1,BalanceSheet[Year],F2,BalanceSheet[periodType],"&lt;&gt;TTM")</f>
        <v>0</v>
      </c>
      <c r="G78" s="59">
        <f>SUMIFS(BalanceSheet[LongTermDebt],BalanceSheet[Ticker],$B$1,BalanceSheet[Year],G2,BalanceSheet[periodType],"&lt;&gt;TTM")</f>
        <v>0</v>
      </c>
      <c r="H78" s="59">
        <f>SUMIFS(BalanceSheet[LongTermDebt],BalanceSheet[Ticker],$B$1,BalanceSheet[Year],H2,BalanceSheet[periodType],"&lt;&gt;TTM")</f>
        <v>2629000000</v>
      </c>
      <c r="I78" s="59">
        <f>I162</f>
        <v>2608000000</v>
      </c>
      <c r="J78" s="59">
        <f>J162</f>
        <v>2608000000</v>
      </c>
      <c r="K78" s="59">
        <f>K162</f>
        <v>2608000000</v>
      </c>
      <c r="L78" s="59">
        <f>L162</f>
        <v>5216000000</v>
      </c>
      <c r="M78" s="59">
        <f>M162</f>
        <v>5216000000</v>
      </c>
      <c r="N78" t="s">
        <v>133</v>
      </c>
    </row>
    <row r="79" spans="1:14" outlineLevel="1" x14ac:dyDescent="0.35">
      <c r="A79" t="s">
        <v>534</v>
      </c>
      <c r="E79" s="48">
        <f>SUMIFS(BalanceSheet[LongTermCapitalLeaseObligation],BalanceSheet[Ticker],$B$1,BalanceSheet[Year],E$2,BalanceSheet[periodType],"&lt;&gt;TTM")</f>
        <v>0</v>
      </c>
      <c r="F79" s="48">
        <f>SUMIFS(BalanceSheet[LongTermCapitalLeaseObligation],BalanceSheet[Ticker],$B$1,BalanceSheet[Year],F$2,BalanceSheet[periodType],"&lt;&gt;TTM")</f>
        <v>101000000</v>
      </c>
      <c r="G79" s="48">
        <f>SUMIFS(BalanceSheet[LongTermCapitalLeaseObligation],BalanceSheet[Ticker],$B$1,BalanceSheet[Year],G$2,BalanceSheet[periodType],"&lt;&gt;TTM")</f>
        <v>91000000</v>
      </c>
      <c r="H79" s="48">
        <f>SUMIFS(BalanceSheet[LongTermCapitalLeaseObligation],BalanceSheet[Ticker],$B$1,BalanceSheet[Year],H$2,BalanceSheet[periodType],"&lt;&gt;TTM")</f>
        <v>115000000</v>
      </c>
      <c r="I79" s="10">
        <f>AVERAGE($E79:$H79)</f>
        <v>76750000</v>
      </c>
      <c r="J79" s="10">
        <f>AVERAGE($E79:$H79)</f>
        <v>76750000</v>
      </c>
      <c r="K79" s="10">
        <f>AVERAGE($E79:$H79)</f>
        <v>76750000</v>
      </c>
      <c r="L79" s="10">
        <f>AVERAGE($E79:$H79)</f>
        <v>76750000</v>
      </c>
      <c r="M79" s="10">
        <f>AVERAGE($E79:$H79)</f>
        <v>76750000</v>
      </c>
    </row>
    <row r="80" spans="1:14" outlineLevel="1" x14ac:dyDescent="0.35">
      <c r="A80" t="s">
        <v>536</v>
      </c>
      <c r="E80" s="48">
        <f>SUMIFS(BalanceSheet[LongTermProvisions],BalanceSheet[Ticker],$B$1,BalanceSheet[Year],E$2,BalanceSheet[periodType],"&lt;&gt;TTM")</f>
        <v>0</v>
      </c>
      <c r="F80" s="48">
        <f>SUMIFS(BalanceSheet[LongTermProvisions],BalanceSheet[Ticker],$B$1,BalanceSheet[Year],F$2,BalanceSheet[periodType],"&lt;&gt;TTM")</f>
        <v>0</v>
      </c>
      <c r="G80" s="48">
        <f>SUMIFS(BalanceSheet[LongTermProvisions],BalanceSheet[Ticker],$B$1,BalanceSheet[Year],G$2,BalanceSheet[periodType],"&lt;&gt;TTM")</f>
        <v>0</v>
      </c>
      <c r="H80" s="48">
        <f>SUMIFS(BalanceSheet[LongTermProvisions],BalanceSheet[Ticker],$B$1,BalanceSheet[Year],H$2,BalanceSheet[periodType],"&lt;&gt;TTM")</f>
        <v>0</v>
      </c>
      <c r="I80" s="59">
        <f t="shared" ref="I80:M82" si="20">AVERAGE($E80:$H80)</f>
        <v>0</v>
      </c>
      <c r="J80" s="59">
        <f t="shared" si="20"/>
        <v>0</v>
      </c>
      <c r="K80" s="59">
        <f t="shared" si="20"/>
        <v>0</v>
      </c>
      <c r="L80" s="59">
        <f t="shared" si="20"/>
        <v>0</v>
      </c>
      <c r="M80" s="59">
        <f t="shared" si="20"/>
        <v>0</v>
      </c>
    </row>
    <row r="81" spans="1:14" outlineLevel="1" x14ac:dyDescent="0.35">
      <c r="A81" t="s">
        <v>535</v>
      </c>
      <c r="E81" s="59">
        <f>SUMIFS(BalanceSheet[NonCurrentDeferredLiabilities],BalanceSheet[Ticker],$B$1,BalanceSheet[Year],E$2,BalanceSheet[periodType],"&lt;&gt;TTM")</f>
        <v>0</v>
      </c>
      <c r="F81" s="59">
        <f>SUMIFS(BalanceSheet[NonCurrentDeferredLiabilities],BalanceSheet[Ticker],$B$1,BalanceSheet[Year],F$2,BalanceSheet[periodType],"&lt;&gt;TTM")</f>
        <v>13000000</v>
      </c>
      <c r="G81" s="59">
        <f>SUMIFS(BalanceSheet[NonCurrentDeferredLiabilities],BalanceSheet[Ticker],$B$1,BalanceSheet[Year],G$2,BalanceSheet[periodType],"&lt;&gt;TTM")</f>
        <v>14000000</v>
      </c>
      <c r="H81" s="59">
        <f>SUMIFS(BalanceSheet[NonCurrentDeferredLiabilities],BalanceSheet[Ticker],$B$1,BalanceSheet[Year],H$2,BalanceSheet[periodType],"&lt;&gt;TTM")</f>
        <v>15000000</v>
      </c>
      <c r="I81" s="59">
        <f t="shared" si="20"/>
        <v>10500000</v>
      </c>
      <c r="J81" s="59">
        <f t="shared" si="20"/>
        <v>10500000</v>
      </c>
      <c r="K81" s="59">
        <f t="shared" si="20"/>
        <v>10500000</v>
      </c>
      <c r="L81" s="59">
        <f t="shared" si="20"/>
        <v>10500000</v>
      </c>
      <c r="M81" s="59">
        <f t="shared" si="20"/>
        <v>10500000</v>
      </c>
    </row>
    <row r="82" spans="1:14" outlineLevel="1" x14ac:dyDescent="0.35">
      <c r="A82" t="s">
        <v>544</v>
      </c>
      <c r="E82" s="48">
        <f>SUMIFS(BalanceSheet[TradeandOtherPayablesNonCurrent],BalanceSheet[Ticker],$B$1,BalanceSheet[Year],E$2,BalanceSheet[periodType],"&lt;&gt;TTM")</f>
        <v>0</v>
      </c>
      <c r="F82" s="48">
        <f>SUMIFS(BalanceSheet[TradeandOtherPayablesNonCurrent],BalanceSheet[Ticker],$B$1,BalanceSheet[Year],F$2,BalanceSheet[periodType],"&lt;&gt;TTM")</f>
        <v>265000000</v>
      </c>
      <c r="G82" s="48">
        <f>SUMIFS(BalanceSheet[TradeandOtherPayablesNonCurrent],BalanceSheet[Ticker],$B$1,BalanceSheet[Year],G$2,BalanceSheet[periodType],"&lt;&gt;TTM")</f>
        <v>264000000</v>
      </c>
      <c r="H82" s="48">
        <f>SUMIFS(BalanceSheet[TradeandOtherPayablesNonCurrent],BalanceSheet[Ticker],$B$1,BalanceSheet[Year],H$2,BalanceSheet[periodType],"&lt;&gt;TTM")</f>
        <v>185000000</v>
      </c>
      <c r="I82" s="59">
        <f t="shared" si="20"/>
        <v>178500000</v>
      </c>
      <c r="J82" s="59">
        <f t="shared" si="20"/>
        <v>178500000</v>
      </c>
      <c r="K82" s="59">
        <f t="shared" si="20"/>
        <v>178500000</v>
      </c>
      <c r="L82" s="59">
        <f t="shared" si="20"/>
        <v>178500000</v>
      </c>
      <c r="M82" s="59">
        <f t="shared" si="20"/>
        <v>178500000</v>
      </c>
    </row>
    <row r="83" spans="1:14" outlineLevel="1" x14ac:dyDescent="0.35">
      <c r="A83" t="s">
        <v>546</v>
      </c>
      <c r="E83" s="48">
        <f>SUMIFS(BalanceSheet[NonCurrentAccruedExpenses],BalanceSheet[Ticker],$B$1,BalanceSheet[Year],E$2,BalanceSheet[periodType],"&lt;&gt;TTM")</f>
        <v>0</v>
      </c>
      <c r="F83" s="48">
        <f>SUMIFS(BalanceSheet[NonCurrentAccruedExpenses],BalanceSheet[Ticker],$B$1,BalanceSheet[Year],F$2,BalanceSheet[periodType],"&lt;&gt;TTM")</f>
        <v>64000000</v>
      </c>
      <c r="G83" s="48">
        <f>SUMIFS(BalanceSheet[NonCurrentAccruedExpenses],BalanceSheet[Ticker],$B$1,BalanceSheet[Year],G$2,BalanceSheet[periodType],"&lt;&gt;TTM")</f>
        <v>57000000</v>
      </c>
      <c r="H83" s="48">
        <f>SUMIFS(BalanceSheet[NonCurrentAccruedExpenses],BalanceSheet[Ticker],$B$1,BalanceSheet[Year],H$2,BalanceSheet[periodType],"&lt;&gt;TTM")</f>
        <v>44000000</v>
      </c>
      <c r="I83" s="10">
        <f t="shared" ref="I83:M84" si="21">AVERAGE($E83:$H83)</f>
        <v>41250000</v>
      </c>
      <c r="J83" s="10">
        <f t="shared" si="21"/>
        <v>41250000</v>
      </c>
      <c r="K83" s="10">
        <f t="shared" si="21"/>
        <v>41250000</v>
      </c>
      <c r="L83" s="10">
        <f t="shared" si="21"/>
        <v>41250000</v>
      </c>
      <c r="M83" s="10">
        <f t="shared" si="21"/>
        <v>41250000</v>
      </c>
    </row>
    <row r="84" spans="1:14" outlineLevel="1" x14ac:dyDescent="0.35">
      <c r="A84" t="s">
        <v>545</v>
      </c>
      <c r="E84" s="48">
        <f>SUMIFS(BalanceSheet[DerivativeProductLiabilities],BalanceSheet[Ticker],$B$1,BalanceSheet[Year],E$2,BalanceSheet[periodType],"&lt;&gt;TTM")</f>
        <v>0</v>
      </c>
      <c r="F84" s="48">
        <f>SUMIFS(BalanceSheet[DerivativeProductLiabilities],BalanceSheet[Ticker],$B$1,BalanceSheet[Year],F$2,BalanceSheet[periodType],"&lt;&gt;TTM")</f>
        <v>0</v>
      </c>
      <c r="G84" s="48">
        <f>SUMIFS(BalanceSheet[DerivativeProductLiabilities],BalanceSheet[Ticker],$B$1,BalanceSheet[Year],G$2,BalanceSheet[periodType],"&lt;&gt;TTM")</f>
        <v>0</v>
      </c>
      <c r="H84" s="48">
        <f>SUMIFS(BalanceSheet[DerivativeProductLiabilities],BalanceSheet[Ticker],$B$1,BalanceSheet[Year],H$2,BalanceSheet[periodType],"&lt;&gt;TTM")</f>
        <v>0</v>
      </c>
      <c r="I84" s="10">
        <f t="shared" si="21"/>
        <v>0</v>
      </c>
      <c r="J84" s="10">
        <f t="shared" si="21"/>
        <v>0</v>
      </c>
      <c r="K84" s="10">
        <f t="shared" si="21"/>
        <v>0</v>
      </c>
      <c r="L84" s="10">
        <f t="shared" si="21"/>
        <v>0</v>
      </c>
      <c r="M84" s="10">
        <f t="shared" si="21"/>
        <v>0</v>
      </c>
    </row>
    <row r="85" spans="1:14" outlineLevel="1" x14ac:dyDescent="0.35">
      <c r="A85" t="s">
        <v>542</v>
      </c>
      <c r="E85" s="48">
        <f>SUMIFS(BalanceSheet[EmployeeBenefits],BalanceSheet[Ticker],$B$1,BalanceSheet[Year],E$2,BalanceSheet[periodType],"&lt;&gt;TTM")</f>
        <v>0</v>
      </c>
      <c r="F85" s="48">
        <f>SUMIFS(BalanceSheet[EmployeeBenefits],BalanceSheet[Ticker],$B$1,BalanceSheet[Year],F$2,BalanceSheet[periodType],"&lt;&gt;TTM")</f>
        <v>54000000</v>
      </c>
      <c r="G85" s="48">
        <f>SUMIFS(BalanceSheet[EmployeeBenefits],BalanceSheet[Ticker],$B$1,BalanceSheet[Year],G$2,BalanceSheet[periodType],"&lt;&gt;TTM")</f>
        <v>13000000</v>
      </c>
      <c r="H85" s="48">
        <f>SUMIFS(BalanceSheet[EmployeeBenefits],BalanceSheet[Ticker],$B$1,BalanceSheet[Year],H$2,BalanceSheet[periodType],"&lt;&gt;TTM")</f>
        <v>30000000</v>
      </c>
      <c r="I85" s="128">
        <f>I31*I25</f>
        <v>26520703.895944852</v>
      </c>
      <c r="J85" s="128">
        <f>J31*J25</f>
        <v>27743746.613004979</v>
      </c>
      <c r="K85" s="128">
        <f>K31*K25</f>
        <v>28932714.290719382</v>
      </c>
      <c r="L85" s="128">
        <f>L31*L25</f>
        <v>30078280.617012031</v>
      </c>
      <c r="M85" s="128">
        <f>M31*M25</f>
        <v>31073022.932598811</v>
      </c>
    </row>
    <row r="86" spans="1:14" outlineLevel="1" x14ac:dyDescent="0.35">
      <c r="A86" s="58" t="s">
        <v>483</v>
      </c>
      <c r="B86" s="58"/>
      <c r="C86" s="58"/>
      <c r="D86" s="58"/>
      <c r="E86" s="60">
        <f>SUMIFS(BalanceSheet[OtherNonCurrentLiabilities],BalanceSheet[Ticker],$B$1,BalanceSheet[Year],E$2,BalanceSheet[periodType],"&lt;&gt;TTM")</f>
        <v>0</v>
      </c>
      <c r="F86" s="60">
        <f>SUMIFS(BalanceSheet[OtherNonCurrentLiabilities],BalanceSheet[Ticker],$B$1,BalanceSheet[Year],F$2,BalanceSheet[periodType],"&lt;&gt;TTM")</f>
        <v>21000000</v>
      </c>
      <c r="G86" s="60">
        <f>SUMIFS(BalanceSheet[OtherNonCurrentLiabilities],BalanceSheet[Ticker],$B$1,BalanceSheet[Year],G$2,BalanceSheet[periodType],"&lt;&gt;TTM")</f>
        <v>23000000</v>
      </c>
      <c r="H86" s="60">
        <f>SUMIFS(BalanceSheet[OtherNonCurrentLiabilities],BalanceSheet[Ticker],$B$1,BalanceSheet[Year],H$2,BalanceSheet[periodType],"&lt;&gt;TTM")</f>
        <v>21000000</v>
      </c>
      <c r="I86" s="60">
        <f>AVERAGE($E86:$H86)</f>
        <v>16250000</v>
      </c>
      <c r="J86" s="60">
        <f>AVERAGE($E86:$H86)</f>
        <v>16250000</v>
      </c>
      <c r="K86" s="60">
        <f>AVERAGE($E86:$H86)</f>
        <v>16250000</v>
      </c>
      <c r="L86" s="60">
        <f>AVERAGE($E86:$H86)</f>
        <v>16250000</v>
      </c>
      <c r="M86" s="60">
        <f>AVERAGE($E86:$H86)</f>
        <v>16250000</v>
      </c>
    </row>
    <row r="87" spans="1:14" ht="15" outlineLevel="1" thickBot="1" x14ac:dyDescent="0.4">
      <c r="A87" s="6" t="s">
        <v>45</v>
      </c>
      <c r="B87" s="6"/>
      <c r="C87" s="6"/>
      <c r="D87" s="6"/>
      <c r="E87" s="15">
        <f t="shared" ref="E87:M87" si="22">SUM(E77:E86)</f>
        <v>0</v>
      </c>
      <c r="F87" s="15">
        <f t="shared" si="22"/>
        <v>1639000000</v>
      </c>
      <c r="G87" s="15">
        <f t="shared" si="22"/>
        <v>1585000000</v>
      </c>
      <c r="H87" s="15">
        <f t="shared" si="22"/>
        <v>4304000000</v>
      </c>
      <c r="I87" s="15">
        <f t="shared" si="22"/>
        <v>3894489941.9523969</v>
      </c>
      <c r="J87" s="15">
        <f t="shared" si="22"/>
        <v>3932097504.6420569</v>
      </c>
      <c r="K87" s="15">
        <f t="shared" si="22"/>
        <v>3968657287.756669</v>
      </c>
      <c r="L87" s="15">
        <f t="shared" si="22"/>
        <v>6611882514.8319521</v>
      </c>
      <c r="M87" s="15">
        <f t="shared" si="22"/>
        <v>6642470027.0027552</v>
      </c>
    </row>
    <row r="88" spans="1:14" ht="15" outlineLevel="1" thickTop="1" x14ac:dyDescent="0.35">
      <c r="A88" s="3" t="s">
        <v>481</v>
      </c>
      <c r="B88" s="3"/>
      <c r="C88" s="3"/>
      <c r="D88" s="3"/>
      <c r="E88" s="12">
        <f>SUMIFS(BalanceSheet[TotalLiabilitiesNetMinorityInterest],BalanceSheet[Ticker],$B$1,BalanceSheet[Year],E2,BalanceSheet[periodType],"&lt;&gt;TTM")</f>
        <v>0</v>
      </c>
      <c r="F88" s="12">
        <f>SUMIFS(BalanceSheet[TotalLiabilitiesNetMinorityInterest],BalanceSheet[Ticker],$B$1,BalanceSheet[Year],F2,BalanceSheet[periodType],"&lt;&gt;TTM")</f>
        <v>1639000000</v>
      </c>
      <c r="G88" s="12">
        <f>SUMIFS(BalanceSheet[TotalLiabilitiesNetMinorityInterest],BalanceSheet[Ticker],$B$1,BalanceSheet[Year],G2,BalanceSheet[periodType],"&lt;&gt;TTM")</f>
        <v>1585000000</v>
      </c>
      <c r="H88" s="12">
        <f>SUMIFS(BalanceSheet[TotalLiabilitiesNetMinorityInterest],BalanceSheet[Ticker],$B$1,BalanceSheet[Year],H2,BalanceSheet[periodType],"&lt;&gt;TTM")</f>
        <v>4304000000</v>
      </c>
      <c r="I88" s="12"/>
      <c r="J88" s="12"/>
      <c r="K88" s="12"/>
      <c r="L88" s="12"/>
      <c r="M88" s="12"/>
    </row>
    <row r="89" spans="1:14" outlineLevel="1" x14ac:dyDescent="0.35">
      <c r="A89" s="3"/>
      <c r="B89" s="3"/>
      <c r="C89" s="3"/>
      <c r="D89" s="105"/>
      <c r="E89" s="106"/>
      <c r="F89" s="106"/>
      <c r="G89" s="106"/>
      <c r="H89" s="106"/>
      <c r="I89" s="12"/>
      <c r="J89" s="12"/>
      <c r="K89" s="12"/>
      <c r="L89" s="12"/>
      <c r="M89" s="12"/>
    </row>
    <row r="90" spans="1:14" outlineLevel="1" x14ac:dyDescent="0.35">
      <c r="A90" s="3" t="s">
        <v>46</v>
      </c>
      <c r="L90" s="10"/>
      <c r="M90" s="10"/>
    </row>
    <row r="91" spans="1:14" outlineLevel="1" x14ac:dyDescent="0.35">
      <c r="A91" t="s">
        <v>48</v>
      </c>
      <c r="E91" s="10">
        <f>SUMIFS(BalanceSheet[RetainedEarnings],BalanceSheet[Ticker],$B$1,BalanceSheet[Year],E2,BalanceSheet[periodType],"&lt;&gt;TTM")</f>
        <v>0</v>
      </c>
      <c r="F91" s="10">
        <f>SUMIFS(BalanceSheet[RetainedEarnings],BalanceSheet[Ticker],$B$1,BalanceSheet[Year],F2,BalanceSheet[periodType],"&lt;&gt;TTM")</f>
        <v>0</v>
      </c>
      <c r="G91" s="10">
        <f>SUMIFS(BalanceSheet[RetainedEarnings],BalanceSheet[Ticker],$B$1,BalanceSheet[Year],G2,BalanceSheet[periodType],"&lt;&gt;TTM")</f>
        <v>0</v>
      </c>
      <c r="H91" s="10">
        <f>SUMIFS(BalanceSheet[RetainedEarnings],BalanceSheet[Ticker],$B$1,BalanceSheet[Year],H2,BalanceSheet[periodType],"&lt;&gt;TTM")</f>
        <v>178000000</v>
      </c>
      <c r="I91" s="17">
        <f>H91+I46+I130</f>
        <v>1087656333.5768998</v>
      </c>
      <c r="J91" s="17">
        <f>I91+J46+J130</f>
        <v>2039599495.0660467</v>
      </c>
      <c r="K91" s="17">
        <f>J91+K46+K130</f>
        <v>3032651336.4724307</v>
      </c>
      <c r="L91" s="17">
        <f>K91+L46+L130</f>
        <v>4058011516.4185791</v>
      </c>
      <c r="M91" s="17">
        <f>L91+M46+M130</f>
        <v>5117765014.3817463</v>
      </c>
    </row>
    <row r="92" spans="1:14" outlineLevel="1" x14ac:dyDescent="0.35">
      <c r="A92" s="55" t="s">
        <v>537</v>
      </c>
      <c r="E92" s="10">
        <f>SUMIFS(BalanceSheet[CommonStock],BalanceSheet[Ticker],$B$1,BalanceSheet[Year],E2,BalanceSheet[periodType],"&lt;&gt;TTM")</f>
        <v>0</v>
      </c>
      <c r="F92" s="10">
        <f>SUMIFS(BalanceSheet[CommonStock],BalanceSheet[Ticker],$B$1,BalanceSheet[Year],F2,BalanceSheet[periodType],"&lt;&gt;TTM")</f>
        <v>4084000000</v>
      </c>
      <c r="G92" s="10">
        <f>SUMIFS(BalanceSheet[CommonStock],BalanceSheet[Ticker],$B$1,BalanceSheet[Year],G2,BalanceSheet[periodType],"&lt;&gt;TTM")</f>
        <v>4189000000</v>
      </c>
      <c r="H92" s="10">
        <f>SUMIFS(BalanceSheet[CommonStock],BalanceSheet[Ticker],$B$1,BalanceSheet[Year],H2,BalanceSheet[periodType],"&lt;&gt;TTM")</f>
        <v>2000000</v>
      </c>
      <c r="I92" s="17">
        <f>AVERAGE($E$92:$H$92)</f>
        <v>2068750000</v>
      </c>
      <c r="J92" s="17">
        <f>AVERAGE($E$92:$H$92)</f>
        <v>2068750000</v>
      </c>
      <c r="K92" s="17">
        <f>AVERAGE($E$92:$H$92)</f>
        <v>2068750000</v>
      </c>
      <c r="L92" s="17">
        <f>AVERAGE($E$92:$H$92)</f>
        <v>2068750000</v>
      </c>
      <c r="M92" s="17">
        <f>AVERAGE($E$92:$H$92)</f>
        <v>2068750000</v>
      </c>
      <c r="N92" t="s">
        <v>566</v>
      </c>
    </row>
    <row r="93" spans="1:14" outlineLevel="1" x14ac:dyDescent="0.35">
      <c r="A93" t="s">
        <v>538</v>
      </c>
      <c r="E93" s="10">
        <f>SUMIFS(BalanceSheet[AdditionalPaidInCapital],BalanceSheet[Ticker],$B$1,BalanceSheet[Year],E2,BalanceSheet[periodType],"&lt;&gt;TTM")</f>
        <v>0</v>
      </c>
      <c r="F93" s="10">
        <f>SUMIFS(BalanceSheet[AdditionalPaidInCapital],BalanceSheet[Ticker],$B$1,BalanceSheet[Year],F2,BalanceSheet[periodType],"&lt;&gt;TTM")</f>
        <v>0</v>
      </c>
      <c r="G93" s="10">
        <f>SUMIFS(BalanceSheet[AdditionalPaidInCapital],BalanceSheet[Ticker],$B$1,BalanceSheet[Year],G2,BalanceSheet[periodType],"&lt;&gt;TTM")</f>
        <v>0</v>
      </c>
      <c r="H93" s="10">
        <f>SUMIFS(BalanceSheet[AdditionalPaidInCapital],BalanceSheet[Ticker],$B$1,BalanceSheet[Year],H2,BalanceSheet[periodType],"&lt;&gt;TTM")</f>
        <v>2157000000</v>
      </c>
      <c r="I93" s="17">
        <f>AVERAGE($E93:$H93)</f>
        <v>539250000</v>
      </c>
      <c r="J93" s="17">
        <f>AVERAGE($E93:$H93)</f>
        <v>539250000</v>
      </c>
      <c r="K93" s="17">
        <f>AVERAGE($E93:$H93)</f>
        <v>539250000</v>
      </c>
      <c r="L93" s="17">
        <f>AVERAGE($E93:$H93)</f>
        <v>539250000</v>
      </c>
      <c r="M93" s="17">
        <f>AVERAGE($E93:$H93)</f>
        <v>539250000</v>
      </c>
    </row>
    <row r="94" spans="1:14" outlineLevel="1" x14ac:dyDescent="0.35">
      <c r="A94" t="s">
        <v>540</v>
      </c>
      <c r="E94" s="10">
        <f>SUMIFS(BalanceSheet[MinorityInterest],BalanceSheet[Ticker],$B$1,BalanceSheet[Year],E$2,BalanceSheet[periodType],"&lt;&gt;TTM")</f>
        <v>0</v>
      </c>
      <c r="F94" s="10">
        <f>SUMIFS(BalanceSheet[MinorityInterest],BalanceSheet[Ticker],$B$1,BalanceSheet[Year],F$2,BalanceSheet[periodType],"&lt;&gt;TTM")</f>
        <v>4000000</v>
      </c>
      <c r="G94" s="10">
        <f>SUMIFS(BalanceSheet[MinorityInterest],BalanceSheet[Ticker],$B$1,BalanceSheet[Year],G$2,BalanceSheet[periodType],"&lt;&gt;TTM")</f>
        <v>5000000</v>
      </c>
      <c r="H94" s="10">
        <f>SUMIFS(BalanceSheet[MinorityInterest],BalanceSheet[Ticker],$B$1,BalanceSheet[Year],H$2,BalanceSheet[periodType],"&lt;&gt;TTM")</f>
        <v>6000000</v>
      </c>
      <c r="I94" s="17">
        <f t="shared" ref="I94:M96" si="23">AVERAGE($E94:$H94)</f>
        <v>3750000</v>
      </c>
      <c r="J94" s="17">
        <f t="shared" si="23"/>
        <v>3750000</v>
      </c>
      <c r="K94" s="17">
        <f t="shared" si="23"/>
        <v>3750000</v>
      </c>
      <c r="L94" s="17">
        <f t="shared" si="23"/>
        <v>3750000</v>
      </c>
      <c r="M94" s="17">
        <f t="shared" si="23"/>
        <v>3750000</v>
      </c>
    </row>
    <row r="95" spans="1:14" outlineLevel="1" x14ac:dyDescent="0.35">
      <c r="A95" t="s">
        <v>541</v>
      </c>
      <c r="E95" s="10">
        <f>SUMIFS(BalanceSheet[GainsLossesNotAffectingRetainedEarnings],BalanceSheet[Ticker],$B$1,BalanceSheet[Year],E$2,BalanceSheet[periodType],"&lt;&gt;TTM")</f>
        <v>0</v>
      </c>
      <c r="F95" s="10">
        <f>SUMIFS(BalanceSheet[GainsLossesNotAffectingRetainedEarnings],BalanceSheet[Ticker],$B$1,BalanceSheet[Year],F$2,BalanceSheet[periodType],"&lt;&gt;TTM")</f>
        <v>-887000000</v>
      </c>
      <c r="G95" s="10">
        <f>SUMIFS(BalanceSheet[GainsLossesNotAffectingRetainedEarnings],BalanceSheet[Ticker],$B$1,BalanceSheet[Year],G$2,BalanceSheet[periodType],"&lt;&gt;TTM")</f>
        <v>-954000000</v>
      </c>
      <c r="H95" s="10">
        <f>SUMIFS(BalanceSheet[GainsLossesNotAffectingRetainedEarnings],BalanceSheet[Ticker],$B$1,BalanceSheet[Year],H$2,BalanceSheet[periodType],"&lt;&gt;TTM")</f>
        <v>-954000000</v>
      </c>
      <c r="I95" s="17">
        <f t="shared" si="23"/>
        <v>-698750000</v>
      </c>
      <c r="J95" s="17">
        <f t="shared" si="23"/>
        <v>-698750000</v>
      </c>
      <c r="K95" s="17">
        <f t="shared" si="23"/>
        <v>-698750000</v>
      </c>
      <c r="L95" s="17">
        <f t="shared" si="23"/>
        <v>-698750000</v>
      </c>
      <c r="M95" s="17">
        <f t="shared" si="23"/>
        <v>-698750000</v>
      </c>
    </row>
    <row r="96" spans="1:14" outlineLevel="1" x14ac:dyDescent="0.35">
      <c r="A96" t="s">
        <v>539</v>
      </c>
      <c r="E96" s="10">
        <f>SUMIFS(BalanceSheet[TreasuryStock],BalanceSheet[Ticker],$B$1,BalanceSheet[Year],E$2,BalanceSheet[periodType],"&lt;&gt;TTM")</f>
        <v>0</v>
      </c>
      <c r="F96" s="10">
        <f>SUMIFS(BalanceSheet[TreasuryStock],BalanceSheet[Ticker],$B$1,BalanceSheet[Year],F$2,BalanceSheet[periodType],"&lt;&gt;TTM")</f>
        <v>0</v>
      </c>
      <c r="G96" s="10">
        <f>SUMIFS(BalanceSheet[TreasuryStock],BalanceSheet[Ticker],$B$1,BalanceSheet[Year],G$2,BalanceSheet[periodType],"&lt;&gt;TTM")</f>
        <v>0</v>
      </c>
      <c r="H96" s="10">
        <f>SUMIFS(BalanceSheet[TreasuryStock],BalanceSheet[Ticker],$B$1,BalanceSheet[Year],H$2,BalanceSheet[periodType],"&lt;&gt;TTM")</f>
        <v>0</v>
      </c>
      <c r="I96" s="17">
        <f t="shared" si="23"/>
        <v>0</v>
      </c>
      <c r="J96" s="17">
        <f t="shared" si="23"/>
        <v>0</v>
      </c>
      <c r="K96" s="17">
        <f t="shared" si="23"/>
        <v>0</v>
      </c>
      <c r="L96" s="17">
        <f t="shared" si="23"/>
        <v>0</v>
      </c>
      <c r="M96" s="17">
        <f t="shared" si="23"/>
        <v>0</v>
      </c>
    </row>
    <row r="97" spans="1:13" outlineLevel="1" x14ac:dyDescent="0.35">
      <c r="A97" s="61" t="s">
        <v>484</v>
      </c>
      <c r="B97" s="58"/>
      <c r="C97" s="58"/>
      <c r="D97" s="58"/>
      <c r="E97" s="60">
        <f>E99-E98</f>
        <v>0</v>
      </c>
      <c r="F97" s="60">
        <f>F99-F98</f>
        <v>0</v>
      </c>
      <c r="G97" s="60">
        <f>G99-G98</f>
        <v>0</v>
      </c>
      <c r="H97" s="60">
        <f>H99-H98</f>
        <v>0</v>
      </c>
      <c r="I97" s="60">
        <f>AVERAGE($E97:$H97)</f>
        <v>0</v>
      </c>
      <c r="J97" s="60">
        <f>AVERAGE($E97:$H97)</f>
        <v>0</v>
      </c>
      <c r="K97" s="60">
        <f>AVERAGE($E97:$H97)</f>
        <v>0</v>
      </c>
      <c r="L97" s="60">
        <f>AVERAGE($E97:$H97)</f>
        <v>0</v>
      </c>
      <c r="M97" s="60">
        <f>AVERAGE($E97:$H97)</f>
        <v>0</v>
      </c>
    </row>
    <row r="98" spans="1:13" ht="15" outlineLevel="1" thickBot="1" x14ac:dyDescent="0.4">
      <c r="A98" s="6" t="s">
        <v>46</v>
      </c>
      <c r="B98" s="6"/>
      <c r="C98" s="6"/>
      <c r="D98" s="6"/>
      <c r="E98" s="15">
        <f t="shared" ref="E98:M98" si="24">SUM(E91:E95)-E96</f>
        <v>0</v>
      </c>
      <c r="F98" s="15">
        <f t="shared" si="24"/>
        <v>3201000000</v>
      </c>
      <c r="G98" s="15">
        <f t="shared" si="24"/>
        <v>3240000000</v>
      </c>
      <c r="H98" s="15">
        <f t="shared" si="24"/>
        <v>1389000000</v>
      </c>
      <c r="I98" s="15">
        <f t="shared" si="24"/>
        <v>3000656333.5768995</v>
      </c>
      <c r="J98" s="15">
        <f t="shared" si="24"/>
        <v>3952599495.0660467</v>
      </c>
      <c r="K98" s="15">
        <f t="shared" si="24"/>
        <v>4945651336.4724312</v>
      </c>
      <c r="L98" s="15">
        <f t="shared" si="24"/>
        <v>5971011516.4185791</v>
      </c>
      <c r="M98" s="15">
        <f t="shared" si="24"/>
        <v>7030765014.3817463</v>
      </c>
    </row>
    <row r="99" spans="1:13" ht="15" outlineLevel="1" thickTop="1" x14ac:dyDescent="0.35">
      <c r="A99" s="3" t="s">
        <v>482</v>
      </c>
      <c r="B99" s="3"/>
      <c r="C99" s="3"/>
      <c r="D99" s="3"/>
      <c r="E99" s="54">
        <f>SUMIFS(BalanceSheet[TotalEquityGrossMinorityInterest],BalanceSheet[Ticker],$B$1,BalanceSheet[Year],E2,BalanceSheet[periodType],"&lt;&gt;TTM")</f>
        <v>0</v>
      </c>
      <c r="F99" s="54">
        <f>SUMIFS(BalanceSheet[TotalEquityGrossMinorityInterest],BalanceSheet[Ticker],$B$1,BalanceSheet[Year],F2,BalanceSheet[periodType],"&lt;&gt;TTM")</f>
        <v>3201000000</v>
      </c>
      <c r="G99" s="54">
        <f>SUMIFS(BalanceSheet[TotalEquityGrossMinorityInterest],BalanceSheet[Ticker],$B$1,BalanceSheet[Year],G2,BalanceSheet[periodType],"&lt;&gt;TTM")</f>
        <v>3240000000</v>
      </c>
      <c r="H99" s="54">
        <f>SUMIFS(BalanceSheet[TotalEquityGrossMinorityInterest],BalanceSheet[Ticker],$B$1,BalanceSheet[Year],H2,BalanceSheet[periodType],"&lt;&gt;TTM")</f>
        <v>1389000000</v>
      </c>
      <c r="I99" s="54"/>
      <c r="J99" s="54"/>
      <c r="K99" s="54"/>
      <c r="L99" s="54"/>
      <c r="M99" s="54"/>
    </row>
    <row r="100" spans="1:13" outlineLevel="1" x14ac:dyDescent="0.35">
      <c r="A100" s="3"/>
      <c r="B100" s="3"/>
      <c r="C100" s="3"/>
      <c r="D100" s="3"/>
      <c r="E100" s="54"/>
      <c r="F100" s="54"/>
      <c r="G100" s="54"/>
      <c r="H100" s="54"/>
      <c r="I100" s="54"/>
      <c r="J100" s="54"/>
      <c r="K100" s="54"/>
      <c r="L100" s="54"/>
      <c r="M100" s="54"/>
    </row>
    <row r="101" spans="1:13" ht="15" outlineLevel="1" thickBot="1" x14ac:dyDescent="0.4">
      <c r="A101" s="56" t="s">
        <v>49</v>
      </c>
      <c r="B101" s="56"/>
      <c r="C101" s="56"/>
      <c r="D101" s="56"/>
      <c r="E101" s="57">
        <f t="shared" ref="E101:M101" si="25">(E87)+(E98)</f>
        <v>0</v>
      </c>
      <c r="F101" s="57">
        <f t="shared" si="25"/>
        <v>4840000000</v>
      </c>
      <c r="G101" s="57">
        <f t="shared" si="25"/>
        <v>4825000000</v>
      </c>
      <c r="H101" s="57">
        <f t="shared" si="25"/>
        <v>5693000000</v>
      </c>
      <c r="I101" s="57">
        <f t="shared" si="25"/>
        <v>6895146275.5292969</v>
      </c>
      <c r="J101" s="57">
        <f t="shared" si="25"/>
        <v>7884696999.7081032</v>
      </c>
      <c r="K101" s="57">
        <f t="shared" si="25"/>
        <v>8914308624.2290993</v>
      </c>
      <c r="L101" s="57">
        <f t="shared" si="25"/>
        <v>12582894031.25053</v>
      </c>
      <c r="M101" s="57">
        <f t="shared" si="25"/>
        <v>13673235041.384502</v>
      </c>
    </row>
    <row r="102" spans="1:13" ht="15" outlineLevel="1" thickTop="1" x14ac:dyDescent="0.35">
      <c r="L102" s="10"/>
      <c r="M102" s="10"/>
    </row>
    <row r="103" spans="1:13" outlineLevel="1" x14ac:dyDescent="0.35">
      <c r="A103" s="7" t="s">
        <v>50</v>
      </c>
      <c r="B103" s="7"/>
      <c r="C103" s="7"/>
      <c r="D103" s="7"/>
      <c r="E103" s="16">
        <f t="shared" ref="E103:M103" si="26">E101-E66</f>
        <v>0</v>
      </c>
      <c r="F103" s="16">
        <f t="shared" si="26"/>
        <v>0</v>
      </c>
      <c r="G103" s="16">
        <f t="shared" si="26"/>
        <v>0</v>
      </c>
      <c r="H103" s="16">
        <f t="shared" si="26"/>
        <v>0</v>
      </c>
      <c r="I103" s="16">
        <f t="shared" si="26"/>
        <v>1219527354.5910606</v>
      </c>
      <c r="J103" s="16">
        <f t="shared" si="26"/>
        <v>983932139.937356</v>
      </c>
      <c r="K103" s="16">
        <f t="shared" si="26"/>
        <v>491373469.30461884</v>
      </c>
      <c r="L103" s="16">
        <f t="shared" si="26"/>
        <v>2287353938.7535095</v>
      </c>
      <c r="M103" s="16">
        <f t="shared" si="26"/>
        <v>1899226244.4200497</v>
      </c>
    </row>
    <row r="104" spans="1:13" x14ac:dyDescent="0.35">
      <c r="L104" s="10"/>
      <c r="M104" s="10"/>
    </row>
    <row r="105" spans="1:13" x14ac:dyDescent="0.35">
      <c r="A105" s="2" t="s">
        <v>7</v>
      </c>
      <c r="B105" s="2"/>
      <c r="C105" s="2"/>
      <c r="D105" s="2"/>
      <c r="E105" s="11"/>
      <c r="F105" s="11"/>
      <c r="G105" s="11"/>
      <c r="H105" s="11"/>
      <c r="I105" s="11"/>
      <c r="J105" s="11"/>
      <c r="K105" s="11"/>
      <c r="L105" s="11"/>
      <c r="M105" s="11"/>
    </row>
    <row r="106" spans="1:13" hidden="1" outlineLevel="1" x14ac:dyDescent="0.35">
      <c r="A106" s="3" t="s">
        <v>51</v>
      </c>
      <c r="B106" s="3"/>
      <c r="L106" s="10"/>
      <c r="M106" s="10"/>
    </row>
    <row r="107" spans="1:13" hidden="1" outlineLevel="1" x14ac:dyDescent="0.35">
      <c r="A107" t="s">
        <v>35</v>
      </c>
      <c r="E107" s="17">
        <f t="shared" ref="E107:M107" si="27">E46</f>
        <v>724000000</v>
      </c>
      <c r="F107" s="17">
        <f t="shared" si="27"/>
        <v>861000000</v>
      </c>
      <c r="G107" s="17">
        <f t="shared" si="27"/>
        <v>845000000</v>
      </c>
      <c r="H107" s="17">
        <f t="shared" si="27"/>
        <v>839000000</v>
      </c>
      <c r="I107" s="113">
        <f t="shared" si="27"/>
        <v>909656333.57689977</v>
      </c>
      <c r="J107" s="113">
        <f t="shared" si="27"/>
        <v>951943161.48914683</v>
      </c>
      <c r="K107" s="113">
        <f t="shared" si="27"/>
        <v>993051841.40638387</v>
      </c>
      <c r="L107" s="113">
        <f t="shared" si="27"/>
        <v>1025360179.9461484</v>
      </c>
      <c r="M107" s="113">
        <f t="shared" si="27"/>
        <v>1059753497.9631675</v>
      </c>
    </row>
    <row r="108" spans="1:13" hidden="1" outlineLevel="1" x14ac:dyDescent="0.35">
      <c r="A108" t="s">
        <v>514</v>
      </c>
      <c r="E108" s="48">
        <f>SUMIFS(CashFlow[OperatingGainsLosses],CashFlow[Ticker],$B$1,CashFlow[Year],E$2,CashFlow[periodType],"&lt;&gt;TTM")</f>
        <v>0</v>
      </c>
      <c r="F108" s="48">
        <f>SUMIFS(CashFlow[OperatingGainsLosses],CashFlow[Ticker],$B$1,CashFlow[Year],F$2,CashFlow[periodType],"&lt;&gt;TTM")</f>
        <v>-8000000</v>
      </c>
      <c r="G108" s="48">
        <f>SUMIFS(CashFlow[OperatingGainsLosses],CashFlow[Ticker],$B$1,CashFlow[Year],G$2,CashFlow[periodType],"&lt;&gt;TTM")</f>
        <v>0</v>
      </c>
      <c r="H108" s="48">
        <f>SUMIFS(CashFlow[OperatingGainsLosses],CashFlow[Ticker],$B$1,CashFlow[Year],H$2,CashFlow[periodType],"&lt;&gt;TTM")</f>
        <v>0</v>
      </c>
      <c r="I108" s="63"/>
      <c r="J108" s="63"/>
      <c r="K108" s="63"/>
      <c r="L108" s="63"/>
      <c r="M108" s="63"/>
    </row>
    <row r="109" spans="1:13" hidden="1" outlineLevel="1" x14ac:dyDescent="0.35">
      <c r="A109" t="s">
        <v>550</v>
      </c>
      <c r="E109" s="48">
        <f>SUMIFS(CashFlow[DeferredIncomeTax],CashFlow[Ticker],$B$1,CashFlow[Year],E$2,CashFlow[periodType],"&lt;&gt;TTM")</f>
        <v>0</v>
      </c>
      <c r="F109" s="48">
        <f>SUMIFS(CashFlow[DeferredIncomeTax],CashFlow[Ticker],$B$1,CashFlow[Year],F$2,CashFlow[periodType],"&lt;&gt;TTM")</f>
        <v>0</v>
      </c>
      <c r="G109" s="48">
        <f>SUMIFS(CashFlow[DeferredIncomeTax],CashFlow[Ticker],$B$1,CashFlow[Year],G$2,CashFlow[periodType],"&lt;&gt;TTM")</f>
        <v>0</v>
      </c>
      <c r="H109" s="48">
        <f>SUMIFS(CashFlow[DeferredIncomeTax],CashFlow[Ticker],$B$1,CashFlow[Year],H$2,CashFlow[periodType],"&lt;&gt;TTM")</f>
        <v>0</v>
      </c>
      <c r="I109" s="63"/>
      <c r="J109" s="63"/>
      <c r="K109" s="63"/>
      <c r="L109" s="63"/>
      <c r="M109" s="63"/>
    </row>
    <row r="110" spans="1:13" hidden="1" outlineLevel="1" x14ac:dyDescent="0.35">
      <c r="A110" t="s">
        <v>551</v>
      </c>
      <c r="E110" s="48">
        <f>SUMIFS(CashFlow[IncomeTaxPaidSupplementalData],CashFlow[Ticker],$B$1,CashFlow[Year],E$2,CashFlow[periodType],"&lt;&gt;TTM")</f>
        <v>0</v>
      </c>
      <c r="F110" s="48">
        <f>SUMIFS(CashFlow[IncomeTaxPaidSupplementalData],CashFlow[Ticker],$B$1,CashFlow[Year],F$2,CashFlow[periodType],"&lt;&gt;TTM")</f>
        <v>0</v>
      </c>
      <c r="G110" s="48">
        <f>SUMIFS(CashFlow[IncomeTaxPaidSupplementalData],CashFlow[Ticker],$B$1,CashFlow[Year],G$2,CashFlow[periodType],"&lt;&gt;TTM")</f>
        <v>0</v>
      </c>
      <c r="H110" s="48">
        <f>SUMIFS(CashFlow[IncomeTaxPaidSupplementalData],CashFlow[Ticker],$B$1,CashFlow[Year],H$2,CashFlow[periodType],"&lt;&gt;TTM")</f>
        <v>0</v>
      </c>
      <c r="I110" s="63"/>
      <c r="J110" s="63"/>
      <c r="K110" s="63"/>
      <c r="L110" s="63"/>
      <c r="M110" s="63"/>
    </row>
    <row r="111" spans="1:13" hidden="1" outlineLevel="1" x14ac:dyDescent="0.35">
      <c r="A111" t="s">
        <v>552</v>
      </c>
      <c r="E111" s="48">
        <f>SUMIFS(CashFlow[OtherNonCashItems],CashFlow[Ticker],$B$1,CashFlow[Year],E$2,CashFlow[periodType],"&lt;&gt;TTM")</f>
        <v>0</v>
      </c>
      <c r="F111" s="48">
        <f>SUMIFS(CashFlow[OtherNonCashItems],CashFlow[Ticker],$B$1,CashFlow[Year],F$2,CashFlow[periodType],"&lt;&gt;TTM")</f>
        <v>0</v>
      </c>
      <c r="G111" s="48">
        <f>SUMIFS(CashFlow[OtherNonCashItems],CashFlow[Ticker],$B$1,CashFlow[Year],G$2,CashFlow[periodType],"&lt;&gt;TTM")</f>
        <v>0</v>
      </c>
      <c r="H111" s="48">
        <f>SUMIFS(CashFlow[OtherNonCashItems],CashFlow[Ticker],$B$1,CashFlow[Year],H$2,CashFlow[periodType],"&lt;&gt;TTM")</f>
        <v>0</v>
      </c>
      <c r="I111" s="63"/>
      <c r="J111" s="63"/>
      <c r="K111" s="63"/>
      <c r="L111" s="63"/>
      <c r="M111" s="63"/>
    </row>
    <row r="112" spans="1:13" hidden="1" outlineLevel="1" x14ac:dyDescent="0.35">
      <c r="A112" t="s">
        <v>553</v>
      </c>
      <c r="E112" s="48">
        <f>SUMIFS(CashFlow[ProvisionandWriteOffofAssets],CashFlow[Ticker],$B$1,CashFlow[Year],E$2,CashFlow[periodType],"&lt;&gt;TTM")</f>
        <v>0</v>
      </c>
      <c r="F112" s="48">
        <f>SUMIFS(CashFlow[ProvisionandWriteOffofAssets],CashFlow[Ticker],$B$1,CashFlow[Year],F$2,CashFlow[periodType],"&lt;&gt;TTM")</f>
        <v>0</v>
      </c>
      <c r="G112" s="48">
        <f>SUMIFS(CashFlow[ProvisionandWriteOffofAssets],CashFlow[Ticker],$B$1,CashFlow[Year],G$2,CashFlow[periodType],"&lt;&gt;TTM")</f>
        <v>0</v>
      </c>
      <c r="H112" s="48">
        <f>SUMIFS(CashFlow[ProvisionandWriteOffofAssets],CashFlow[Ticker],$B$1,CashFlow[Year],H$2,CashFlow[periodType],"&lt;&gt;TTM")</f>
        <v>0</v>
      </c>
      <c r="I112" s="63"/>
      <c r="J112" s="63"/>
      <c r="K112" s="63"/>
      <c r="L112" s="63"/>
      <c r="M112" s="63"/>
    </row>
    <row r="113" spans="1:14" hidden="1" outlineLevel="1" x14ac:dyDescent="0.35">
      <c r="A113" t="s">
        <v>554</v>
      </c>
      <c r="E113" s="48">
        <f>SUMIFS(CashFlow[StockBasedCompensation],CashFlow[Ticker],$B$1,CashFlow[Year],E$2,CashFlow[periodType],"&lt;&gt;TTM")</f>
        <v>30000000</v>
      </c>
      <c r="F113" s="48">
        <f>SUMIFS(CashFlow[StockBasedCompensation],CashFlow[Ticker],$B$1,CashFlow[Year],F$2,CashFlow[periodType],"&lt;&gt;TTM")</f>
        <v>34000000</v>
      </c>
      <c r="G113" s="48">
        <f>SUMIFS(CashFlow[StockBasedCompensation],CashFlow[Ticker],$B$1,CashFlow[Year],G$2,CashFlow[periodType],"&lt;&gt;TTM")</f>
        <v>41000000</v>
      </c>
      <c r="H113" s="48">
        <f>SUMIFS(CashFlow[StockBasedCompensation],CashFlow[Ticker],$B$1,CashFlow[Year],H$2,CashFlow[periodType],"&lt;&gt;TTM")</f>
        <v>55000000</v>
      </c>
      <c r="I113" s="113">
        <f>AVERAGE($E$113:$H$113)</f>
        <v>40000000</v>
      </c>
      <c r="J113" s="113">
        <f>AVERAGE($E$113:$H$113)</f>
        <v>40000000</v>
      </c>
      <c r="K113" s="113">
        <f>AVERAGE($E$113:$H$113)</f>
        <v>40000000</v>
      </c>
      <c r="L113" s="113">
        <f>AVERAGE($E$113:$H$113)</f>
        <v>40000000</v>
      </c>
      <c r="M113" s="113">
        <f>AVERAGE($E$113:$H$113)</f>
        <v>40000000</v>
      </c>
      <c r="N113" t="s">
        <v>566</v>
      </c>
    </row>
    <row r="114" spans="1:14" hidden="1" outlineLevel="1" x14ac:dyDescent="0.35">
      <c r="A114" t="s">
        <v>549</v>
      </c>
      <c r="E114" s="48">
        <f>SUMIFS(CashFlow[PensionAndEmployeeBenefitExpense],CashFlow[Ticker],$B$1,CashFlow[Year],E$2,CashFlow[periodType],"&lt;&gt;TTM")</f>
        <v>0</v>
      </c>
      <c r="F114" s="48">
        <f>SUMIFS(CashFlow[PensionAndEmployeeBenefitExpense],CashFlow[Ticker],$B$1,CashFlow[Year],F$2,CashFlow[periodType],"&lt;&gt;TTM")</f>
        <v>0</v>
      </c>
      <c r="G114" s="48">
        <f>SUMIFS(CashFlow[PensionAndEmployeeBenefitExpense],CashFlow[Ticker],$B$1,CashFlow[Year],G$2,CashFlow[periodType],"&lt;&gt;TTM")</f>
        <v>0</v>
      </c>
      <c r="H114" s="48">
        <f>SUMIFS(CashFlow[PensionAndEmployeeBenefitExpense],CashFlow[Ticker],$B$1,CashFlow[Year],H$2,CashFlow[periodType],"&lt;&gt;TTM")</f>
        <v>0</v>
      </c>
      <c r="I114" s="63"/>
      <c r="J114" s="63"/>
      <c r="K114" s="63"/>
      <c r="L114" s="63"/>
      <c r="M114" s="63"/>
    </row>
    <row r="115" spans="1:14" hidden="1" outlineLevel="1" x14ac:dyDescent="0.35">
      <c r="A115" t="s">
        <v>52</v>
      </c>
      <c r="E115" s="48">
        <f>SUMIFS(CashFlow[DepreciationAndAmortization],CashFlow[Ticker],$B$1,CashFlow[Year],E2,CashFlow[periodType],"&lt;&gt;TTM")</f>
        <v>110000000</v>
      </c>
      <c r="F115" s="48">
        <f>SUMIFS(CashFlow[DepreciationAndAmortization],CashFlow[Ticker],$B$1,CashFlow[Year],F2,CashFlow[periodType],"&lt;&gt;TTM")</f>
        <v>106000000</v>
      </c>
      <c r="G115" s="48">
        <f>SUMIFS(CashFlow[DepreciationAndAmortization],CashFlow[Ticker],$B$1,CashFlow[Year],G2,CashFlow[periodType],"&lt;&gt;TTM")</f>
        <v>90000000</v>
      </c>
      <c r="H115" s="48">
        <f>SUMIFS(CashFlow[DepreciationAndAmortization],CashFlow[Ticker],$B$1,CashFlow[Year],H2,CashFlow[periodType],"&lt;&gt;TTM")</f>
        <v>87000000</v>
      </c>
      <c r="I115" s="87">
        <f>I155</f>
        <v>110199442.25339426</v>
      </c>
      <c r="J115" s="87">
        <f>J155</f>
        <v>115281457.64035049</v>
      </c>
      <c r="K115" s="87">
        <f>K155</f>
        <v>120221883.63566032</v>
      </c>
      <c r="L115" s="87">
        <f>L155</f>
        <v>124981967.33166745</v>
      </c>
      <c r="M115" s="87">
        <f>M155</f>
        <v>129115343.60982403</v>
      </c>
      <c r="N115" t="s">
        <v>133</v>
      </c>
    </row>
    <row r="116" spans="1:14" hidden="1" outlineLevel="1" x14ac:dyDescent="0.35">
      <c r="A116" s="51" t="s">
        <v>513</v>
      </c>
      <c r="B116" s="51"/>
      <c r="C116" s="51"/>
      <c r="D116" s="51"/>
      <c r="E116" s="108">
        <f>SUMIFS(CashFlow[ChangeInWorkingCapital],CashFlow[Ticker],$B$1,CashFlow[Year],E2,CashFlow[periodType],"&lt;&gt;TTM")</f>
        <v>137000000</v>
      </c>
      <c r="F116" s="108">
        <f>SUMIFS(CashFlow[ChangeInWorkingCapital],CashFlow[Ticker],$B$1,CashFlow[Year],F2,CashFlow[periodType],"&lt;&gt;TTM")</f>
        <v>-97000000</v>
      </c>
      <c r="G116" s="108">
        <f>SUMIFS(CashFlow[ChangeInWorkingCapital],CashFlow[Ticker],$B$1,CashFlow[Year],G2,CashFlow[periodType],"&lt;&gt;TTM")</f>
        <v>-106000000</v>
      </c>
      <c r="H116" s="108">
        <f>SUMIFS(CashFlow[ChangeInWorkingCapital],CashFlow[Ticker],$B$1,CashFlow[Year],H2,CashFlow[periodType],"&lt;&gt;TTM")</f>
        <v>-33000000</v>
      </c>
      <c r="I116" s="87">
        <f>I150</f>
        <v>-59312337.725619674</v>
      </c>
      <c r="J116" s="87">
        <f>J150</f>
        <v>14281718.969230413</v>
      </c>
      <c r="K116" s="87">
        <f>K150</f>
        <v>13883817.792915702</v>
      </c>
      <c r="L116" s="87">
        <f>L150</f>
        <v>13377011.370504022</v>
      </c>
      <c r="M116" s="87">
        <f>M150</f>
        <v>11615808.6711483</v>
      </c>
      <c r="N116" t="s">
        <v>133</v>
      </c>
    </row>
    <row r="117" spans="1:14" hidden="1" outlineLevel="1" x14ac:dyDescent="0.35">
      <c r="A117" s="51" t="s">
        <v>555</v>
      </c>
      <c r="B117" s="51"/>
      <c r="C117" s="51"/>
      <c r="D117" s="51"/>
      <c r="E117" s="48">
        <f>SUMIFS(CashFlow[ChangeInOtherWorkingCapital],CashFlow[Ticker],$B$1,CashFlow[Year],E$2,CashFlow[periodType],"&lt;&gt;TTM")</f>
        <v>-7000000</v>
      </c>
      <c r="F117" s="48">
        <f>SUMIFS(CashFlow[ChangeInOtherWorkingCapital],CashFlow[Ticker],$B$1,CashFlow[Year],F$2,CashFlow[periodType],"&lt;&gt;TTM")</f>
        <v>-11000000</v>
      </c>
      <c r="G117" s="48">
        <f>SUMIFS(CashFlow[ChangeInOtherWorkingCapital],CashFlow[Ticker],$B$1,CashFlow[Year],G$2,CashFlow[periodType],"&lt;&gt;TTM")</f>
        <v>-44000000</v>
      </c>
      <c r="H117" s="48">
        <f>SUMIFS(CashFlow[ChangeInOtherWorkingCapital],CashFlow[Ticker],$B$1,CashFlow[Year],H$2,CashFlow[periodType],"&lt;&gt;TTM")</f>
        <v>-25000000</v>
      </c>
      <c r="I117" s="63">
        <f>AVERAGE($E$117:$H$117)</f>
        <v>-21750000</v>
      </c>
      <c r="J117" s="63">
        <f>AVERAGE($E$117:$H$117)</f>
        <v>-21750000</v>
      </c>
      <c r="K117" s="63">
        <f>AVERAGE($E$117:$H$117)</f>
        <v>-21750000</v>
      </c>
      <c r="L117" s="63">
        <f>AVERAGE($E$117:$H$117)</f>
        <v>-21750000</v>
      </c>
      <c r="M117" s="63">
        <f>AVERAGE($E$117:$H$117)</f>
        <v>-21750000</v>
      </c>
    </row>
    <row r="118" spans="1:14" ht="15" hidden="1" outlineLevel="1" thickBot="1" x14ac:dyDescent="0.4">
      <c r="A118" s="109" t="s">
        <v>54</v>
      </c>
      <c r="B118" s="109"/>
      <c r="C118" s="109"/>
      <c r="D118" s="109"/>
      <c r="E118" s="110">
        <f t="shared" ref="E118:M118" si="28">SUM(E107:E115)-SUM(E116:E117)</f>
        <v>734000000</v>
      </c>
      <c r="F118" s="110">
        <f t="shared" si="28"/>
        <v>1101000000</v>
      </c>
      <c r="G118" s="110">
        <f t="shared" si="28"/>
        <v>1126000000</v>
      </c>
      <c r="H118" s="110">
        <f>SUM(H107:H115)-SUM(H116:H117)</f>
        <v>1039000000</v>
      </c>
      <c r="I118" s="88">
        <f>SUM(I107:I115)-SUM(I116:I117)</f>
        <v>1140918113.5559137</v>
      </c>
      <c r="J118" s="88">
        <f t="shared" si="28"/>
        <v>1114692900.1602669</v>
      </c>
      <c r="K118" s="88">
        <f t="shared" si="28"/>
        <v>1161139907.2491283</v>
      </c>
      <c r="L118" s="88">
        <f t="shared" si="28"/>
        <v>1198715135.9073119</v>
      </c>
      <c r="M118" s="88">
        <f t="shared" si="28"/>
        <v>1239003032.9018433</v>
      </c>
    </row>
    <row r="119" spans="1:14" ht="15" hidden="1" outlineLevel="1" thickTop="1" x14ac:dyDescent="0.35">
      <c r="A119" s="3" t="s">
        <v>487</v>
      </c>
      <c r="B119" s="3"/>
      <c r="C119" s="3"/>
      <c r="D119" s="3"/>
      <c r="E119" s="54">
        <f>SUMIFS(CashFlow[CashFlowFromContinuingOperatingActivities],CashFlow[Ticker],$B$1,CashFlow[Year],E2,CashFlow[periodType],"&lt;&gt;TTM")</f>
        <v>1001000000</v>
      </c>
      <c r="F119" s="54">
        <f>SUMIFS(CashFlow[CashFlowFromContinuingOperatingActivities],CashFlow[Ticker],$B$1,CashFlow[Year],F2,CashFlow[periodType],"&lt;&gt;TTM")</f>
        <v>896000000</v>
      </c>
      <c r="G119" s="54">
        <f>SUMIFS(CashFlow[CashFlowFromContinuingOperatingActivities],CashFlow[Ticker],$B$1,CashFlow[Year],G2,CashFlow[periodType],"&lt;&gt;TTM")</f>
        <v>870000000</v>
      </c>
      <c r="H119" s="54">
        <f>SUMIFS(CashFlow[CashFlowFromContinuingOperatingActivities],CashFlow[Ticker],$B$1,CashFlow[Year],H2,CashFlow[periodType],"&lt;&gt;TTM")</f>
        <v>963000000</v>
      </c>
      <c r="I119" s="54"/>
      <c r="J119" s="54"/>
      <c r="K119" s="54"/>
      <c r="L119" s="54"/>
      <c r="M119" s="54"/>
    </row>
    <row r="120" spans="1:14" hidden="1" outlineLevel="1" x14ac:dyDescent="0.35">
      <c r="A120" s="3"/>
      <c r="B120" s="3"/>
      <c r="C120" s="3"/>
      <c r="D120" s="3"/>
      <c r="E120" s="112">
        <f>E118-E119</f>
        <v>-267000000</v>
      </c>
      <c r="F120" s="112">
        <f>F118-F119</f>
        <v>205000000</v>
      </c>
      <c r="G120" s="112">
        <f>G118-G119</f>
        <v>256000000</v>
      </c>
      <c r="H120" s="112">
        <f>H118-H119</f>
        <v>76000000</v>
      </c>
      <c r="I120" s="54"/>
      <c r="J120" s="54"/>
      <c r="K120" s="54"/>
      <c r="L120" s="54"/>
      <c r="M120" s="54"/>
    </row>
    <row r="121" spans="1:14" hidden="1" outlineLevel="1" x14ac:dyDescent="0.35">
      <c r="A121" s="3"/>
      <c r="B121" s="3"/>
      <c r="C121" s="3"/>
      <c r="D121" s="3"/>
      <c r="E121" s="112"/>
      <c r="F121" s="112"/>
      <c r="G121" s="112"/>
      <c r="H121" s="112"/>
      <c r="I121" s="54"/>
      <c r="J121" s="54"/>
      <c r="K121" s="54"/>
      <c r="L121" s="54"/>
      <c r="M121" s="54"/>
    </row>
    <row r="122" spans="1:14" hidden="1" outlineLevel="1" x14ac:dyDescent="0.35">
      <c r="A122" s="3" t="s">
        <v>55</v>
      </c>
      <c r="L122" s="10"/>
      <c r="M122" s="10"/>
    </row>
    <row r="123" spans="1:14" hidden="1" outlineLevel="1" x14ac:dyDescent="0.35">
      <c r="A123" t="s">
        <v>516</v>
      </c>
      <c r="E123" s="59">
        <f>-SUMIFS(CashFlow[CapitalExpenditure],CashFlow[Ticker],$B$1,CashFlow[Year],E$2,CashFlow[periodType],"&lt;&gt;TTM")</f>
        <v>36000000</v>
      </c>
      <c r="F123" s="59">
        <f>-SUMIFS(CashFlow[CapitalExpenditure],CashFlow[Ticker],$B$1,CashFlow[Year],F$2,CashFlow[periodType],"&lt;&gt;TTM")</f>
        <v>54000000</v>
      </c>
      <c r="G123" s="59">
        <f>-SUMIFS(CashFlow[CapitalExpenditure],CashFlow[Ticker],$B$1,CashFlow[Year],G$2,CashFlow[periodType],"&lt;&gt;TTM")</f>
        <v>34000000</v>
      </c>
      <c r="H123" s="59">
        <f>-SUMIFS(CashFlow[CapitalExpenditure],CashFlow[Ticker],$B$1,CashFlow[Year],H$2,CashFlow[periodType],"&lt;&gt;TTM")</f>
        <v>54000000</v>
      </c>
      <c r="I123" s="73">
        <f>I154</f>
        <v>49403262.825371265</v>
      </c>
      <c r="J123" s="73">
        <f>J154</f>
        <v>51681569.654430076</v>
      </c>
      <c r="K123" s="73">
        <f>K154</f>
        <v>53896400.863415346</v>
      </c>
      <c r="L123" s="73">
        <f>L154</f>
        <v>56030383.223905578</v>
      </c>
      <c r="M123" s="73">
        <f>M154</f>
        <v>57883407.798715837</v>
      </c>
    </row>
    <row r="124" spans="1:14" hidden="1" outlineLevel="1" x14ac:dyDescent="0.35">
      <c r="A124" t="s">
        <v>518</v>
      </c>
      <c r="E124" s="59">
        <f>SUMIFS(CashFlow[SaleOfBusiness],CashFlow[Ticker],$B$1,CashFlow[Year],E$2,CashFlow[periodType],"&lt;&gt;TTM")</f>
        <v>0</v>
      </c>
      <c r="F124" s="59">
        <f>SUMIFS(CashFlow[SaleOfBusiness],CashFlow[Ticker],$B$1,CashFlow[Year],F$2,CashFlow[periodType],"&lt;&gt;TTM")</f>
        <v>26000000</v>
      </c>
      <c r="G124" s="59">
        <f>SUMIFS(CashFlow[SaleOfBusiness],CashFlow[Ticker],$B$1,CashFlow[Year],G$2,CashFlow[periodType],"&lt;&gt;TTM")</f>
        <v>0</v>
      </c>
      <c r="H124" s="59">
        <f>SUMIFS(CashFlow[SaleOfBusiness],CashFlow[Ticker],$B$1,CashFlow[Year],H$2,CashFlow[periodType],"&lt;&gt;TTM")</f>
        <v>0</v>
      </c>
      <c r="I124" s="73">
        <v>0</v>
      </c>
      <c r="J124" s="73">
        <v>0</v>
      </c>
      <c r="K124" s="73">
        <v>0</v>
      </c>
      <c r="L124" s="73">
        <v>0</v>
      </c>
      <c r="M124" s="73">
        <v>0</v>
      </c>
      <c r="N124" t="s">
        <v>625</v>
      </c>
    </row>
    <row r="125" spans="1:14" hidden="1" outlineLevel="1" x14ac:dyDescent="0.35">
      <c r="A125" s="58" t="s">
        <v>517</v>
      </c>
      <c r="B125" s="58"/>
      <c r="C125" s="58"/>
      <c r="D125" s="58"/>
      <c r="E125" s="60">
        <f>E127-E123</f>
        <v>121000000</v>
      </c>
      <c r="F125" s="60">
        <f>F127-F123</f>
        <v>43000000</v>
      </c>
      <c r="G125" s="60">
        <f>G127-G123</f>
        <v>55000000</v>
      </c>
      <c r="H125" s="60">
        <f>H127-H123</f>
        <v>1000000</v>
      </c>
      <c r="I125" s="73">
        <f>AVERAGE(E125:H125)</f>
        <v>55000000</v>
      </c>
      <c r="J125" s="73">
        <f>AVERAGE(F125:I125)</f>
        <v>38500000</v>
      </c>
      <c r="K125" s="73">
        <f>AVERAGE(G125:J125)</f>
        <v>37375000</v>
      </c>
      <c r="L125" s="73">
        <f>AVERAGE(H125:K125)</f>
        <v>32968750</v>
      </c>
      <c r="M125" s="73">
        <f>AVERAGE(I125:L125)</f>
        <v>40960937.5</v>
      </c>
      <c r="N125" t="s">
        <v>566</v>
      </c>
    </row>
    <row r="126" spans="1:14" ht="15" hidden="1" outlineLevel="1" thickBot="1" x14ac:dyDescent="0.4">
      <c r="A126" s="56" t="s">
        <v>57</v>
      </c>
      <c r="B126" s="56"/>
      <c r="C126" s="56"/>
      <c r="D126" s="56"/>
      <c r="E126" s="57">
        <f t="shared" ref="E126:M126" si="29">SUM(E123)-E124+E125</f>
        <v>157000000</v>
      </c>
      <c r="F126" s="57">
        <f t="shared" si="29"/>
        <v>71000000</v>
      </c>
      <c r="G126" s="57">
        <f t="shared" si="29"/>
        <v>89000000</v>
      </c>
      <c r="H126" s="57">
        <f t="shared" si="29"/>
        <v>55000000</v>
      </c>
      <c r="I126" s="57">
        <f t="shared" si="29"/>
        <v>104403262.82537127</v>
      </c>
      <c r="J126" s="57">
        <f t="shared" si="29"/>
        <v>90181569.654430076</v>
      </c>
      <c r="K126" s="57">
        <f t="shared" si="29"/>
        <v>91271400.863415346</v>
      </c>
      <c r="L126" s="57">
        <f t="shared" si="29"/>
        <v>88999133.223905578</v>
      </c>
      <c r="M126" s="57">
        <f t="shared" si="29"/>
        <v>98844345.29871583</v>
      </c>
    </row>
    <row r="127" spans="1:14" ht="15" hidden="1" outlineLevel="1" thickTop="1" x14ac:dyDescent="0.35">
      <c r="A127" s="3" t="s">
        <v>488</v>
      </c>
      <c r="B127" s="3"/>
      <c r="C127" s="3"/>
      <c r="D127" s="3"/>
      <c r="E127" s="54">
        <f>-SUMIFS(CashFlow[CashFlowFromContinuingInvestingActivities],CashFlow[Ticker],$B$1,CashFlow[Year],E2,CashFlow[periodType],"&lt;&gt;TTM")</f>
        <v>157000000</v>
      </c>
      <c r="F127" s="54">
        <f>-SUMIFS(CashFlow[CashFlowFromContinuingInvestingActivities],CashFlow[Ticker],$B$1,CashFlow[Year],F2,CashFlow[periodType],"&lt;&gt;TTM")</f>
        <v>97000000</v>
      </c>
      <c r="G127" s="54">
        <f>-SUMIFS(CashFlow[CashFlowFromContinuingInvestingActivities],CashFlow[Ticker],$B$1,CashFlow[Year],G2,CashFlow[periodType],"&lt;&gt;TTM")</f>
        <v>89000000</v>
      </c>
      <c r="H127" s="54">
        <f>-SUMIFS(CashFlow[CashFlowFromContinuingInvestingActivities],CashFlow[Ticker],$B$1,CashFlow[Year],H2,CashFlow[periodType],"&lt;&gt;TTM")</f>
        <v>55000000</v>
      </c>
      <c r="I127" s="54"/>
      <c r="J127" s="54"/>
      <c r="K127" s="54"/>
      <c r="L127" s="54"/>
      <c r="M127" s="54"/>
    </row>
    <row r="128" spans="1:14" hidden="1" outlineLevel="1" x14ac:dyDescent="0.35">
      <c r="L128" s="10"/>
      <c r="M128" s="10"/>
    </row>
    <row r="129" spans="1:14" hidden="1" outlineLevel="1" x14ac:dyDescent="0.35">
      <c r="A129" s="3" t="s">
        <v>58</v>
      </c>
      <c r="E129" s="79"/>
      <c r="F129" s="79"/>
      <c r="G129" s="79"/>
      <c r="H129" s="79"/>
      <c r="L129" s="10"/>
      <c r="M129" s="10"/>
    </row>
    <row r="130" spans="1:14" hidden="1" outlineLevel="1" x14ac:dyDescent="0.35">
      <c r="A130" t="s">
        <v>515</v>
      </c>
      <c r="E130" s="10">
        <f>-SUMIFS(CashFlow[CashDividendsPaid],CashFlow[Ticker],$B$1,CashFlow[Year],E$2,CashFlow[periodType],"&lt;&gt;TTM")</f>
        <v>0</v>
      </c>
      <c r="F130" s="10">
        <f>-SUMIFS(CashFlow[CashDividendsPaid],CashFlow[Ticker],$B$1,CashFlow[Year],F$2,CashFlow[periodType],"&lt;&gt;TTM")</f>
        <v>0</v>
      </c>
      <c r="G130" s="10">
        <f>-SUMIFS(CashFlow[CashDividendsPaid],CashFlow[Ticker],$B$1,CashFlow[Year],G$2,CashFlow[periodType],"&lt;&gt;TTM")</f>
        <v>0</v>
      </c>
      <c r="H130" s="10">
        <f>-SUMIFS(CashFlow[CashDividendsPaid],CashFlow[Ticker],$B$1,CashFlow[Year],H$2,CashFlow[periodType],"&lt;&gt;TTM")</f>
        <v>0</v>
      </c>
      <c r="I130" s="10">
        <f>I24*I31</f>
        <v>0</v>
      </c>
      <c r="J130" s="10">
        <f>J24*J31</f>
        <v>0</v>
      </c>
      <c r="K130" s="10">
        <f>K24*K31</f>
        <v>0</v>
      </c>
      <c r="L130" s="10">
        <f>L24*L31</f>
        <v>0</v>
      </c>
      <c r="M130" s="10">
        <f>M24*M31</f>
        <v>0</v>
      </c>
    </row>
    <row r="131" spans="1:14" hidden="1" outlineLevel="1" x14ac:dyDescent="0.35">
      <c r="A131" t="s">
        <v>59</v>
      </c>
      <c r="E131" s="10">
        <f>SUMIFS(CashFlow[NetIssuancePaymentsOfDebt],CashFlow[Ticker],$B$1,CashFlow[Year],E$2,CashFlow[periodType],"&lt;&gt;TTM")</f>
        <v>0</v>
      </c>
      <c r="F131" s="10">
        <f>SUMIFS(CashFlow[NetIssuancePaymentsOfDebt],CashFlow[Ticker],$B$1,CashFlow[Year],F$2,CashFlow[periodType],"&lt;&gt;TTM")</f>
        <v>0</v>
      </c>
      <c r="G131" s="10">
        <f>SUMIFS(CashFlow[NetIssuancePaymentsOfDebt],CashFlow[Ticker],$B$1,CashFlow[Year],G$2,CashFlow[periodType],"&lt;&gt;TTM")</f>
        <v>0</v>
      </c>
      <c r="H131" s="10">
        <f>SUMIFS(CashFlow[NetIssuancePaymentsOfDebt],CashFlow[Ticker],$B$1,CashFlow[Year],H$2,CashFlow[periodType],"&lt;&gt;TTM")</f>
        <v>2608000000</v>
      </c>
      <c r="I131" s="10">
        <f t="shared" ref="I131:M132" si="30">AVERAGE(E131:H131)</f>
        <v>652000000</v>
      </c>
      <c r="J131" s="10">
        <f t="shared" si="30"/>
        <v>815000000</v>
      </c>
      <c r="K131" s="10">
        <f t="shared" si="30"/>
        <v>1018750000</v>
      </c>
      <c r="L131" s="10">
        <f t="shared" si="30"/>
        <v>1273437500</v>
      </c>
      <c r="M131" s="10">
        <f t="shared" si="30"/>
        <v>939796875</v>
      </c>
      <c r="N131" t="s">
        <v>566</v>
      </c>
    </row>
    <row r="132" spans="1:14" hidden="1" outlineLevel="1" x14ac:dyDescent="0.35">
      <c r="A132" s="4" t="s">
        <v>60</v>
      </c>
      <c r="B132" s="4"/>
      <c r="C132" s="4"/>
      <c r="D132" s="4"/>
      <c r="E132" s="13">
        <f>SUMIFS(CashFlow[NetCommonStockIssuance],CashFlow[Ticker],$B$1,CashFlow[Year],E2,CashFlow[periodType],"&lt;&gt;TTM")</f>
        <v>-844000000</v>
      </c>
      <c r="F132" s="13">
        <f>SUMIFS(CashFlow[NetCommonStockIssuance],CashFlow[Ticker],$B$1,CashFlow[Year],F2,CashFlow[periodType],"&lt;&gt;TTM")</f>
        <v>-800000000</v>
      </c>
      <c r="G132" s="13">
        <f>SUMIFS(CashFlow[NetCommonStockIssuance],CashFlow[Ticker],$B$1,CashFlow[Year],G2,CashFlow[periodType],"&lt;&gt;TTM")</f>
        <v>-781000000</v>
      </c>
      <c r="H132" s="13">
        <f>SUMIFS(CashFlow[NetCommonStockIssuance],CashFlow[Ticker],$B$1,CashFlow[Year],H2,CashFlow[periodType],"&lt;&gt;TTM")</f>
        <v>-147000000</v>
      </c>
      <c r="I132" s="13">
        <f t="shared" si="30"/>
        <v>-643000000</v>
      </c>
      <c r="J132" s="13">
        <f t="shared" si="30"/>
        <v>-592750000</v>
      </c>
      <c r="K132" s="13">
        <f t="shared" si="30"/>
        <v>-540937500</v>
      </c>
      <c r="L132" s="13">
        <f t="shared" si="30"/>
        <v>-480921875</v>
      </c>
      <c r="M132" s="13">
        <f t="shared" si="30"/>
        <v>-564402343.75</v>
      </c>
      <c r="N132" t="s">
        <v>566</v>
      </c>
    </row>
    <row r="133" spans="1:14" ht="15" hidden="1" outlineLevel="1" thickBot="1" x14ac:dyDescent="0.4">
      <c r="A133" s="6" t="s">
        <v>61</v>
      </c>
      <c r="B133" s="6"/>
      <c r="C133" s="6"/>
      <c r="D133" s="6"/>
      <c r="E133" s="15">
        <f>SUM(E130:E132)</f>
        <v>-844000000</v>
      </c>
      <c r="F133" s="15">
        <f t="shared" ref="F133:M133" si="31">SUM(F130:F132)</f>
        <v>-800000000</v>
      </c>
      <c r="G133" s="15">
        <f t="shared" si="31"/>
        <v>-781000000</v>
      </c>
      <c r="H133" s="15">
        <f t="shared" si="31"/>
        <v>2461000000</v>
      </c>
      <c r="I133" s="15">
        <f t="shared" si="31"/>
        <v>9000000</v>
      </c>
      <c r="J133" s="15">
        <f t="shared" si="31"/>
        <v>222250000</v>
      </c>
      <c r="K133" s="15">
        <f t="shared" si="31"/>
        <v>477812500</v>
      </c>
      <c r="L133" s="15">
        <f t="shared" si="31"/>
        <v>792515625</v>
      </c>
      <c r="M133" s="15">
        <f t="shared" si="31"/>
        <v>375394531.25</v>
      </c>
    </row>
    <row r="134" spans="1:14" ht="15" hidden="1" outlineLevel="1" thickTop="1" x14ac:dyDescent="0.35">
      <c r="A134" s="3" t="s">
        <v>489</v>
      </c>
      <c r="B134" s="3"/>
      <c r="C134" s="3"/>
      <c r="D134" s="3"/>
      <c r="E134" s="54">
        <f>SUMIFS(CashFlow[CashFlowFromContinuingFinancingActivities],CashFlow[Ticker],$B$1,CashFlow[Year],E2,CashFlow[periodType],"&lt;&gt;TTM")</f>
        <v>-844000000</v>
      </c>
      <c r="F134" s="54">
        <f>SUMIFS(CashFlow[CashFlowFromContinuingFinancingActivities],CashFlow[Ticker],$B$1,CashFlow[Year],F2,CashFlow[periodType],"&lt;&gt;TTM")</f>
        <v>-799000000</v>
      </c>
      <c r="G134" s="54">
        <f>SUMIFS(CashFlow[CashFlowFromContinuingFinancingActivities],CashFlow[Ticker],$B$1,CashFlow[Year],G2,CashFlow[periodType],"&lt;&gt;TTM")</f>
        <v>-781000000</v>
      </c>
      <c r="H134" s="54">
        <f>SUMIFS(CashFlow[CashFlowFromContinuingFinancingActivities],CashFlow[Ticker],$B$1,CashFlow[Year],H2,CashFlow[periodType],"&lt;&gt;TTM")</f>
        <v>-135000000</v>
      </c>
      <c r="I134" s="54"/>
      <c r="J134" s="54"/>
      <c r="K134" s="54"/>
      <c r="L134" s="54"/>
      <c r="M134" s="54"/>
    </row>
    <row r="135" spans="1:14" hidden="1" outlineLevel="1" x14ac:dyDescent="0.35">
      <c r="L135" s="10"/>
      <c r="M135" s="10"/>
    </row>
    <row r="136" spans="1:14" hidden="1" outlineLevel="1" x14ac:dyDescent="0.35">
      <c r="A136" t="s">
        <v>512</v>
      </c>
      <c r="E136" s="48">
        <f>SUMIFS(CashFlow[ChangesInCash],CashFlow[Ticker],$B$1,CashFlow[Year],E2,CashFlow[periodType],"&lt;&gt;TTM")</f>
        <v>0</v>
      </c>
      <c r="F136" s="48">
        <f>SUMIFS(CashFlow[ChangesInCash],CashFlow[Ticker],$B$1,CashFlow[Year],F2,CashFlow[periodType],"&lt;&gt;TTM")</f>
        <v>0</v>
      </c>
      <c r="G136" s="48">
        <f>SUMIFS(CashFlow[ChangesInCash],CashFlow[Ticker],$B$1,CashFlow[Year],G2,CashFlow[periodType],"&lt;&gt;TTM")</f>
        <v>0</v>
      </c>
      <c r="H136" s="48">
        <f>SUMIFS(CashFlow[ChangesInCash],CashFlow[Ticker],$B$1,CashFlow[Year],H2,CashFlow[periodType],"&lt;&gt;TTM")</f>
        <v>773000000</v>
      </c>
      <c r="I136" s="17">
        <f>I118-I126+I133</f>
        <v>1045514850.7305424</v>
      </c>
      <c r="J136" s="17">
        <f>J118-J126+J133</f>
        <v>1246761330.505837</v>
      </c>
      <c r="K136" s="17">
        <f>K118-K126+K133</f>
        <v>1547681006.3857131</v>
      </c>
      <c r="L136" s="17">
        <f>L118-L126+L133</f>
        <v>1902231627.6834064</v>
      </c>
      <c r="M136" s="17">
        <f>M118-M126+M133</f>
        <v>1515553218.8531275</v>
      </c>
    </row>
    <row r="137" spans="1:14" hidden="1" outlineLevel="1" x14ac:dyDescent="0.35">
      <c r="A137" t="s">
        <v>511</v>
      </c>
      <c r="E137" s="111">
        <f>SUMIFS(CashFlow[BeginningCashPosition],CashFlow[Ticker],$B$1,CashFlow[Year],E2,CashFlow[periodType],"&lt;&gt;TTM")</f>
        <v>0</v>
      </c>
      <c r="F137" s="111">
        <f>SUMIFS(CashFlow[BeginningCashPosition],CashFlow[Ticker],$B$1,CashFlow[Year],F2,CashFlow[periodType],"&lt;&gt;TTM")</f>
        <v>0</v>
      </c>
      <c r="G137" s="111">
        <f>SUMIFS(CashFlow[BeginningCashPosition],CashFlow[Ticker],$B$1,CashFlow[Year],G2,CashFlow[periodType],"&lt;&gt;TTM")</f>
        <v>0</v>
      </c>
      <c r="H137" s="111">
        <f>SUMIFS(CashFlow[BeginningCashPosition],CashFlow[Ticker],$B$1,CashFlow[Year],H2,CashFlow[periodType],"&lt;&gt;TTM")</f>
        <v>0</v>
      </c>
      <c r="I137" s="73">
        <f>H138</f>
        <v>773000000</v>
      </c>
      <c r="J137" s="73">
        <f>I138</f>
        <v>1818514850.7305424</v>
      </c>
      <c r="K137" s="73">
        <f>J138</f>
        <v>3065276181.2363796</v>
      </c>
      <c r="L137" s="73">
        <f>K138</f>
        <v>4612957187.6220932</v>
      </c>
      <c r="M137" s="73">
        <f>L138</f>
        <v>6515188815.3055</v>
      </c>
    </row>
    <row r="138" spans="1:14" ht="15" hidden="1" outlineLevel="1" thickBot="1" x14ac:dyDescent="0.4">
      <c r="A138" s="56" t="s">
        <v>64</v>
      </c>
      <c r="B138" s="56"/>
      <c r="C138" s="56"/>
      <c r="D138" s="56"/>
      <c r="E138" s="57">
        <f>SUM(E136)+E137</f>
        <v>0</v>
      </c>
      <c r="F138" s="57">
        <f>SUM(F136)+F137</f>
        <v>0</v>
      </c>
      <c r="G138" s="57">
        <f>SUM(G136)+G137</f>
        <v>0</v>
      </c>
      <c r="H138" s="57">
        <f>SUM(H136)+H137</f>
        <v>773000000</v>
      </c>
      <c r="I138" s="57">
        <f>SUM(I136:I137)</f>
        <v>1818514850.7305424</v>
      </c>
      <c r="J138" s="57">
        <f>SUM(J136:J137)</f>
        <v>3065276181.2363796</v>
      </c>
      <c r="K138" s="57">
        <f>SUM(K136:K137)</f>
        <v>4612957187.6220932</v>
      </c>
      <c r="L138" s="57">
        <f>SUM(L136:L137)</f>
        <v>6515188815.3055</v>
      </c>
      <c r="M138" s="57">
        <f>SUM(M136:M137)</f>
        <v>8030742034.1586275</v>
      </c>
    </row>
    <row r="139" spans="1:14" ht="15" hidden="1" outlineLevel="1" thickTop="1" x14ac:dyDescent="0.35">
      <c r="A139" s="61" t="s">
        <v>490</v>
      </c>
      <c r="B139" s="61"/>
      <c r="C139" s="61"/>
      <c r="D139" s="61"/>
      <c r="E139" s="89">
        <f>SUMIFS(CashFlow[EndCashPosition],CashFlow[Ticker],$B$1,CashFlow[Year],E2,CashFlow[periodType],"&lt;&gt;TTM")</f>
        <v>0</v>
      </c>
      <c r="F139" s="89">
        <f>SUMIFS(CashFlow[EndCashPosition],CashFlow[Ticker],$B$1,CashFlow[Year],F2,CashFlow[periodType],"&lt;&gt;TTM")</f>
        <v>0</v>
      </c>
      <c r="G139" s="89">
        <f>SUMIFS(CashFlow[EndCashPosition],CashFlow[Ticker],$B$1,CashFlow[Year],G2,CashFlow[periodType],"&lt;&gt;TTM")</f>
        <v>0</v>
      </c>
      <c r="H139" s="89">
        <f>SUMIFS(CashFlow[EndCashPosition],CashFlow[Ticker],$B$1,CashFlow[Year],H2,CashFlow[periodType],"&lt;&gt;TTM")</f>
        <v>762000000</v>
      </c>
      <c r="I139" s="54"/>
      <c r="J139" s="54"/>
      <c r="K139" s="54"/>
      <c r="L139" s="54"/>
      <c r="M139" s="54"/>
    </row>
    <row r="140" spans="1:14" hidden="1" outlineLevel="1" x14ac:dyDescent="0.35">
      <c r="L140" s="10"/>
      <c r="M140" s="10"/>
    </row>
    <row r="141" spans="1:14" hidden="1" outlineLevel="1" x14ac:dyDescent="0.35">
      <c r="A141" t="s">
        <v>50</v>
      </c>
      <c r="E141" s="10">
        <f t="shared" ref="E141:M141" si="32">E138-E53</f>
        <v>0</v>
      </c>
      <c r="F141" s="10">
        <f t="shared" si="32"/>
        <v>0</v>
      </c>
      <c r="G141" s="10">
        <f t="shared" si="32"/>
        <v>0</v>
      </c>
      <c r="H141" s="10">
        <f t="shared" si="32"/>
        <v>11000000</v>
      </c>
      <c r="I141" s="10">
        <f t="shared" si="32"/>
        <v>0</v>
      </c>
      <c r="J141" s="10">
        <f t="shared" si="32"/>
        <v>0</v>
      </c>
      <c r="K141" s="10">
        <f t="shared" si="32"/>
        <v>0</v>
      </c>
      <c r="L141" s="10">
        <f t="shared" si="32"/>
        <v>0</v>
      </c>
      <c r="M141" s="10">
        <f t="shared" si="32"/>
        <v>0</v>
      </c>
    </row>
    <row r="142" spans="1:14" collapsed="1" x14ac:dyDescent="0.35">
      <c r="E142" s="78"/>
      <c r="L142" s="10"/>
      <c r="M142" s="10"/>
    </row>
    <row r="143" spans="1:14" x14ac:dyDescent="0.35">
      <c r="A143" s="2" t="s">
        <v>8</v>
      </c>
      <c r="B143" s="2"/>
      <c r="C143" s="2"/>
      <c r="D143" s="2"/>
      <c r="E143" s="11"/>
      <c r="F143" s="11"/>
      <c r="G143" s="11"/>
      <c r="H143" s="11"/>
      <c r="I143" s="11"/>
      <c r="J143" s="11"/>
      <c r="K143" s="11"/>
      <c r="L143" s="11"/>
      <c r="M143" s="11"/>
    </row>
    <row r="144" spans="1:14" hidden="1" outlineLevel="1" x14ac:dyDescent="0.35">
      <c r="A144" s="3" t="s">
        <v>619</v>
      </c>
      <c r="L144" s="10"/>
      <c r="M144" s="10"/>
    </row>
    <row r="145" spans="1:13" hidden="1" outlineLevel="1" x14ac:dyDescent="0.35">
      <c r="A145" t="s">
        <v>38</v>
      </c>
      <c r="E145" s="17">
        <f t="shared" ref="E145:H146" si="33">E54</f>
        <v>0</v>
      </c>
      <c r="F145" s="17">
        <f t="shared" si="33"/>
        <v>757000000</v>
      </c>
      <c r="G145" s="17">
        <f t="shared" si="33"/>
        <v>816000000</v>
      </c>
      <c r="H145" s="17">
        <f t="shared" si="33"/>
        <v>826000000</v>
      </c>
      <c r="I145" s="17">
        <f t="shared" ref="I145:M146" si="34">I16*(I31/365)</f>
        <v>649565463.52466917</v>
      </c>
      <c r="J145" s="17">
        <f t="shared" si="34"/>
        <v>679521165.77656555</v>
      </c>
      <c r="K145" s="17">
        <f t="shared" si="34"/>
        <v>708642275.97486973</v>
      </c>
      <c r="L145" s="17">
        <f t="shared" si="34"/>
        <v>736700366.9160502</v>
      </c>
      <c r="M145" s="17">
        <f t="shared" si="34"/>
        <v>761064360.26430082</v>
      </c>
    </row>
    <row r="146" spans="1:13" hidden="1" outlineLevel="1" x14ac:dyDescent="0.35">
      <c r="A146" s="4" t="s">
        <v>39</v>
      </c>
      <c r="B146" s="4"/>
      <c r="C146" s="4"/>
      <c r="D146" s="4"/>
      <c r="E146" s="18">
        <f t="shared" si="33"/>
        <v>0</v>
      </c>
      <c r="F146" s="18">
        <f t="shared" si="33"/>
        <v>322000000</v>
      </c>
      <c r="G146" s="18">
        <f t="shared" si="33"/>
        <v>345000000</v>
      </c>
      <c r="H146" s="18">
        <f t="shared" si="33"/>
        <v>297000000</v>
      </c>
      <c r="I146" s="18">
        <f t="shared" si="34"/>
        <v>260834786.11104783</v>
      </c>
      <c r="J146" s="18">
        <f t="shared" si="34"/>
        <v>272863580.17174506</v>
      </c>
      <c r="K146" s="18">
        <f t="shared" si="34"/>
        <v>284557241.51370537</v>
      </c>
      <c r="L146" s="18">
        <f t="shared" si="34"/>
        <v>295824044.56942105</v>
      </c>
      <c r="M146" s="18">
        <f t="shared" si="34"/>
        <v>305607472.64658302</v>
      </c>
    </row>
    <row r="147" spans="1:13" hidden="1" outlineLevel="1" x14ac:dyDescent="0.35">
      <c r="A147" t="s">
        <v>43</v>
      </c>
      <c r="E147" s="73">
        <f>E71</f>
        <v>0</v>
      </c>
      <c r="F147" s="73">
        <f>F71</f>
        <v>522000000</v>
      </c>
      <c r="G147" s="73">
        <f>G71</f>
        <v>506000000</v>
      </c>
      <c r="H147" s="73">
        <f>H71</f>
        <v>570000000</v>
      </c>
      <c r="I147" s="73">
        <f>I19*(I32/365)</f>
        <v>432088945.27494287</v>
      </c>
      <c r="J147" s="73">
        <f>J19*(J32/365)</f>
        <v>452015386.13089287</v>
      </c>
      <c r="K147" s="73">
        <f>K19*(K32/365)</f>
        <v>471386658.92385113</v>
      </c>
      <c r="L147" s="73">
        <f>L19*(L32/365)</f>
        <v>490050814.58172441</v>
      </c>
      <c r="M147" s="73">
        <f>M19*(M32/365)</f>
        <v>506257667.90087652</v>
      </c>
    </row>
    <row r="148" spans="1:13" hidden="1" outlineLevel="1" x14ac:dyDescent="0.35">
      <c r="A148" s="4" t="s">
        <v>492</v>
      </c>
      <c r="D148" s="114"/>
      <c r="E148" s="73">
        <f>SUMIFS(BalanceSheet[CurrentAccruedExpenses],BalanceSheet[Ticker],$B$1,BalanceSheet[Year],E2,BalanceSheet[periodType],"&lt;&gt;TTM")</f>
        <v>0</v>
      </c>
      <c r="F148" s="73">
        <f>SUMIFS(BalanceSheet[CurrentAccruedExpenses],BalanceSheet[Ticker],$B$1,BalanceSheet[Year],F2,BalanceSheet[periodType],"&lt;&gt;TTM")</f>
        <v>227000000</v>
      </c>
      <c r="G148" s="73">
        <f>SUMIFS(BalanceSheet[CurrentAccruedExpenses],BalanceSheet[Ticker],$B$1,BalanceSheet[Year],G2,BalanceSheet[periodType],"&lt;&gt;TTM")</f>
        <v>211000000</v>
      </c>
      <c r="H148" s="73">
        <f>SUMIFS(BalanceSheet[CurrentAccruedExpenses],BalanceSheet[Ticker],$B$1,BalanceSheet[Year],H2,BalanceSheet[periodType],"&lt;&gt;TTM")</f>
        <v>184000000</v>
      </c>
      <c r="I148" s="73">
        <f>I22*I32</f>
        <v>168623642.08639383</v>
      </c>
      <c r="J148" s="73">
        <f>J22*J32</f>
        <v>176399978.573807</v>
      </c>
      <c r="K148" s="73">
        <f>K22*K32</f>
        <v>183959659.52819753</v>
      </c>
      <c r="L148" s="73">
        <f>L22*L32</f>
        <v>191243386.49671638</v>
      </c>
      <c r="M148" s="73">
        <f>M22*M32</f>
        <v>197568145.93182862</v>
      </c>
    </row>
    <row r="149" spans="1:13" hidden="1" outlineLevel="1" x14ac:dyDescent="0.35">
      <c r="A149" t="s">
        <v>69</v>
      </c>
      <c r="B149" s="74"/>
      <c r="C149" s="74"/>
      <c r="D149" s="74"/>
      <c r="E149" s="75">
        <f t="shared" ref="E149:M149" si="35">SUM(E145:E146)-SUM(E147:E148)</f>
        <v>0</v>
      </c>
      <c r="F149" s="75">
        <f t="shared" si="35"/>
        <v>330000000</v>
      </c>
      <c r="G149" s="75">
        <f t="shared" si="35"/>
        <v>444000000</v>
      </c>
      <c r="H149" s="75">
        <f t="shared" si="35"/>
        <v>369000000</v>
      </c>
      <c r="I149" s="75">
        <f t="shared" si="35"/>
        <v>309687662.27438033</v>
      </c>
      <c r="J149" s="75">
        <f t="shared" si="35"/>
        <v>323969381.24361074</v>
      </c>
      <c r="K149" s="75">
        <f t="shared" si="35"/>
        <v>337853199.03652644</v>
      </c>
      <c r="L149" s="75">
        <f t="shared" si="35"/>
        <v>351230210.40703046</v>
      </c>
      <c r="M149" s="75">
        <f t="shared" si="35"/>
        <v>362846019.07817876</v>
      </c>
    </row>
    <row r="150" spans="1:13" ht="15" hidden="1" outlineLevel="1" thickBot="1" x14ac:dyDescent="0.4">
      <c r="A150" s="124" t="s">
        <v>68</v>
      </c>
      <c r="B150" s="124"/>
      <c r="C150" s="124"/>
      <c r="D150" s="124"/>
      <c r="E150" s="125">
        <v>0</v>
      </c>
      <c r="F150" s="126">
        <f t="shared" ref="F150:M150" si="36">F149-E149</f>
        <v>330000000</v>
      </c>
      <c r="G150" s="126">
        <f t="shared" si="36"/>
        <v>114000000</v>
      </c>
      <c r="H150" s="127">
        <f t="shared" si="36"/>
        <v>-75000000</v>
      </c>
      <c r="I150" s="127">
        <f t="shared" si="36"/>
        <v>-59312337.725619674</v>
      </c>
      <c r="J150" s="127">
        <f t="shared" si="36"/>
        <v>14281718.969230413</v>
      </c>
      <c r="K150" s="127">
        <f t="shared" si="36"/>
        <v>13883817.792915702</v>
      </c>
      <c r="L150" s="127">
        <f t="shared" si="36"/>
        <v>13377011.370504022</v>
      </c>
      <c r="M150" s="127">
        <f t="shared" si="36"/>
        <v>11615808.6711483</v>
      </c>
    </row>
    <row r="151" spans="1:13" ht="15" hidden="1" outlineLevel="1" thickTop="1" x14ac:dyDescent="0.35">
      <c r="E151" s="65"/>
      <c r="F151" s="65"/>
      <c r="G151" s="65"/>
      <c r="H151" s="65"/>
      <c r="L151" s="10"/>
      <c r="M151" s="10"/>
    </row>
    <row r="152" spans="1:13" hidden="1" outlineLevel="1" x14ac:dyDescent="0.35">
      <c r="A152" s="3" t="s">
        <v>70</v>
      </c>
      <c r="L152" s="10"/>
      <c r="M152" s="10"/>
    </row>
    <row r="153" spans="1:13" hidden="1" outlineLevel="1" x14ac:dyDescent="0.35">
      <c r="A153" t="s">
        <v>71</v>
      </c>
      <c r="E153" s="17">
        <f>E157+E155-E154</f>
        <v>74000000</v>
      </c>
      <c r="F153" s="17">
        <f>F157+F155-F154</f>
        <v>750000000</v>
      </c>
      <c r="G153" s="17">
        <f>G157+G155-G154</f>
        <v>763000000</v>
      </c>
      <c r="H153" s="17">
        <f>H157+H155-H154</f>
        <v>767000000</v>
      </c>
      <c r="I153" s="17">
        <f>H156</f>
        <v>734000000</v>
      </c>
      <c r="J153" s="17">
        <f>I156</f>
        <v>673203820.57197702</v>
      </c>
      <c r="K153" s="17">
        <f>J156</f>
        <v>609603932.58605659</v>
      </c>
      <c r="L153" s="17">
        <f>K156</f>
        <v>543278449.81381166</v>
      </c>
      <c r="M153" s="17">
        <f>L156</f>
        <v>474326865.7060498</v>
      </c>
    </row>
    <row r="154" spans="1:13" hidden="1" outlineLevel="1" x14ac:dyDescent="0.35">
      <c r="A154" s="55" t="s">
        <v>72</v>
      </c>
      <c r="B154" s="77"/>
      <c r="C154" s="67"/>
      <c r="E154" s="85">
        <f>-SUMIFS(CashFlow[CapitalExpenditure],CashFlow[Ticker],$B$1,CashFlow[Year],E2,CashFlow[periodType],"&lt;&gt;TTM")</f>
        <v>36000000</v>
      </c>
      <c r="F154" s="85">
        <f>-SUMIFS(CashFlow[CapitalExpenditure],CashFlow[Ticker],$B$1,CashFlow[Year],F2,CashFlow[periodType],"&lt;&gt;TTM")</f>
        <v>54000000</v>
      </c>
      <c r="G154" s="85">
        <f>-SUMIFS(CashFlow[CapitalExpenditure],CashFlow[Ticker],$B$1,CashFlow[Year],G2,CashFlow[periodType],"&lt;&gt;TTM")</f>
        <v>34000000</v>
      </c>
      <c r="H154" s="85">
        <f>-SUMIFS(CashFlow[CapitalExpenditure],CashFlow[Ticker],$B$1,CashFlow[Year],H2,CashFlow[periodType],"&lt;&gt;TTM")</f>
        <v>54000000</v>
      </c>
      <c r="I154" s="17">
        <f>I31*I20</f>
        <v>49403262.825371265</v>
      </c>
      <c r="J154" s="17">
        <f>J31*J20</f>
        <v>51681569.654430076</v>
      </c>
      <c r="K154" s="17">
        <f>K31*K20</f>
        <v>53896400.863415346</v>
      </c>
      <c r="L154" s="17">
        <f>L31*L20</f>
        <v>56030383.223905578</v>
      </c>
      <c r="M154" s="17">
        <f>M31*M20</f>
        <v>57883407.798715837</v>
      </c>
    </row>
    <row r="155" spans="1:13" hidden="1" outlineLevel="1" x14ac:dyDescent="0.35">
      <c r="A155" s="4" t="s">
        <v>73</v>
      </c>
      <c r="B155" s="4"/>
      <c r="C155" s="4"/>
      <c r="D155" s="4"/>
      <c r="E155" s="115">
        <f>SUMIFS(CashFlow[DepreciationAndAmortization],CashFlow[Ticker],$B$1,CashFlow[Year],E2,CashFlow[periodType],"&lt;&gt;TTM")</f>
        <v>110000000</v>
      </c>
      <c r="F155" s="115">
        <f>SUMIFS(CashFlow[DepreciationAndAmortization],CashFlow[Ticker],$B$1,CashFlow[Year],F2,CashFlow[periodType],"&lt;&gt;TTM")</f>
        <v>106000000</v>
      </c>
      <c r="G155" s="115">
        <f>SUMIFS(CashFlow[DepreciationAndAmortization],CashFlow[Ticker],$B$1,CashFlow[Year],G2,CashFlow[periodType],"&lt;&gt;TTM")</f>
        <v>90000000</v>
      </c>
      <c r="H155" s="115">
        <f>SUMIFS(CashFlow[DepreciationAndAmortization],CashFlow[Ticker],$B$1,CashFlow[Year],H2,CashFlow[periodType],"&lt;&gt;TTM")</f>
        <v>87000000</v>
      </c>
      <c r="I155" s="18">
        <f>IF($D$11&lt;$D$10,I11*I31,I10*I153)</f>
        <v>110199442.25339426</v>
      </c>
      <c r="J155" s="18">
        <f>IF($D$11&lt;$D$10,J11*J31,J10*J153)</f>
        <v>115281457.64035049</v>
      </c>
      <c r="K155" s="18">
        <f>IF($D$11&lt;$D$10,K11*K31,K10*K153)</f>
        <v>120221883.63566032</v>
      </c>
      <c r="L155" s="18">
        <f>IF($D$11&lt;$D$10,L11*L31,L10*L153)</f>
        <v>124981967.33166745</v>
      </c>
      <c r="M155" s="18">
        <f>IF($D$11&lt;$D$10,M11*M31,M10*M153)</f>
        <v>129115343.60982403</v>
      </c>
    </row>
    <row r="156" spans="1:13" hidden="1" outlineLevel="1" x14ac:dyDescent="0.35">
      <c r="A156" t="s">
        <v>74</v>
      </c>
      <c r="E156" s="48">
        <f t="shared" ref="E156:M156" si="37">E153+SUM(E154:E154)-E155</f>
        <v>0</v>
      </c>
      <c r="F156" s="48">
        <f t="shared" si="37"/>
        <v>698000000</v>
      </c>
      <c r="G156" s="48">
        <f t="shared" si="37"/>
        <v>707000000</v>
      </c>
      <c r="H156" s="48">
        <f t="shared" si="37"/>
        <v>734000000</v>
      </c>
      <c r="I156" s="48">
        <f t="shared" si="37"/>
        <v>673203820.57197702</v>
      </c>
      <c r="J156" s="48">
        <f t="shared" si="37"/>
        <v>609603932.58605659</v>
      </c>
      <c r="K156" s="48">
        <f t="shared" si="37"/>
        <v>543278449.81381166</v>
      </c>
      <c r="L156" s="48">
        <f t="shared" si="37"/>
        <v>474326865.7060498</v>
      </c>
      <c r="M156" s="48">
        <f t="shared" si="37"/>
        <v>403094929.89494157</v>
      </c>
    </row>
    <row r="157" spans="1:13" hidden="1" outlineLevel="1" x14ac:dyDescent="0.35">
      <c r="A157" t="s">
        <v>507</v>
      </c>
      <c r="E157" s="10">
        <f>SUMIFS(BalanceSheet[GrossPPE],BalanceSheet[Ticker],$B$1,BalanceSheet[Year],E2,BalanceSheet[periodType],"&lt;&gt;TTM")</f>
        <v>0</v>
      </c>
      <c r="F157" s="10">
        <f>SUMIFS(BalanceSheet[GrossPPE],BalanceSheet[Ticker],$B$1,BalanceSheet[Year],F2,BalanceSheet[periodType],"&lt;&gt;TTM")</f>
        <v>698000000</v>
      </c>
      <c r="G157" s="10">
        <f>SUMIFS(BalanceSheet[GrossPPE],BalanceSheet[Ticker],$B$1,BalanceSheet[Year],G2,BalanceSheet[periodType],"&lt;&gt;TTM")</f>
        <v>707000000</v>
      </c>
      <c r="H157" s="10">
        <f>SUMIFS(BalanceSheet[GrossPPE],BalanceSheet[Ticker],$B$1,BalanceSheet[Year],H2,BalanceSheet[periodType],"&lt;&gt;TTM")</f>
        <v>734000000</v>
      </c>
      <c r="L157" s="10"/>
      <c r="M157" s="10"/>
    </row>
    <row r="158" spans="1:13" hidden="1" outlineLevel="1" x14ac:dyDescent="0.35">
      <c r="L158" s="10"/>
      <c r="M158" s="10"/>
    </row>
    <row r="159" spans="1:13" hidden="1" outlineLevel="1" x14ac:dyDescent="0.35">
      <c r="A159" s="3" t="s">
        <v>75</v>
      </c>
      <c r="L159" s="10"/>
      <c r="M159" s="10"/>
    </row>
    <row r="160" spans="1:13" hidden="1" outlineLevel="1" x14ac:dyDescent="0.35">
      <c r="A160" t="s">
        <v>76</v>
      </c>
      <c r="E160" s="17">
        <v>0</v>
      </c>
      <c r="F160" s="17">
        <f>E163</f>
        <v>0</v>
      </c>
      <c r="G160" s="17">
        <f t="shared" ref="G160:M160" si="38">F162</f>
        <v>0</v>
      </c>
      <c r="H160" s="17">
        <f t="shared" si="38"/>
        <v>0</v>
      </c>
      <c r="I160" s="17">
        <f t="shared" si="38"/>
        <v>2608000000</v>
      </c>
      <c r="J160" s="17">
        <f t="shared" si="38"/>
        <v>2608000000</v>
      </c>
      <c r="K160" s="17">
        <f t="shared" si="38"/>
        <v>2608000000</v>
      </c>
      <c r="L160" s="17">
        <f t="shared" si="38"/>
        <v>2608000000</v>
      </c>
      <c r="M160" s="17">
        <f t="shared" si="38"/>
        <v>5216000000</v>
      </c>
    </row>
    <row r="161" spans="1:13" hidden="1" outlineLevel="1" x14ac:dyDescent="0.35">
      <c r="A161" s="4" t="s">
        <v>77</v>
      </c>
      <c r="B161" s="4"/>
      <c r="C161" s="4"/>
      <c r="D161" s="4"/>
      <c r="E161" s="18">
        <f>SUMIFS(CashFlow[NetIssuancePaymentsOfDebt],CashFlow[Ticker],$B$1,CashFlow[Year],E$2,CashFlow[periodType],"&lt;&gt;TTM")</f>
        <v>0</v>
      </c>
      <c r="F161" s="18">
        <f>SUMIFS(CashFlow[NetIssuancePaymentsOfDebt],CashFlow[Ticker],$B$1,CashFlow[Year],F$2,CashFlow[periodType],"&lt;&gt;TTM")</f>
        <v>0</v>
      </c>
      <c r="G161" s="18">
        <f>SUMIFS(CashFlow[NetIssuancePaymentsOfDebt],CashFlow[Ticker],$B$1,CashFlow[Year],G$2,CashFlow[periodType],"&lt;&gt;TTM")</f>
        <v>0</v>
      </c>
      <c r="H161" s="18">
        <f>SUMIFS(CashFlow[NetIssuancePaymentsOfDebt],CashFlow[Ticker],$B$1,CashFlow[Year],H$2,CashFlow[periodType],"&lt;&gt;TTM")</f>
        <v>2608000000</v>
      </c>
      <c r="I161" s="39">
        <f>I26</f>
        <v>0</v>
      </c>
      <c r="J161" s="39">
        <f>J26</f>
        <v>0</v>
      </c>
      <c r="K161" s="39">
        <f>K26</f>
        <v>0</v>
      </c>
      <c r="L161" s="39">
        <f>L26</f>
        <v>2608000000</v>
      </c>
      <c r="M161" s="39">
        <f>M26</f>
        <v>0</v>
      </c>
    </row>
    <row r="162" spans="1:13" hidden="1" outlineLevel="1" x14ac:dyDescent="0.35">
      <c r="A162" t="s">
        <v>78</v>
      </c>
      <c r="E162" s="10">
        <f t="shared" ref="E162:M162" si="39">SUM(E160:E161)</f>
        <v>0</v>
      </c>
      <c r="F162" s="10">
        <f t="shared" si="39"/>
        <v>0</v>
      </c>
      <c r="G162" s="10">
        <f t="shared" si="39"/>
        <v>0</v>
      </c>
      <c r="H162" s="10">
        <f t="shared" si="39"/>
        <v>2608000000</v>
      </c>
      <c r="I162" s="10">
        <f t="shared" si="39"/>
        <v>2608000000</v>
      </c>
      <c r="J162" s="10">
        <f t="shared" si="39"/>
        <v>2608000000</v>
      </c>
      <c r="K162" s="10">
        <f t="shared" si="39"/>
        <v>2608000000</v>
      </c>
      <c r="L162" s="10">
        <f t="shared" si="39"/>
        <v>5216000000</v>
      </c>
      <c r="M162" s="10">
        <f t="shared" si="39"/>
        <v>5216000000</v>
      </c>
    </row>
    <row r="163" spans="1:13" hidden="1" outlineLevel="1" x14ac:dyDescent="0.35">
      <c r="A163" t="s">
        <v>608</v>
      </c>
      <c r="E163" s="132">
        <f>SUMIFS(BalanceSheet[TotalDebt],BalanceSheet[Ticker],$B$1,BalanceSheet[Year],E$2,BalanceSheet[periodType],"&lt;&gt;TTM")</f>
        <v>0</v>
      </c>
      <c r="F163" s="132">
        <f>SUMIFS(BalanceSheet[TotalDebt],BalanceSheet[Ticker],$B$1,BalanceSheet[Year],F$2,BalanceSheet[periodType],"&lt;&gt;TTM")</f>
        <v>135000000</v>
      </c>
      <c r="G163" s="132">
        <f>SUMIFS(BalanceSheet[TotalDebt],BalanceSheet[Ticker],$B$1,BalanceSheet[Year],G$2,BalanceSheet[periodType],"&lt;&gt;TTM")</f>
        <v>123000000</v>
      </c>
      <c r="H163" s="132">
        <f>SUMIFS(BalanceSheet[TotalDebt],BalanceSheet[Ticker],$B$1,BalanceSheet[Year],H$2,BalanceSheet[periodType],"&lt;&gt;TTM")</f>
        <v>2777000000</v>
      </c>
      <c r="I163" s="132"/>
      <c r="J163" s="132"/>
      <c r="K163" s="132"/>
      <c r="L163" s="132"/>
      <c r="M163" s="132"/>
    </row>
    <row r="164" spans="1:13" hidden="1" outlineLevel="1" x14ac:dyDescent="0.35">
      <c r="A164" t="s">
        <v>79</v>
      </c>
      <c r="E164" s="17" t="e">
        <f t="shared" ref="E164:M164" si="40">E162*E12</f>
        <v>#VALUE!</v>
      </c>
      <c r="F164" s="17">
        <f t="shared" si="40"/>
        <v>0</v>
      </c>
      <c r="G164" s="17">
        <f t="shared" si="40"/>
        <v>0</v>
      </c>
      <c r="H164" s="17">
        <f t="shared" si="40"/>
        <v>28174288.800864242</v>
      </c>
      <c r="I164" s="17">
        <f t="shared" si="40"/>
        <v>9391429.6002880801</v>
      </c>
      <c r="J164" s="17">
        <f t="shared" si="40"/>
        <v>9391429.6002880801</v>
      </c>
      <c r="K164" s="17">
        <f t="shared" si="40"/>
        <v>9391429.6002880801</v>
      </c>
      <c r="L164" s="17">
        <f t="shared" si="40"/>
        <v>18782859.20057616</v>
      </c>
      <c r="M164" s="17">
        <f t="shared" si="40"/>
        <v>18782859.20057616</v>
      </c>
    </row>
    <row r="165" spans="1:13" collapsed="1" x14ac:dyDescent="0.35">
      <c r="F165" s="10">
        <f t="shared" ref="F165:M165" si="41">F39</f>
        <v>0</v>
      </c>
      <c r="G165" s="10">
        <f t="shared" si="41"/>
        <v>0</v>
      </c>
      <c r="H165" s="10">
        <f t="shared" si="41"/>
        <v>30000000</v>
      </c>
      <c r="I165" s="10">
        <f t="shared" si="41"/>
        <v>9391429.6002880801</v>
      </c>
      <c r="J165" s="10">
        <f t="shared" si="41"/>
        <v>9391429.6002880801</v>
      </c>
      <c r="K165" s="10">
        <f t="shared" si="41"/>
        <v>9391429.6002880801</v>
      </c>
      <c r="L165" s="10">
        <f t="shared" si="41"/>
        <v>18782859.20057616</v>
      </c>
      <c r="M165" s="10">
        <f t="shared" si="41"/>
        <v>18782859.20057616</v>
      </c>
    </row>
    <row r="166" spans="1:13" x14ac:dyDescent="0.35">
      <c r="A166" s="2" t="s">
        <v>9</v>
      </c>
      <c r="B166" s="2"/>
      <c r="C166" s="2"/>
      <c r="D166" s="2"/>
      <c r="E166" s="11"/>
      <c r="F166" s="11"/>
      <c r="G166" s="11"/>
      <c r="H166" s="11"/>
      <c r="I166" s="11"/>
      <c r="J166" s="11"/>
      <c r="K166" s="11"/>
      <c r="L166" s="11"/>
      <c r="M166" s="11"/>
    </row>
    <row r="167" spans="1:13" outlineLevel="1" x14ac:dyDescent="0.35">
      <c r="E167" s="48"/>
      <c r="L167" s="10"/>
      <c r="M167" s="10"/>
    </row>
    <row r="168" spans="1:13" outlineLevel="1" x14ac:dyDescent="0.35">
      <c r="A168" s="32" t="s">
        <v>4</v>
      </c>
      <c r="B168" s="32"/>
      <c r="C168" s="32"/>
      <c r="D168" s="32"/>
      <c r="E168" s="66"/>
      <c r="F168"/>
      <c r="G168"/>
      <c r="L168" s="10"/>
      <c r="M168" s="10"/>
    </row>
    <row r="169" spans="1:13" outlineLevel="1" x14ac:dyDescent="0.35">
      <c r="A169" t="s">
        <v>80</v>
      </c>
      <c r="D169" s="70">
        <f>AVERAGE(E13:H13)</f>
        <v>0.22272375</v>
      </c>
      <c r="E169" s="66"/>
      <c r="F169"/>
      <c r="G169"/>
      <c r="H169" s="65"/>
      <c r="I169" s="65"/>
      <c r="J169" s="65"/>
      <c r="K169" s="65"/>
      <c r="L169" s="65"/>
      <c r="M169" s="65"/>
    </row>
    <row r="170" spans="1:13" outlineLevel="1" x14ac:dyDescent="0.35">
      <c r="A170" t="s">
        <v>598</v>
      </c>
      <c r="D170" s="152">
        <v>0.86</v>
      </c>
      <c r="E170" s="66"/>
      <c r="F170"/>
      <c r="G170"/>
      <c r="H170" s="65"/>
      <c r="I170" s="65"/>
      <c r="J170" s="65"/>
      <c r="K170" s="65"/>
      <c r="L170" s="65"/>
      <c r="M170" s="65"/>
    </row>
    <row r="171" spans="1:13" outlineLevel="1" x14ac:dyDescent="0.35">
      <c r="A171" t="s">
        <v>599</v>
      </c>
      <c r="D171" s="70">
        <f>VLOOKUP($B$1,PriceData_Ticker_AvgRate!$A:$C,3,FALSE)</f>
        <v>1.1256058676431557</v>
      </c>
      <c r="E171" s="66"/>
      <c r="F171"/>
      <c r="G171"/>
      <c r="H171" s="65"/>
      <c r="I171" s="65"/>
      <c r="J171" s="65"/>
      <c r="K171" s="65"/>
      <c r="L171" s="65"/>
      <c r="M171" s="65"/>
    </row>
    <row r="172" spans="1:13" outlineLevel="1" x14ac:dyDescent="0.35">
      <c r="A172" t="s">
        <v>636</v>
      </c>
      <c r="D172" s="137">
        <f>PriceData_TNX_AvgRate[AvgReturn]+D170*(PriceData_GSPC_AvgRate[Yearly Average Return]-PriceData_TNX_AvgRate[AvgReturn])</f>
        <v>0.11312327452074575</v>
      </c>
      <c r="E172" s="66"/>
      <c r="F172">
        <v>7.4358564090540702E-2</v>
      </c>
      <c r="G172"/>
      <c r="H172" s="65"/>
      <c r="I172" s="65"/>
      <c r="J172" s="65"/>
      <c r="K172" s="65"/>
      <c r="L172" s="65"/>
      <c r="M172" s="65"/>
    </row>
    <row r="173" spans="1:13" outlineLevel="1" x14ac:dyDescent="0.35">
      <c r="A173" t="s">
        <v>602</v>
      </c>
      <c r="D173" s="153">
        <f>AverageInflation[avgInflation]/100</f>
        <v>2.9327393646170048E-2</v>
      </c>
      <c r="E173" s="48"/>
      <c r="F173"/>
      <c r="G173"/>
      <c r="L173" s="10"/>
      <c r="M173" s="10"/>
    </row>
    <row r="174" spans="1:13" outlineLevel="1" x14ac:dyDescent="0.35">
      <c r="A174" t="s">
        <v>152</v>
      </c>
      <c r="D174" s="85">
        <f>SUMIFS(MetaData[ebitda],MetaData[Ticker],$B$1)</f>
        <v>1240999936</v>
      </c>
      <c r="E174" s="48"/>
      <c r="F174"/>
      <c r="G174"/>
      <c r="L174" s="10"/>
      <c r="M174" s="10"/>
    </row>
    <row r="175" spans="1:13" outlineLevel="1" x14ac:dyDescent="0.35">
      <c r="A175" t="s">
        <v>83</v>
      </c>
      <c r="D175" s="122">
        <f>H203/D174</f>
        <v>23.493437085882331</v>
      </c>
      <c r="E175" s="48"/>
      <c r="F175"/>
      <c r="G175"/>
      <c r="L175" s="10"/>
      <c r="M175" s="10"/>
    </row>
    <row r="176" spans="1:13" outlineLevel="1" x14ac:dyDescent="0.35">
      <c r="A176" t="s">
        <v>84</v>
      </c>
      <c r="D176" s="69">
        <f ca="1">TODAY()</f>
        <v>45530</v>
      </c>
      <c r="E176" s="48"/>
      <c r="F176"/>
      <c r="G176"/>
      <c r="L176" s="10"/>
      <c r="M176" s="10"/>
    </row>
    <row r="177" spans="1:15" outlineLevel="1" x14ac:dyDescent="0.35">
      <c r="A177" t="s">
        <v>491</v>
      </c>
      <c r="D177" s="69">
        <f>_xlfn.MAXIFS(MetaData[nextFiscalYearEnd],MetaData[Ticker],$B$1)</f>
        <v>45656.791666666664</v>
      </c>
      <c r="E177" s="48"/>
      <c r="L177" s="10"/>
      <c r="M177" s="10"/>
    </row>
    <row r="178" spans="1:15" outlineLevel="1" x14ac:dyDescent="0.35">
      <c r="A178" t="s">
        <v>85</v>
      </c>
      <c r="D178" s="71">
        <f>SUMIFS(MetaData[previousClose],MetaData[Ticker],$B$1)</f>
        <v>111.78</v>
      </c>
      <c r="E178" s="48"/>
      <c r="L178" s="10"/>
      <c r="M178" s="10"/>
    </row>
    <row r="179" spans="1:15" outlineLevel="1" x14ac:dyDescent="0.35">
      <c r="A179" t="s">
        <v>86</v>
      </c>
      <c r="D179" s="72">
        <f>SUMIFS(MetaData[sharesOutstanding],MetaData[Ticker],$B$1)</f>
        <v>247106000</v>
      </c>
      <c r="E179" s="48"/>
      <c r="L179" s="10"/>
      <c r="M179" s="10"/>
    </row>
    <row r="180" spans="1:15" outlineLevel="1" x14ac:dyDescent="0.35">
      <c r="L180" s="10"/>
      <c r="M180" s="10"/>
    </row>
    <row r="181" spans="1:15" outlineLevel="1" x14ac:dyDescent="0.35">
      <c r="A181" s="117" t="s">
        <v>600</v>
      </c>
      <c r="B181" s="117"/>
      <c r="C181" s="117"/>
      <c r="D181" s="117"/>
      <c r="E181" s="118"/>
      <c r="F181" s="118"/>
      <c r="G181" s="118"/>
      <c r="H181" s="118"/>
      <c r="I181" s="118"/>
      <c r="J181" s="118"/>
      <c r="K181" s="118"/>
      <c r="L181" s="118"/>
      <c r="M181" s="118"/>
    </row>
    <row r="182" spans="1:15" outlineLevel="2" x14ac:dyDescent="0.35">
      <c r="D182" t="s">
        <v>631</v>
      </c>
      <c r="E182" s="119">
        <f>YEAR(E183)</f>
        <v>2024</v>
      </c>
      <c r="F182" s="119">
        <f>YEAR(F183)</f>
        <v>2025</v>
      </c>
      <c r="G182" s="119">
        <f>YEAR(G183)</f>
        <v>2026</v>
      </c>
      <c r="H182" s="119">
        <f>YEAR(H183)</f>
        <v>2027</v>
      </c>
      <c r="I182" s="119">
        <f>YEAR(I183)</f>
        <v>2028</v>
      </c>
      <c r="J182" s="10" t="s">
        <v>92</v>
      </c>
      <c r="L182" s="34" t="s">
        <v>102</v>
      </c>
      <c r="M182" s="32"/>
      <c r="N182" s="32"/>
    </row>
    <row r="183" spans="1:15" outlineLevel="2" x14ac:dyDescent="0.35">
      <c r="A183" t="s">
        <v>89</v>
      </c>
      <c r="D183" s="22">
        <f ca="1">D176</f>
        <v>45530</v>
      </c>
      <c r="E183" s="22">
        <f>D177</f>
        <v>45656.791666666664</v>
      </c>
      <c r="F183" s="27">
        <f>DATE(YEAR($D$177) + F184, MONTH($D$177), DAY($D$177))</f>
        <v>46021</v>
      </c>
      <c r="G183" s="27">
        <f>DATE(YEAR($D$177) + G184, MONTH($D$177), DAY($D$177))</f>
        <v>46386</v>
      </c>
      <c r="H183" s="27">
        <f>DATE(YEAR($D$177) + H184, MONTH($D$177), DAY($D$177))</f>
        <v>46751</v>
      </c>
      <c r="I183" s="27">
        <f>DATE(YEAR($D$177) + I184, MONTH($D$177), DAY($D$177))</f>
        <v>47117</v>
      </c>
      <c r="J183" s="22">
        <f>I183</f>
        <v>47117</v>
      </c>
      <c r="L183" s="48" t="s">
        <v>103</v>
      </c>
      <c r="N183" s="35">
        <f>I194/(D172-D173)</f>
        <v>13532515961.7826</v>
      </c>
    </row>
    <row r="184" spans="1:15" outlineLevel="2" x14ac:dyDescent="0.35">
      <c r="A184" t="s">
        <v>90</v>
      </c>
      <c r="E184" s="8">
        <v>0</v>
      </c>
      <c r="F184" s="10">
        <v>1</v>
      </c>
      <c r="G184" s="10">
        <v>2</v>
      </c>
      <c r="H184" s="10">
        <v>3</v>
      </c>
      <c r="I184" s="10">
        <v>4</v>
      </c>
      <c r="L184" s="48" t="s">
        <v>104</v>
      </c>
      <c r="N184" s="40">
        <f>(I189+I191)*D175</f>
        <v>35506044400.42289</v>
      </c>
      <c r="O184" s="41"/>
    </row>
    <row r="185" spans="1:15" outlineLevel="2" x14ac:dyDescent="0.35">
      <c r="A185" t="s">
        <v>91</v>
      </c>
      <c r="E185" s="26">
        <f ca="1">(E183-D183)/365</f>
        <v>0.34737442922373762</v>
      </c>
      <c r="F185" s="136">
        <f>(F183-E183)/365</f>
        <v>0.9978310502283172</v>
      </c>
      <c r="G185" s="136">
        <f>(G183-F183)/365</f>
        <v>1</v>
      </c>
      <c r="H185" s="136">
        <f>(H183-G183)/365</f>
        <v>1</v>
      </c>
      <c r="I185" s="136">
        <f>(I183-H183)/365</f>
        <v>1.0027397260273974</v>
      </c>
      <c r="L185" s="48" t="s">
        <v>105</v>
      </c>
      <c r="N185" s="35">
        <f>AVERAGE(N183:N184)</f>
        <v>24519280181.102745</v>
      </c>
      <c r="O185" s="76">
        <f>(N183+N184)/2</f>
        <v>24519280181.102745</v>
      </c>
    </row>
    <row r="186" spans="1:15" outlineLevel="2" x14ac:dyDescent="0.35">
      <c r="A186" s="51" t="s">
        <v>632</v>
      </c>
      <c r="E186" s="10">
        <f>I31</f>
        <v>5268925489.7088833</v>
      </c>
      <c r="F186" s="10">
        <f>J31</f>
        <v>5511910026.3261881</v>
      </c>
      <c r="G186" s="10">
        <f>K31</f>
        <v>5748124801.3234415</v>
      </c>
      <c r="H186" s="10">
        <f>L31</f>
        <v>5975716936.1490345</v>
      </c>
      <c r="I186" s="10">
        <f>M31</f>
        <v>6173344539.2040434</v>
      </c>
      <c r="L186" s="48"/>
      <c r="N186" s="76"/>
      <c r="O186" t="b">
        <f>O185=N185</f>
        <v>1</v>
      </c>
    </row>
    <row r="187" spans="1:15" outlineLevel="2" x14ac:dyDescent="0.35">
      <c r="A187" s="51" t="s">
        <v>556</v>
      </c>
      <c r="E187" s="10">
        <f>I41</f>
        <v>1170312785.9328003</v>
      </c>
      <c r="F187" s="10">
        <f>J41</f>
        <v>1224716645.4515326</v>
      </c>
      <c r="G187" s="10">
        <f>K41</f>
        <v>1277604765.8813503</v>
      </c>
      <c r="H187" s="10">
        <f>L41</f>
        <v>1319170860.9984524</v>
      </c>
      <c r="I187" s="10">
        <f>M41</f>
        <v>1363419373.6952178</v>
      </c>
      <c r="J187" t="s">
        <v>136</v>
      </c>
      <c r="L187" s="10"/>
    </row>
    <row r="188" spans="1:15" outlineLevel="2" x14ac:dyDescent="0.35">
      <c r="A188" s="51" t="s">
        <v>31</v>
      </c>
      <c r="E188" s="13">
        <f>I164</f>
        <v>9391429.6002880801</v>
      </c>
      <c r="F188" s="13">
        <f>J164</f>
        <v>9391429.6002880801</v>
      </c>
      <c r="G188" s="13">
        <f>K164</f>
        <v>9391429.6002880801</v>
      </c>
      <c r="H188" s="13">
        <f>L164</f>
        <v>18782859.20057616</v>
      </c>
      <c r="I188" s="13">
        <f>M164</f>
        <v>18782859.20057616</v>
      </c>
      <c r="J188" t="s">
        <v>133</v>
      </c>
      <c r="L188" s="10"/>
    </row>
    <row r="189" spans="1:15" outlineLevel="2" x14ac:dyDescent="0.35">
      <c r="A189" s="51" t="s">
        <v>557</v>
      </c>
      <c r="E189" s="17">
        <f>E187+E188</f>
        <v>1179704215.5330884</v>
      </c>
      <c r="F189" s="17">
        <f>F187+F188</f>
        <v>1234108075.0518208</v>
      </c>
      <c r="G189" s="17">
        <f>G187+G188</f>
        <v>1286996195.4816384</v>
      </c>
      <c r="H189" s="17">
        <f>H187+H188</f>
        <v>1337953720.1990285</v>
      </c>
      <c r="I189" s="17">
        <f>I187+I188</f>
        <v>1382202232.8957939</v>
      </c>
      <c r="L189" s="10"/>
    </row>
    <row r="190" spans="1:15" outlineLevel="2" x14ac:dyDescent="0.35">
      <c r="A190" s="51" t="s">
        <v>95</v>
      </c>
      <c r="E190" s="17">
        <f>E189*$D$169</f>
        <v>262748146.77433771</v>
      </c>
      <c r="F190" s="17">
        <f>F189*$D$169</f>
        <v>274865178.38082296</v>
      </c>
      <c r="G190" s="17">
        <f>G189*$D$169</f>
        <v>286644618.89340359</v>
      </c>
      <c r="H190" s="17">
        <f>H189*$D$169</f>
        <v>297994069.8891784</v>
      </c>
      <c r="I190" s="17">
        <f>I189*$D$169</f>
        <v>307849264.56892461</v>
      </c>
      <c r="L190" s="10"/>
    </row>
    <row r="191" spans="1:15" outlineLevel="2" x14ac:dyDescent="0.35">
      <c r="A191" s="51" t="s">
        <v>96</v>
      </c>
      <c r="E191" s="10">
        <f>I38</f>
        <v>110199442.25339426</v>
      </c>
      <c r="F191" s="10">
        <f>J38</f>
        <v>115281457.64035049</v>
      </c>
      <c r="G191" s="10">
        <f>K38</f>
        <v>120221883.63566032</v>
      </c>
      <c r="H191" s="10">
        <f>L38</f>
        <v>124981967.33166745</v>
      </c>
      <c r="I191" s="10">
        <f>M38</f>
        <v>129115343.60982403</v>
      </c>
      <c r="J191" t="s">
        <v>133</v>
      </c>
      <c r="L191" s="10"/>
    </row>
    <row r="192" spans="1:15" outlineLevel="2" x14ac:dyDescent="0.35">
      <c r="A192" s="51" t="s">
        <v>97</v>
      </c>
      <c r="E192" s="10">
        <f>E186*I20</f>
        <v>49403262.825371265</v>
      </c>
      <c r="F192" s="10">
        <f>F186*J20</f>
        <v>51681569.654430076</v>
      </c>
      <c r="G192" s="10">
        <f>G186*K20</f>
        <v>53896400.863415346</v>
      </c>
      <c r="H192" s="10">
        <f>H186*L20</f>
        <v>56030383.223905578</v>
      </c>
      <c r="I192" s="10">
        <f>I186*M20</f>
        <v>57883407.798715837</v>
      </c>
      <c r="J192" t="s">
        <v>133</v>
      </c>
      <c r="L192" s="10"/>
    </row>
    <row r="193" spans="1:14" outlineLevel="2" x14ac:dyDescent="0.35">
      <c r="A193" t="s">
        <v>98</v>
      </c>
      <c r="E193" s="13">
        <f>AVERAGE(F193:I193)</f>
        <v>13289589.200949609</v>
      </c>
      <c r="F193" s="13">
        <f>J150</f>
        <v>14281718.969230413</v>
      </c>
      <c r="G193" s="13">
        <f>K150</f>
        <v>13883817.792915702</v>
      </c>
      <c r="H193" s="13">
        <f>L150</f>
        <v>13377011.370504022</v>
      </c>
      <c r="I193" s="13">
        <f>M150</f>
        <v>11615808.6711483</v>
      </c>
      <c r="J193" t="s">
        <v>133</v>
      </c>
      <c r="L193" s="10"/>
    </row>
    <row r="194" spans="1:14" outlineLevel="2" x14ac:dyDescent="0.35">
      <c r="A194" t="s">
        <v>99</v>
      </c>
      <c r="E194" s="10">
        <f>E189-E190+E191-E192-E193</f>
        <v>964462658.98582411</v>
      </c>
      <c r="F194" s="10">
        <f>F189-F190+F191-F192-F193</f>
        <v>1008561065.687688</v>
      </c>
      <c r="G194" s="10">
        <f>G189-G190+G191-G192-G193</f>
        <v>1052793241.5675642</v>
      </c>
      <c r="H194" s="10">
        <f>H189-H190+H191-H192-H193</f>
        <v>1095534223.0471082</v>
      </c>
      <c r="I194" s="10">
        <f>I189-I190+I191-I192-I193</f>
        <v>1133969095.4668291</v>
      </c>
      <c r="L194" s="10"/>
    </row>
    <row r="195" spans="1:14" outlineLevel="2" x14ac:dyDescent="0.35">
      <c r="A195" t="s">
        <v>100</v>
      </c>
      <c r="D195" s="40">
        <f>-H203</f>
        <v>-29155353920</v>
      </c>
      <c r="E195" s="13"/>
      <c r="F195" s="13"/>
      <c r="G195" s="13"/>
      <c r="H195" s="13"/>
      <c r="I195" s="13"/>
      <c r="J195" s="13">
        <f>N185</f>
        <v>24519280181.102745</v>
      </c>
      <c r="L195" s="10"/>
    </row>
    <row r="196" spans="1:14" outlineLevel="2" x14ac:dyDescent="0.35">
      <c r="A196" t="s">
        <v>101</v>
      </c>
      <c r="D196" s="35">
        <f>D195</f>
        <v>-29155353920</v>
      </c>
      <c r="E196" s="10">
        <f ca="1">(E195+E194)*E185</f>
        <v>335029665.67280895</v>
      </c>
      <c r="F196" s="10">
        <f>(F195+F194)*F185</f>
        <v>1006373547.3945365</v>
      </c>
      <c r="G196" s="10">
        <f>(G195+G194)*G185</f>
        <v>1052793241.5675642</v>
      </c>
      <c r="H196" s="10">
        <f>(H195+H194)*H185</f>
        <v>1095534223.0471082</v>
      </c>
      <c r="I196" s="10">
        <f>(I195+I194)*I185</f>
        <v>1137075860.1119437</v>
      </c>
      <c r="J196" s="10">
        <f>J195+J194</f>
        <v>24519280181.102745</v>
      </c>
      <c r="L196" s="10"/>
      <c r="N196" s="42"/>
    </row>
    <row r="197" spans="1:14" outlineLevel="2" x14ac:dyDescent="0.35">
      <c r="L197" s="10"/>
    </row>
    <row r="198" spans="1:14" outlineLevel="1" x14ac:dyDescent="0.35">
      <c r="L198" s="10"/>
      <c r="M198" s="10"/>
    </row>
    <row r="199" spans="1:14" outlineLevel="1" x14ac:dyDescent="0.35">
      <c r="A199" s="32" t="s">
        <v>106</v>
      </c>
      <c r="B199" s="32"/>
      <c r="C199" s="32"/>
      <c r="D199" s="32"/>
      <c r="F199" s="32" t="s">
        <v>112</v>
      </c>
      <c r="G199" s="32"/>
      <c r="H199" s="32"/>
      <c r="I199"/>
      <c r="J199" s="32" t="s">
        <v>116</v>
      </c>
      <c r="K199" s="32"/>
      <c r="L199" s="32"/>
    </row>
    <row r="200" spans="1:14" outlineLevel="1" x14ac:dyDescent="0.35">
      <c r="A200" t="s">
        <v>107</v>
      </c>
      <c r="D200" s="48">
        <f ca="1">IFERROR(XNPV(D172,E196:J196,E183:J183),"")</f>
        <v>19589975540.420448</v>
      </c>
      <c r="E200" s="139">
        <f ca="1">D200/H42</f>
        <v>16.150021055581572</v>
      </c>
      <c r="F200" s="48" t="s">
        <v>113</v>
      </c>
      <c r="G200" s="48"/>
      <c r="H200" s="48">
        <f>SUMIFS(MetaData[marketCap],MetaData[Ticker],$B$1)</f>
        <v>27421353984</v>
      </c>
      <c r="I200" s="48"/>
      <c r="J200" s="48" t="s">
        <v>117</v>
      </c>
      <c r="K200" s="48"/>
      <c r="L200" s="140">
        <f ca="1">IFERROR(D205/H205-1,"-")</f>
        <v>-0.34882954303280655</v>
      </c>
    </row>
    <row r="201" spans="1:14" outlineLevel="1" x14ac:dyDescent="0.35">
      <c r="A201" t="s">
        <v>108</v>
      </c>
      <c r="D201" s="35">
        <f>SUMIFS(MetaData[totalCash],MetaData[Ticker],$B$1)</f>
        <v>1043000000</v>
      </c>
      <c r="E201" s="141" t="s">
        <v>138</v>
      </c>
      <c r="F201" s="48" t="s">
        <v>114</v>
      </c>
      <c r="G201" s="48"/>
      <c r="H201" s="48">
        <f>SUMIFS(MetaData[totalDebt],MetaData[Ticker],$B$1)</f>
        <v>2776999936</v>
      </c>
      <c r="I201" s="141" t="s">
        <v>137</v>
      </c>
      <c r="J201" s="48" t="s">
        <v>118</v>
      </c>
      <c r="K201" s="48"/>
      <c r="L201" s="140">
        <f ca="1">IFERROR(XIRR(D196:J196,D183:J183),"-")</f>
        <v>-7.7757239341735864E-5</v>
      </c>
    </row>
    <row r="202" spans="1:14" outlineLevel="1" x14ac:dyDescent="0.35">
      <c r="A202" t="s">
        <v>109</v>
      </c>
      <c r="D202" s="40">
        <f>SUMIFS(MetaData[totalDebt],MetaData[Ticker],$B$1)</f>
        <v>2776999936</v>
      </c>
      <c r="E202" s="141" t="s">
        <v>137</v>
      </c>
      <c r="F202" s="48" t="s">
        <v>115</v>
      </c>
      <c r="G202" s="48"/>
      <c r="H202" s="115">
        <f>SUMIFS(MetaData[totalCash],MetaData[Ticker],$B$1)</f>
        <v>1043000000</v>
      </c>
      <c r="I202" s="141" t="s">
        <v>138</v>
      </c>
      <c r="J202" s="48"/>
      <c r="K202" s="48"/>
      <c r="L202" s="48"/>
    </row>
    <row r="203" spans="1:14" outlineLevel="1" x14ac:dyDescent="0.35">
      <c r="A203" t="s">
        <v>110</v>
      </c>
      <c r="D203" s="35">
        <f ca="1">D200+D201-D202</f>
        <v>17855975604.420448</v>
      </c>
      <c r="E203" s="48"/>
      <c r="F203" s="48" t="s">
        <v>107</v>
      </c>
      <c r="G203" s="48"/>
      <c r="H203" s="48">
        <f>H200+H201-H202</f>
        <v>29155353920</v>
      </c>
      <c r="I203" s="48">
        <f>H203/H42</f>
        <v>24.035741071723002</v>
      </c>
      <c r="J203" s="48"/>
      <c r="K203" s="48"/>
      <c r="L203" s="48"/>
      <c r="M203" s="10"/>
    </row>
    <row r="204" spans="1:14" outlineLevel="1" x14ac:dyDescent="0.35">
      <c r="E204" s="48"/>
      <c r="F204" s="48"/>
      <c r="G204" s="48"/>
      <c r="H204" s="48"/>
      <c r="I204" s="48"/>
      <c r="J204" s="48"/>
      <c r="K204" s="48"/>
      <c r="L204" s="48"/>
      <c r="M204" s="10"/>
    </row>
    <row r="205" spans="1:14" outlineLevel="1" x14ac:dyDescent="0.35">
      <c r="A205" t="s">
        <v>111</v>
      </c>
      <c r="D205" s="143">
        <f ca="1">D203/D179</f>
        <v>72.26038867700683</v>
      </c>
      <c r="E205" s="48"/>
      <c r="F205" t="s">
        <v>496</v>
      </c>
      <c r="G205" s="48"/>
      <c r="H205" s="142">
        <f>H200/D179</f>
        <v>110.97000471052908</v>
      </c>
      <c r="I205" s="48"/>
      <c r="J205" s="48"/>
      <c r="K205" s="48"/>
      <c r="L205" s="48"/>
      <c r="M205" s="10"/>
    </row>
    <row r="206" spans="1:14" outlineLevel="1" x14ac:dyDescent="0.35">
      <c r="L206" s="10"/>
    </row>
    <row r="207" spans="1:14" x14ac:dyDescent="0.35">
      <c r="G207" s="10" t="s">
        <v>637</v>
      </c>
      <c r="L207" s="10"/>
    </row>
    <row r="208" spans="1:14" x14ac:dyDescent="0.35">
      <c r="A208" s="2" t="s">
        <v>10</v>
      </c>
      <c r="B208" s="2"/>
      <c r="C208" s="2"/>
      <c r="D208" s="2"/>
      <c r="E208" s="11"/>
      <c r="F208" s="11"/>
      <c r="G208" s="11"/>
      <c r="H208" s="11"/>
      <c r="I208" s="11"/>
      <c r="J208" s="11"/>
      <c r="K208" s="11"/>
      <c r="L208" s="11"/>
      <c r="M208" s="11"/>
    </row>
  </sheetData>
  <mergeCells count="4">
    <mergeCell ref="E1:H1"/>
    <mergeCell ref="I1:M1"/>
    <mergeCell ref="A2:D2"/>
    <mergeCell ref="B1:D1"/>
  </mergeCells>
  <conditionalFormatting sqref="E3:H3">
    <cfRule type="containsText" dxfId="12" priority="3" operator="containsText" text="TRUE">
      <formula>NOT(ISERROR(SEARCH("TRUE",E3)))</formula>
    </cfRule>
    <cfRule type="containsText" dxfId="11" priority="4" operator="containsText" text="FALSE">
      <formula>NOT(ISERROR(SEARCH("FALSE",E3)))</formula>
    </cfRule>
  </conditionalFormatting>
  <conditionalFormatting sqref="H205">
    <cfRule type="expression" dxfId="10" priority="1">
      <formula>H205&gt;=D205</formula>
    </cfRule>
    <cfRule type="expression" dxfId="9" priority="2">
      <formula>H205&lt;D205</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3D628A5-4719-4B5D-934F-58DC830A243A}">
          <x14:formula1>
            <xm:f>Tickers!$A$2:$A$10</xm:f>
          </x14:formula1>
          <xm:sqref>B1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B7D5-A0D5-448E-8570-3947420F31FC}">
  <sheetPr>
    <tabColor theme="7" tint="0.79998168889431442"/>
  </sheetPr>
  <dimension ref="A1:CB74"/>
  <sheetViews>
    <sheetView showGridLines="0" workbookViewId="0">
      <pane xSplit="4" ySplit="1" topLeftCell="K2" activePane="bottomRight" state="frozen"/>
      <selection pane="topRight" activeCell="E1" sqref="E1"/>
      <selection pane="bottomLeft" activeCell="A2" sqref="A2"/>
      <selection pane="bottomRight" activeCell="M6" sqref="M6"/>
    </sheetView>
  </sheetViews>
  <sheetFormatPr defaultRowHeight="14.5" x14ac:dyDescent="0.35"/>
  <cols>
    <col min="1" max="1" width="13.453125" bestFit="1" customWidth="1"/>
    <col min="2" max="2" width="10.90625" bestFit="1" customWidth="1"/>
    <col min="3" max="3" width="6.81640625" bestFit="1" customWidth="1"/>
    <col min="4" max="4" width="12.54296875" customWidth="1"/>
    <col min="5" max="5" width="14.54296875" customWidth="1"/>
    <col min="6" max="6" width="25.08984375" customWidth="1"/>
    <col min="7" max="7" width="21" customWidth="1"/>
    <col min="8" max="8" width="11.54296875" style="76" customWidth="1"/>
    <col min="9" max="9" width="17.36328125" customWidth="1"/>
    <col min="10" max="10" width="50.08984375" customWidth="1"/>
    <col min="11" max="11" width="46.81640625" customWidth="1"/>
    <col min="12" max="12" width="22.90625" customWidth="1"/>
    <col min="13" max="13" width="13.453125" customWidth="1"/>
    <col min="14" max="14" width="33.1796875" customWidth="1"/>
    <col min="15" max="16" width="15.54296875" bestFit="1" customWidth="1"/>
    <col min="17" max="17" width="36.1796875" customWidth="1"/>
    <col min="18" max="18" width="23.453125" customWidth="1"/>
    <col min="19" max="19" width="22.81640625" customWidth="1"/>
    <col min="20" max="20" width="33.90625" customWidth="1"/>
    <col min="21" max="21" width="15.54296875" bestFit="1" customWidth="1"/>
    <col min="22" max="22" width="18" customWidth="1"/>
    <col min="23" max="23" width="30.08984375" customWidth="1"/>
    <col min="24" max="24" width="17.26953125" customWidth="1"/>
    <col min="25" max="25" width="29.36328125" customWidth="1"/>
    <col min="26" max="26" width="19.08984375" customWidth="1"/>
    <col min="27" max="27" width="14.54296875" customWidth="1"/>
    <col min="28" max="28" width="32.453125" customWidth="1"/>
    <col min="29" max="29" width="33" customWidth="1"/>
    <col min="30" max="30" width="50.7265625" customWidth="1"/>
    <col min="31" max="31" width="53.26953125" customWidth="1"/>
    <col min="32" max="32" width="41.54296875" customWidth="1"/>
    <col min="33" max="33" width="20.36328125" customWidth="1"/>
    <col min="34" max="34" width="39.453125" customWidth="1"/>
    <col min="35" max="35" width="20.1796875" customWidth="1"/>
    <col min="36" max="36" width="20.26953125" customWidth="1"/>
    <col min="37" max="37" width="19.81640625" customWidth="1"/>
    <col min="38" max="38" width="19" customWidth="1"/>
    <col min="39" max="39" width="20.08984375" customWidth="1"/>
    <col min="40" max="40" width="14.90625" customWidth="1"/>
    <col min="41" max="41" width="22.54296875" customWidth="1"/>
    <col min="42" max="42" width="35.453125" customWidth="1"/>
    <col min="43" max="43" width="25.6328125" customWidth="1"/>
    <col min="44" max="44" width="34.6328125" customWidth="1"/>
    <col min="45" max="45" width="16.08984375" customWidth="1"/>
    <col min="46" max="46" width="26.453125" bestFit="1" customWidth="1"/>
    <col min="47" max="47" width="24.26953125" bestFit="1" customWidth="1"/>
    <col min="48" max="48" width="26.81640625" bestFit="1" customWidth="1"/>
    <col min="49" max="49" width="28.90625" bestFit="1" customWidth="1"/>
    <col min="50" max="50" width="32.54296875" bestFit="1" customWidth="1"/>
    <col min="51" max="51" width="23.08984375" bestFit="1" customWidth="1"/>
    <col min="52" max="52" width="25.90625" bestFit="1" customWidth="1"/>
    <col min="53" max="53" width="15" bestFit="1" customWidth="1"/>
    <col min="54" max="54" width="18.08984375" bestFit="1" customWidth="1"/>
    <col min="55" max="55" width="16.453125" bestFit="1" customWidth="1"/>
    <col min="56" max="56" width="33.453125" bestFit="1" customWidth="1"/>
    <col min="57" max="57" width="15.90625" bestFit="1" customWidth="1"/>
    <col min="58" max="58" width="20.36328125" bestFit="1" customWidth="1"/>
    <col min="59" max="59" width="35.90625" bestFit="1" customWidth="1"/>
    <col min="60" max="60" width="14.54296875" bestFit="1" customWidth="1"/>
    <col min="61" max="61" width="35.26953125" bestFit="1" customWidth="1"/>
    <col min="62" max="62" width="22.26953125" bestFit="1" customWidth="1"/>
    <col min="63" max="63" width="22.54296875" bestFit="1" customWidth="1"/>
    <col min="64" max="64" width="28.08984375" bestFit="1" customWidth="1"/>
    <col min="65" max="65" width="27.81640625" bestFit="1" customWidth="1"/>
    <col min="66" max="66" width="25.36328125" bestFit="1" customWidth="1"/>
    <col min="67" max="67" width="15.453125" bestFit="1" customWidth="1"/>
    <col min="68" max="68" width="42.1796875" bestFit="1" customWidth="1"/>
    <col min="69" max="69" width="21.81640625" bestFit="1" customWidth="1"/>
    <col min="70" max="70" width="14" bestFit="1" customWidth="1"/>
    <col min="71" max="71" width="26.54296875" bestFit="1" customWidth="1"/>
    <col min="72" max="72" width="29.1796875" bestFit="1" customWidth="1"/>
    <col min="73" max="73" width="36" bestFit="1" customWidth="1"/>
    <col min="74" max="74" width="19.36328125" bestFit="1" customWidth="1"/>
    <col min="75" max="75" width="30.26953125" bestFit="1" customWidth="1"/>
    <col min="76" max="76" width="10.6328125" bestFit="1" customWidth="1"/>
    <col min="77" max="77" width="19.81640625" bestFit="1" customWidth="1"/>
    <col min="78" max="78" width="22" bestFit="1" customWidth="1"/>
    <col min="79" max="79" width="27" bestFit="1" customWidth="1"/>
    <col min="80" max="80" width="8.08984375" bestFit="1" customWidth="1"/>
    <col min="81" max="81" width="27" bestFit="1" customWidth="1"/>
    <col min="82" max="82" width="8.08984375" customWidth="1"/>
    <col min="83" max="83" width="22" bestFit="1" customWidth="1"/>
    <col min="84" max="84" width="27" bestFit="1" customWidth="1"/>
    <col min="85" max="85" width="8.08984375" customWidth="1"/>
    <col min="86" max="86" width="27" bestFit="1" customWidth="1"/>
    <col min="87" max="87" width="8.08984375" customWidth="1"/>
    <col min="88" max="88" width="8.08984375" bestFit="1" customWidth="1"/>
    <col min="89" max="89" width="10.7265625" bestFit="1" customWidth="1"/>
    <col min="90" max="90" width="23.26953125" bestFit="1" customWidth="1"/>
    <col min="91" max="91" width="8.1796875" bestFit="1" customWidth="1"/>
    <col min="92" max="92" width="8.08984375" bestFit="1" customWidth="1"/>
    <col min="93" max="93" width="8.08984375" customWidth="1"/>
    <col min="94" max="94" width="8.1796875" bestFit="1" customWidth="1"/>
    <col min="95" max="95" width="8.36328125" bestFit="1" customWidth="1"/>
  </cols>
  <sheetData>
    <row r="1" spans="1:80" x14ac:dyDescent="0.35">
      <c r="A1" t="s">
        <v>139</v>
      </c>
      <c r="B1" t="s">
        <v>140</v>
      </c>
      <c r="C1" t="s">
        <v>476</v>
      </c>
      <c r="D1" t="s">
        <v>141</v>
      </c>
      <c r="E1" t="s">
        <v>142</v>
      </c>
      <c r="F1" s="10" t="s">
        <v>143</v>
      </c>
      <c r="G1" s="10" t="s">
        <v>144</v>
      </c>
      <c r="H1" s="41" t="s">
        <v>145</v>
      </c>
      <c r="I1" s="10" t="s">
        <v>146</v>
      </c>
      <c r="J1" s="10" t="s">
        <v>147</v>
      </c>
      <c r="K1" s="10" t="s">
        <v>148</v>
      </c>
      <c r="L1" s="10" t="s">
        <v>149</v>
      </c>
      <c r="M1" s="10" t="s">
        <v>150</v>
      </c>
      <c r="N1" s="10" t="s">
        <v>151</v>
      </c>
      <c r="O1" s="10" t="s">
        <v>94</v>
      </c>
      <c r="P1" s="10" t="s">
        <v>152</v>
      </c>
      <c r="Q1" s="10" t="s">
        <v>153</v>
      </c>
      <c r="R1" s="10" t="s">
        <v>154</v>
      </c>
      <c r="S1" s="10" t="s">
        <v>155</v>
      </c>
      <c r="T1" s="10" t="s">
        <v>156</v>
      </c>
      <c r="U1" s="10" t="s">
        <v>157</v>
      </c>
      <c r="V1" s="10" t="s">
        <v>158</v>
      </c>
      <c r="W1" s="10" t="s">
        <v>159</v>
      </c>
      <c r="X1" s="10" t="s">
        <v>160</v>
      </c>
      <c r="Y1" s="10" t="s">
        <v>161</v>
      </c>
      <c r="Z1" s="10" t="s">
        <v>162</v>
      </c>
      <c r="AA1" s="10" t="s">
        <v>163</v>
      </c>
      <c r="AB1" s="10" t="s">
        <v>164</v>
      </c>
      <c r="AC1" s="10" t="s">
        <v>165</v>
      </c>
      <c r="AD1" s="10" t="s">
        <v>166</v>
      </c>
      <c r="AE1" s="10" t="s">
        <v>167</v>
      </c>
      <c r="AF1" s="10" t="s">
        <v>168</v>
      </c>
      <c r="AG1" s="10" t="s">
        <v>169</v>
      </c>
      <c r="AH1" s="10" t="s">
        <v>170</v>
      </c>
      <c r="AI1" s="10" t="s">
        <v>171</v>
      </c>
      <c r="AJ1" s="10" t="s">
        <v>172</v>
      </c>
      <c r="AK1" s="10" t="s">
        <v>173</v>
      </c>
      <c r="AL1" s="10" t="s">
        <v>174</v>
      </c>
      <c r="AM1" s="10" t="s">
        <v>175</v>
      </c>
      <c r="AN1" s="10" t="s">
        <v>176</v>
      </c>
      <c r="AO1" s="10" t="s">
        <v>177</v>
      </c>
      <c r="AP1" s="10" t="s">
        <v>178</v>
      </c>
      <c r="AQ1" s="10" t="s">
        <v>179</v>
      </c>
      <c r="AR1" s="10" t="s">
        <v>180</v>
      </c>
      <c r="AS1" s="10" t="s">
        <v>181</v>
      </c>
      <c r="AT1" s="10" t="s">
        <v>182</v>
      </c>
      <c r="AU1" s="10" t="s">
        <v>183</v>
      </c>
      <c r="AV1" s="10" t="s">
        <v>184</v>
      </c>
      <c r="AW1" s="10" t="s">
        <v>185</v>
      </c>
      <c r="AX1" s="10" t="s">
        <v>186</v>
      </c>
      <c r="AY1" s="10" t="s">
        <v>187</v>
      </c>
      <c r="AZ1" s="10" t="s">
        <v>188</v>
      </c>
      <c r="BA1" s="10" t="s">
        <v>189</v>
      </c>
      <c r="BB1" s="10" t="s">
        <v>190</v>
      </c>
      <c r="BC1" s="10" t="s">
        <v>191</v>
      </c>
      <c r="BD1" s="10" t="s">
        <v>192</v>
      </c>
      <c r="BE1" s="10" t="s">
        <v>193</v>
      </c>
      <c r="BF1" s="10" t="s">
        <v>194</v>
      </c>
      <c r="BG1" s="10" t="s">
        <v>195</v>
      </c>
      <c r="BH1" s="10" t="s">
        <v>196</v>
      </c>
      <c r="BI1" s="10" t="s">
        <v>197</v>
      </c>
      <c r="BJ1" t="s">
        <v>643</v>
      </c>
      <c r="BK1" t="s">
        <v>614</v>
      </c>
      <c r="BL1" s="10" t="s">
        <v>198</v>
      </c>
      <c r="BM1" s="10" t="s">
        <v>199</v>
      </c>
      <c r="BN1" s="10" t="s">
        <v>200</v>
      </c>
      <c r="BO1" s="10" t="s">
        <v>201</v>
      </c>
      <c r="BP1" s="10" t="s">
        <v>202</v>
      </c>
      <c r="BQ1" s="10" t="s">
        <v>203</v>
      </c>
      <c r="BR1" s="10" t="s">
        <v>204</v>
      </c>
      <c r="BS1" t="s">
        <v>644</v>
      </c>
      <c r="BT1" t="s">
        <v>611</v>
      </c>
      <c r="BU1" s="10" t="s">
        <v>205</v>
      </c>
      <c r="BV1" s="10" t="s">
        <v>206</v>
      </c>
      <c r="BW1" s="10" t="s">
        <v>207</v>
      </c>
      <c r="BX1" t="s">
        <v>628</v>
      </c>
      <c r="BY1" s="10" t="s">
        <v>208</v>
      </c>
      <c r="BZ1" s="10" t="s">
        <v>209</v>
      </c>
      <c r="CA1" s="10" t="s">
        <v>210</v>
      </c>
      <c r="CB1" t="s">
        <v>211</v>
      </c>
    </row>
    <row r="2" spans="1:80" hidden="1" x14ac:dyDescent="0.35">
      <c r="A2" t="s">
        <v>645</v>
      </c>
      <c r="B2" s="22">
        <v>44196</v>
      </c>
      <c r="C2">
        <v>2020</v>
      </c>
      <c r="D2" t="s">
        <v>212</v>
      </c>
      <c r="E2" t="s">
        <v>213</v>
      </c>
      <c r="F2" s="10"/>
      <c r="G2" s="10">
        <v>244500000</v>
      </c>
      <c r="H2" s="41">
        <v>2.9611450000000001</v>
      </c>
      <c r="I2" s="10">
        <v>1838000000</v>
      </c>
      <c r="J2" s="10"/>
      <c r="K2" s="10"/>
      <c r="L2" s="10">
        <v>246700000</v>
      </c>
      <c r="M2" s="10">
        <v>2.934739</v>
      </c>
      <c r="N2" s="10">
        <v>724000000</v>
      </c>
      <c r="O2" s="10">
        <v>951000000</v>
      </c>
      <c r="P2" s="10">
        <v>1061000000</v>
      </c>
      <c r="Q2" s="10"/>
      <c r="R2" s="10"/>
      <c r="S2" s="10"/>
      <c r="T2" s="10"/>
      <c r="U2" s="10">
        <v>2510000000</v>
      </c>
      <c r="V2" s="10"/>
      <c r="W2" s="10"/>
      <c r="X2" s="10"/>
      <c r="Y2" s="10"/>
      <c r="Z2" s="10"/>
      <c r="AA2" s="10">
        <v>724000000</v>
      </c>
      <c r="AB2" s="10">
        <v>724000000</v>
      </c>
      <c r="AC2" s="10">
        <v>724000000</v>
      </c>
      <c r="AD2" s="10">
        <v>724000000</v>
      </c>
      <c r="AE2" s="10">
        <v>724000000</v>
      </c>
      <c r="AF2" s="10">
        <v>724000000</v>
      </c>
      <c r="AG2" s="10"/>
      <c r="AH2" s="10"/>
      <c r="AI2" s="10">
        <v>1061000000</v>
      </c>
      <c r="AJ2" s="10">
        <v>724000000</v>
      </c>
      <c r="AK2" s="10">
        <v>1559000000</v>
      </c>
      <c r="AL2" s="10">
        <v>951000000</v>
      </c>
      <c r="AM2" s="10">
        <v>4348000000</v>
      </c>
      <c r="AN2" s="10"/>
      <c r="AO2" s="10">
        <v>-1000000</v>
      </c>
      <c r="AP2" s="10">
        <v>-1000000</v>
      </c>
      <c r="AQ2" s="10"/>
      <c r="AR2" s="10"/>
      <c r="AS2" s="10">
        <v>950000000</v>
      </c>
      <c r="AT2" s="10">
        <v>1838000000</v>
      </c>
      <c r="AU2" s="10">
        <v>110000000</v>
      </c>
      <c r="AV2" s="10">
        <v>219000000</v>
      </c>
      <c r="AW2" s="10"/>
      <c r="AX2" s="10">
        <v>1340000000</v>
      </c>
      <c r="AY2" s="10"/>
      <c r="AZ2" s="10">
        <v>0</v>
      </c>
      <c r="BA2" s="10">
        <v>226000000</v>
      </c>
      <c r="BB2" s="10">
        <v>0.237895</v>
      </c>
      <c r="BC2" s="10">
        <v>3397000000</v>
      </c>
      <c r="BD2" s="10">
        <v>951000000</v>
      </c>
      <c r="BE2" s="10">
        <v>4348000000</v>
      </c>
      <c r="BF2" s="10"/>
      <c r="BG2" s="10"/>
      <c r="BH2" s="10"/>
      <c r="BI2" s="10"/>
      <c r="BK2" s="41"/>
      <c r="BL2" s="10"/>
      <c r="BM2" s="10"/>
      <c r="BN2" s="10"/>
      <c r="BO2" s="10"/>
      <c r="BP2" s="10"/>
      <c r="BQ2" s="10"/>
      <c r="BR2" s="10"/>
      <c r="BT2" s="41"/>
      <c r="BU2" s="10"/>
      <c r="BV2" s="10"/>
      <c r="BW2" s="10"/>
      <c r="BX2" s="41">
        <v>2020</v>
      </c>
      <c r="BY2" s="10"/>
      <c r="BZ2" s="10"/>
      <c r="CA2" s="10"/>
      <c r="CB2" t="s">
        <v>646</v>
      </c>
    </row>
    <row r="3" spans="1:80" hidden="1" x14ac:dyDescent="0.35">
      <c r="A3" t="s">
        <v>645</v>
      </c>
      <c r="B3" s="22">
        <v>44561</v>
      </c>
      <c r="C3">
        <v>2021</v>
      </c>
      <c r="D3" t="s">
        <v>212</v>
      </c>
      <c r="E3" t="s">
        <v>213</v>
      </c>
      <c r="F3" s="10"/>
      <c r="G3" s="10">
        <v>244500000</v>
      </c>
      <c r="H3" s="41">
        <v>3.5214720000000002</v>
      </c>
      <c r="I3" s="10">
        <v>1987000000</v>
      </c>
      <c r="J3" s="10"/>
      <c r="K3" s="10"/>
      <c r="L3" s="10">
        <v>246700000</v>
      </c>
      <c r="M3" s="10">
        <v>3.4900690000000001</v>
      </c>
      <c r="N3" s="10">
        <v>861000000</v>
      </c>
      <c r="O3" s="10">
        <v>1047000000</v>
      </c>
      <c r="P3" s="10">
        <v>1153000000</v>
      </c>
      <c r="Q3" s="10"/>
      <c r="R3" s="10"/>
      <c r="S3" s="10"/>
      <c r="T3" s="10"/>
      <c r="U3" s="10">
        <v>2713000000</v>
      </c>
      <c r="V3" s="10">
        <v>0</v>
      </c>
      <c r="W3" s="10">
        <v>0</v>
      </c>
      <c r="X3" s="10"/>
      <c r="Y3" s="10"/>
      <c r="Z3" s="10"/>
      <c r="AA3" s="10">
        <v>861000000</v>
      </c>
      <c r="AB3" s="10">
        <v>861000000</v>
      </c>
      <c r="AC3" s="10">
        <v>861000000</v>
      </c>
      <c r="AD3" s="10">
        <v>861000000</v>
      </c>
      <c r="AE3" s="10">
        <v>861000000</v>
      </c>
      <c r="AF3" s="10">
        <v>861000000</v>
      </c>
      <c r="AG3" s="10">
        <v>0</v>
      </c>
      <c r="AH3" s="10">
        <v>0</v>
      </c>
      <c r="AI3" s="10">
        <v>1153000000</v>
      </c>
      <c r="AJ3" s="10">
        <v>861000000</v>
      </c>
      <c r="AK3" s="10">
        <v>1672000000</v>
      </c>
      <c r="AL3" s="10">
        <v>1041000000</v>
      </c>
      <c r="AM3" s="10">
        <v>4700000000</v>
      </c>
      <c r="AN3" s="10"/>
      <c r="AO3" s="10">
        <v>6000000</v>
      </c>
      <c r="AP3" s="10">
        <v>6000000</v>
      </c>
      <c r="AQ3" s="10"/>
      <c r="AR3" s="10"/>
      <c r="AS3" s="10">
        <v>1047000000</v>
      </c>
      <c r="AT3" s="10">
        <v>1987000000</v>
      </c>
      <c r="AU3" s="10">
        <v>106000000</v>
      </c>
      <c r="AV3" s="10">
        <v>244000000</v>
      </c>
      <c r="AW3" s="10"/>
      <c r="AX3" s="10">
        <v>1428000000</v>
      </c>
      <c r="AY3" s="10"/>
      <c r="AZ3" s="10">
        <v>0</v>
      </c>
      <c r="BA3" s="10">
        <v>186000000</v>
      </c>
      <c r="BB3" s="10">
        <v>0.17799999999999999</v>
      </c>
      <c r="BC3" s="10">
        <v>3659000000</v>
      </c>
      <c r="BD3" s="10">
        <v>1041000000</v>
      </c>
      <c r="BE3" s="10">
        <v>4700000000</v>
      </c>
      <c r="BF3" s="10"/>
      <c r="BG3" s="10"/>
      <c r="BH3" s="10"/>
      <c r="BI3" s="10"/>
      <c r="BK3" s="41"/>
      <c r="BL3" s="10"/>
      <c r="BM3" s="10"/>
      <c r="BN3" s="10"/>
      <c r="BO3" s="10"/>
      <c r="BP3" s="10"/>
      <c r="BQ3" s="10"/>
      <c r="BR3" s="10"/>
      <c r="BT3" s="41"/>
      <c r="BU3" s="10"/>
      <c r="BV3" s="10"/>
      <c r="BW3" s="10"/>
      <c r="BX3" s="41">
        <v>2021</v>
      </c>
      <c r="BY3" s="10"/>
      <c r="BZ3" s="10"/>
      <c r="CA3" s="10"/>
      <c r="CB3" t="s">
        <v>646</v>
      </c>
    </row>
    <row r="4" spans="1:80" hidden="1" x14ac:dyDescent="0.35">
      <c r="A4" t="s">
        <v>645</v>
      </c>
      <c r="B4" s="22">
        <v>44926</v>
      </c>
      <c r="C4">
        <v>2022</v>
      </c>
      <c r="D4" t="s">
        <v>212</v>
      </c>
      <c r="E4" t="s">
        <v>213</v>
      </c>
      <c r="F4" s="10"/>
      <c r="G4" s="10">
        <v>244500000</v>
      </c>
      <c r="H4" s="41">
        <v>3.4560330000000001</v>
      </c>
      <c r="I4" s="10">
        <v>2110000000</v>
      </c>
      <c r="J4" s="10"/>
      <c r="K4" s="10"/>
      <c r="L4" s="10">
        <v>246700000</v>
      </c>
      <c r="M4" s="10">
        <v>3.4252129999999998</v>
      </c>
      <c r="N4" s="10">
        <v>845000000</v>
      </c>
      <c r="O4" s="10">
        <v>1113000000</v>
      </c>
      <c r="P4" s="10">
        <v>1203000000</v>
      </c>
      <c r="Q4" s="10"/>
      <c r="R4" s="10"/>
      <c r="S4" s="10"/>
      <c r="T4" s="10"/>
      <c r="U4" s="10">
        <v>2760000000</v>
      </c>
      <c r="V4" s="10">
        <v>0</v>
      </c>
      <c r="W4" s="10">
        <v>0</v>
      </c>
      <c r="X4" s="10"/>
      <c r="Y4" s="10"/>
      <c r="Z4" s="10"/>
      <c r="AA4" s="10">
        <v>845000000</v>
      </c>
      <c r="AB4" s="10">
        <v>845000000</v>
      </c>
      <c r="AC4" s="10">
        <v>845000000</v>
      </c>
      <c r="AD4" s="10">
        <v>845000000</v>
      </c>
      <c r="AE4" s="10">
        <v>845000000</v>
      </c>
      <c r="AF4" s="10">
        <v>845000000</v>
      </c>
      <c r="AG4" s="10">
        <v>0</v>
      </c>
      <c r="AH4" s="10">
        <v>0</v>
      </c>
      <c r="AI4" s="10">
        <v>1203000000</v>
      </c>
      <c r="AJ4" s="10">
        <v>845000000</v>
      </c>
      <c r="AK4" s="10">
        <v>1648000000</v>
      </c>
      <c r="AL4" s="10">
        <v>1112000000</v>
      </c>
      <c r="AM4" s="10">
        <v>4870000000</v>
      </c>
      <c r="AN4" s="10"/>
      <c r="AO4" s="10">
        <v>1000000</v>
      </c>
      <c r="AP4" s="10">
        <v>1000000</v>
      </c>
      <c r="AQ4" s="10"/>
      <c r="AR4" s="10"/>
      <c r="AS4" s="10">
        <v>1113000000</v>
      </c>
      <c r="AT4" s="10">
        <v>2110000000</v>
      </c>
      <c r="AU4" s="10">
        <v>90000000</v>
      </c>
      <c r="AV4" s="10">
        <v>217000000</v>
      </c>
      <c r="AW4" s="10"/>
      <c r="AX4" s="10">
        <v>1431000000</v>
      </c>
      <c r="AY4" s="10"/>
      <c r="AZ4" s="10">
        <v>0</v>
      </c>
      <c r="BA4" s="10">
        <v>268000000</v>
      </c>
      <c r="BB4" s="10">
        <v>0.24099999999999999</v>
      </c>
      <c r="BC4" s="10">
        <v>3758000000</v>
      </c>
      <c r="BD4" s="10">
        <v>1112000000</v>
      </c>
      <c r="BE4" s="10">
        <v>4870000000</v>
      </c>
      <c r="BF4" s="10"/>
      <c r="BG4" s="10"/>
      <c r="BH4" s="10"/>
      <c r="BI4" s="10"/>
      <c r="BK4" s="41"/>
      <c r="BL4" s="10"/>
      <c r="BM4" s="10"/>
      <c r="BN4" s="10"/>
      <c r="BO4" s="10"/>
      <c r="BP4" s="10"/>
      <c r="BQ4" s="10"/>
      <c r="BR4" s="10"/>
      <c r="BT4" s="41"/>
      <c r="BU4" s="10"/>
      <c r="BV4" s="10"/>
      <c r="BW4" s="10"/>
      <c r="BX4" s="41">
        <v>2022</v>
      </c>
      <c r="BY4" s="10"/>
      <c r="BZ4" s="10"/>
      <c r="CA4" s="10"/>
      <c r="CB4" t="s">
        <v>646</v>
      </c>
    </row>
    <row r="5" spans="1:80" hidden="1" x14ac:dyDescent="0.35">
      <c r="A5" t="s">
        <v>645</v>
      </c>
      <c r="B5" s="22">
        <v>45199</v>
      </c>
      <c r="C5">
        <v>2023</v>
      </c>
      <c r="D5" t="s">
        <v>214</v>
      </c>
      <c r="E5" t="s">
        <v>213</v>
      </c>
      <c r="F5" s="10"/>
      <c r="G5" s="10">
        <v>241700000</v>
      </c>
      <c r="H5" s="41">
        <v>2.97</v>
      </c>
      <c r="I5" s="10"/>
      <c r="J5" s="10"/>
      <c r="K5" s="10"/>
      <c r="L5" s="10">
        <v>245700000</v>
      </c>
      <c r="M5" s="10">
        <v>2.93</v>
      </c>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K5" s="41"/>
      <c r="BL5" s="10"/>
      <c r="BM5" s="10"/>
      <c r="BN5" s="10"/>
      <c r="BO5" s="10"/>
      <c r="BP5" s="10"/>
      <c r="BQ5" s="10"/>
      <c r="BR5" s="10"/>
      <c r="BT5" s="41"/>
      <c r="BU5" s="10"/>
      <c r="BV5" s="10"/>
      <c r="BW5" s="10"/>
      <c r="BX5" s="41">
        <v>2023</v>
      </c>
      <c r="BY5" s="10"/>
      <c r="BZ5" s="10"/>
      <c r="CA5" s="10"/>
      <c r="CB5" t="s">
        <v>646</v>
      </c>
    </row>
    <row r="6" spans="1:80" hidden="1" x14ac:dyDescent="0.35">
      <c r="A6" t="s">
        <v>645</v>
      </c>
      <c r="B6" s="22">
        <v>45291</v>
      </c>
      <c r="C6">
        <v>2023</v>
      </c>
      <c r="D6" t="s">
        <v>212</v>
      </c>
      <c r="E6" t="s">
        <v>213</v>
      </c>
      <c r="F6" s="10"/>
      <c r="G6" s="10">
        <v>246400000</v>
      </c>
      <c r="H6" s="41">
        <v>3.41</v>
      </c>
      <c r="I6" s="10">
        <v>2120000000</v>
      </c>
      <c r="J6" s="10"/>
      <c r="K6" s="10"/>
      <c r="L6" s="10">
        <v>246800000</v>
      </c>
      <c r="M6" s="10">
        <v>3.4</v>
      </c>
      <c r="N6" s="10">
        <v>839000000</v>
      </c>
      <c r="O6" s="10">
        <v>1126000000</v>
      </c>
      <c r="P6" s="10">
        <v>1213000000</v>
      </c>
      <c r="Q6" s="10"/>
      <c r="R6" s="10"/>
      <c r="S6" s="10"/>
      <c r="T6" s="10"/>
      <c r="U6" s="10">
        <v>2901000000</v>
      </c>
      <c r="V6" s="10">
        <v>30000000</v>
      </c>
      <c r="W6" s="10">
        <v>30000000</v>
      </c>
      <c r="X6" s="10"/>
      <c r="Y6" s="10"/>
      <c r="Z6" s="10"/>
      <c r="AA6" s="10">
        <v>839000000</v>
      </c>
      <c r="AB6" s="10">
        <v>839000000</v>
      </c>
      <c r="AC6" s="10">
        <v>839000000</v>
      </c>
      <c r="AD6" s="10">
        <v>839000000</v>
      </c>
      <c r="AE6" s="10">
        <v>839000000</v>
      </c>
      <c r="AF6" s="10">
        <v>839000000</v>
      </c>
      <c r="AG6" s="10">
        <v>-30000000</v>
      </c>
      <c r="AH6" s="10">
        <v>-30000000</v>
      </c>
      <c r="AI6" s="10">
        <v>1213000000</v>
      </c>
      <c r="AJ6" s="10">
        <v>839000000</v>
      </c>
      <c r="AK6" s="10">
        <v>1761000000</v>
      </c>
      <c r="AL6" s="10">
        <v>1140000000</v>
      </c>
      <c r="AM6" s="10">
        <v>5021000000</v>
      </c>
      <c r="AN6" s="10"/>
      <c r="AO6" s="10">
        <v>-14000000</v>
      </c>
      <c r="AP6" s="10">
        <v>-14000000</v>
      </c>
      <c r="AQ6" s="10"/>
      <c r="AR6" s="10"/>
      <c r="AS6" s="10">
        <v>1096000000</v>
      </c>
      <c r="AT6" s="10">
        <v>2120000000</v>
      </c>
      <c r="AU6" s="10">
        <v>87000000</v>
      </c>
      <c r="AV6" s="10">
        <v>225000000</v>
      </c>
      <c r="AW6" s="10"/>
      <c r="AX6" s="10">
        <v>1536000000</v>
      </c>
      <c r="AY6" s="10"/>
      <c r="AZ6" s="10">
        <v>0</v>
      </c>
      <c r="BA6" s="10">
        <v>257000000</v>
      </c>
      <c r="BB6" s="10">
        <v>0.23400000000000001</v>
      </c>
      <c r="BC6" s="10">
        <v>3881000000</v>
      </c>
      <c r="BD6" s="10">
        <v>1140000000</v>
      </c>
      <c r="BE6" s="10">
        <v>5021000000</v>
      </c>
      <c r="BF6" s="10"/>
      <c r="BG6" s="10"/>
      <c r="BH6" s="10"/>
      <c r="BI6" s="10"/>
      <c r="BK6" s="41"/>
      <c r="BL6" s="10"/>
      <c r="BM6" s="10"/>
      <c r="BN6" s="10"/>
      <c r="BO6" s="10"/>
      <c r="BP6" s="10"/>
      <c r="BQ6" s="10"/>
      <c r="BR6" s="10"/>
      <c r="BT6" s="41"/>
      <c r="BU6" s="10"/>
      <c r="BV6" s="10"/>
      <c r="BW6" s="10"/>
      <c r="BX6" s="41">
        <v>2023</v>
      </c>
      <c r="BY6" s="10"/>
      <c r="BZ6" s="10"/>
      <c r="CA6" s="10"/>
      <c r="CB6" t="s">
        <v>646</v>
      </c>
    </row>
    <row r="7" spans="1:80" hidden="1" x14ac:dyDescent="0.35">
      <c r="A7" t="s">
        <v>645</v>
      </c>
      <c r="B7" s="22">
        <v>45382</v>
      </c>
      <c r="C7">
        <v>2024</v>
      </c>
      <c r="D7" t="s">
        <v>214</v>
      </c>
      <c r="E7" t="s">
        <v>213</v>
      </c>
      <c r="F7" s="10"/>
      <c r="G7" s="10">
        <v>246888641</v>
      </c>
      <c r="H7" s="41">
        <v>3.2322259999999998</v>
      </c>
      <c r="I7" s="10"/>
      <c r="J7" s="10"/>
      <c r="K7" s="10"/>
      <c r="L7" s="10">
        <v>246888641</v>
      </c>
      <c r="M7" s="10">
        <v>3.2322259999999998</v>
      </c>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K7" s="41"/>
      <c r="BL7" s="10"/>
      <c r="BM7" s="10"/>
      <c r="BN7" s="10"/>
      <c r="BO7" s="10"/>
      <c r="BP7" s="10"/>
      <c r="BQ7" s="10"/>
      <c r="BR7" s="10"/>
      <c r="BT7" s="41"/>
      <c r="BU7" s="10"/>
      <c r="BV7" s="10"/>
      <c r="BW7" s="10"/>
      <c r="BX7" s="41">
        <v>2024</v>
      </c>
      <c r="BY7" s="10"/>
      <c r="BZ7" s="10"/>
      <c r="CA7" s="10"/>
      <c r="CB7" t="s">
        <v>646</v>
      </c>
    </row>
    <row r="8" spans="1:80" hidden="1" x14ac:dyDescent="0.35">
      <c r="A8" t="s">
        <v>645</v>
      </c>
      <c r="B8" s="22">
        <v>45473</v>
      </c>
      <c r="C8">
        <v>2024</v>
      </c>
      <c r="D8" t="s">
        <v>214</v>
      </c>
      <c r="E8" t="s">
        <v>213</v>
      </c>
      <c r="F8" s="10"/>
      <c r="G8" s="10">
        <v>247100000</v>
      </c>
      <c r="H8" s="41">
        <v>3.2051799999999999</v>
      </c>
      <c r="I8" s="10">
        <v>2087000000</v>
      </c>
      <c r="J8" s="10"/>
      <c r="K8" s="10"/>
      <c r="L8" s="10">
        <v>247100000</v>
      </c>
      <c r="M8" s="10">
        <v>3.2051799999999999</v>
      </c>
      <c r="N8" s="10">
        <v>792000000</v>
      </c>
      <c r="O8" s="10">
        <v>1137000000</v>
      </c>
      <c r="P8" s="10">
        <v>1221000000</v>
      </c>
      <c r="Q8" s="10"/>
      <c r="R8" s="10"/>
      <c r="S8" s="10"/>
      <c r="T8" s="10"/>
      <c r="U8" s="10">
        <v>2990000000</v>
      </c>
      <c r="V8" s="10">
        <v>88000000</v>
      </c>
      <c r="W8" s="10">
        <v>88000000</v>
      </c>
      <c r="X8" s="10"/>
      <c r="Y8" s="10"/>
      <c r="Z8" s="10"/>
      <c r="AA8" s="10">
        <v>792000000</v>
      </c>
      <c r="AB8" s="10">
        <v>792000000</v>
      </c>
      <c r="AC8" s="10">
        <v>792000000</v>
      </c>
      <c r="AD8" s="10">
        <v>792000000</v>
      </c>
      <c r="AE8" s="10">
        <v>792000000</v>
      </c>
      <c r="AF8" s="10">
        <v>792000000</v>
      </c>
      <c r="AG8" s="10">
        <v>-88000000</v>
      </c>
      <c r="AH8" s="10">
        <v>-88000000</v>
      </c>
      <c r="AI8" s="10">
        <v>1221000000</v>
      </c>
      <c r="AJ8" s="10">
        <v>792000000</v>
      </c>
      <c r="AK8" s="10">
        <v>1839000000</v>
      </c>
      <c r="AL8" s="10">
        <v>1151000000</v>
      </c>
      <c r="AM8" s="10">
        <v>5077000000</v>
      </c>
      <c r="AN8" s="10"/>
      <c r="AO8" s="10">
        <v>-14000000</v>
      </c>
      <c r="AP8" s="10">
        <v>-14000000</v>
      </c>
      <c r="AQ8" s="10"/>
      <c r="AR8" s="10"/>
      <c r="AS8" s="10">
        <v>1049000000</v>
      </c>
      <c r="AT8" s="10">
        <v>2087000000</v>
      </c>
      <c r="AU8" s="10">
        <v>84000000</v>
      </c>
      <c r="AV8" s="10">
        <v>233000000</v>
      </c>
      <c r="AW8" s="10"/>
      <c r="AX8" s="10">
        <v>1606000000</v>
      </c>
      <c r="AY8" s="10"/>
      <c r="AZ8" s="10">
        <v>0</v>
      </c>
      <c r="BA8" s="10">
        <v>257000000</v>
      </c>
      <c r="BB8" s="10">
        <v>0.24499499999999999</v>
      </c>
      <c r="BC8" s="10">
        <v>3926000000</v>
      </c>
      <c r="BD8" s="10">
        <v>1151000000</v>
      </c>
      <c r="BE8" s="10">
        <v>5077000000</v>
      </c>
      <c r="BF8" s="10"/>
      <c r="BG8" s="10"/>
      <c r="BH8" s="10"/>
      <c r="BI8" s="10"/>
      <c r="BK8" s="41"/>
      <c r="BL8" s="10"/>
      <c r="BM8" s="10"/>
      <c r="BN8" s="10"/>
      <c r="BO8" s="10"/>
      <c r="BP8" s="10"/>
      <c r="BQ8" s="10"/>
      <c r="BR8" s="10"/>
      <c r="BT8" s="41"/>
      <c r="BU8" s="10"/>
      <c r="BV8" s="10"/>
      <c r="BW8" s="10"/>
      <c r="BX8" s="41">
        <v>2024</v>
      </c>
      <c r="BY8" s="10"/>
      <c r="BZ8" s="10"/>
      <c r="CA8" s="10"/>
      <c r="CB8" t="s">
        <v>646</v>
      </c>
    </row>
    <row r="9" spans="1:80" hidden="1" x14ac:dyDescent="0.35">
      <c r="A9" t="s">
        <v>647</v>
      </c>
      <c r="B9" s="22">
        <v>44227</v>
      </c>
      <c r="C9">
        <v>2021</v>
      </c>
      <c r="D9" t="s">
        <v>212</v>
      </c>
      <c r="E9" t="s">
        <v>213</v>
      </c>
      <c r="F9" s="10"/>
      <c r="G9" s="10">
        <v>8493000000</v>
      </c>
      <c r="H9" s="41">
        <v>1.59</v>
      </c>
      <c r="I9" s="10">
        <v>420315000000</v>
      </c>
      <c r="J9" s="10"/>
      <c r="K9" s="10"/>
      <c r="L9" s="10">
        <v>8541000000</v>
      </c>
      <c r="M9" s="10">
        <v>1.5833330000000001</v>
      </c>
      <c r="N9" s="10">
        <v>13510000000</v>
      </c>
      <c r="O9" s="10">
        <v>22879000000</v>
      </c>
      <c r="P9" s="10">
        <v>34031000000</v>
      </c>
      <c r="Q9" s="10"/>
      <c r="R9" s="10"/>
      <c r="S9" s="10"/>
      <c r="T9" s="10"/>
      <c r="U9" s="10">
        <v>138836000000</v>
      </c>
      <c r="V9" s="10">
        <v>2315000000</v>
      </c>
      <c r="W9" s="10">
        <v>2315000000</v>
      </c>
      <c r="X9" s="10">
        <v>121000000</v>
      </c>
      <c r="Y9" s="10">
        <v>121000000</v>
      </c>
      <c r="Z9" s="10">
        <v>-196000000</v>
      </c>
      <c r="AA9" s="10">
        <v>13510000000</v>
      </c>
      <c r="AB9" s="10">
        <v>13510000000</v>
      </c>
      <c r="AC9" s="10">
        <v>13706000000</v>
      </c>
      <c r="AD9" s="10">
        <v>13510000000</v>
      </c>
      <c r="AE9" s="10">
        <v>13510000000</v>
      </c>
      <c r="AF9" s="10">
        <v>13706000000</v>
      </c>
      <c r="AG9" s="10">
        <v>-2194000000</v>
      </c>
      <c r="AH9" s="10">
        <v>-2194000000</v>
      </c>
      <c r="AI9" s="10">
        <v>34031000000</v>
      </c>
      <c r="AJ9" s="10">
        <v>13510000000</v>
      </c>
      <c r="AK9" s="10">
        <v>116288000000</v>
      </c>
      <c r="AL9" s="10">
        <v>22548000000</v>
      </c>
      <c r="AM9" s="10">
        <v>559151000000</v>
      </c>
      <c r="AN9" s="10"/>
      <c r="AO9" s="10">
        <v>210000000</v>
      </c>
      <c r="AP9" s="10">
        <v>210000000</v>
      </c>
      <c r="AQ9" s="10"/>
      <c r="AR9" s="10"/>
      <c r="AS9" s="10">
        <v>20564000000</v>
      </c>
      <c r="AT9" s="10">
        <v>420315000000</v>
      </c>
      <c r="AU9" s="10">
        <v>11152000000</v>
      </c>
      <c r="AV9" s="10"/>
      <c r="AW9" s="10"/>
      <c r="AX9" s="10">
        <v>116288000000</v>
      </c>
      <c r="AY9" s="10">
        <v>0</v>
      </c>
      <c r="AZ9" s="10">
        <v>0</v>
      </c>
      <c r="BA9" s="10">
        <v>6858000000</v>
      </c>
      <c r="BB9" s="10">
        <v>0.33300000000000002</v>
      </c>
      <c r="BC9" s="10">
        <v>536603000000</v>
      </c>
      <c r="BD9" s="10">
        <v>22548000000</v>
      </c>
      <c r="BE9" s="10">
        <v>559151000000</v>
      </c>
      <c r="BF9" s="10">
        <v>0</v>
      </c>
      <c r="BG9" s="10">
        <v>0</v>
      </c>
      <c r="BH9" s="10"/>
      <c r="BI9" s="10"/>
      <c r="BK9" s="41"/>
      <c r="BL9" s="10"/>
      <c r="BM9" s="10"/>
      <c r="BN9" s="10"/>
      <c r="BO9" s="10"/>
      <c r="BP9" s="10"/>
      <c r="BQ9" s="10"/>
      <c r="BR9" s="10"/>
      <c r="BT9" s="41"/>
      <c r="BU9" s="10"/>
      <c r="BV9" s="10"/>
      <c r="BW9" s="10"/>
      <c r="BX9" s="41">
        <v>2021</v>
      </c>
      <c r="BY9" s="10"/>
      <c r="BZ9" s="10"/>
      <c r="CA9" s="10"/>
      <c r="CB9" t="s">
        <v>648</v>
      </c>
    </row>
    <row r="10" spans="1:80" hidden="1" x14ac:dyDescent="0.35">
      <c r="A10" t="s">
        <v>647</v>
      </c>
      <c r="B10" s="22">
        <v>44592</v>
      </c>
      <c r="C10">
        <v>2022</v>
      </c>
      <c r="D10" t="s">
        <v>212</v>
      </c>
      <c r="E10" t="s">
        <v>213</v>
      </c>
      <c r="F10" s="10"/>
      <c r="G10" s="10">
        <v>8376000000</v>
      </c>
      <c r="H10" s="41">
        <v>1.6333329999999999</v>
      </c>
      <c r="I10" s="10">
        <v>429000000000</v>
      </c>
      <c r="J10" s="10"/>
      <c r="K10" s="10"/>
      <c r="L10" s="10">
        <v>8415000000</v>
      </c>
      <c r="M10" s="10">
        <v>1.6233329999999999</v>
      </c>
      <c r="N10" s="10">
        <v>13673000000</v>
      </c>
      <c r="O10" s="10">
        <v>20690000000</v>
      </c>
      <c r="P10" s="10">
        <v>31348000000</v>
      </c>
      <c r="Q10" s="10"/>
      <c r="R10" s="10"/>
      <c r="S10" s="10"/>
      <c r="T10" s="10"/>
      <c r="U10" s="10">
        <v>143754000000</v>
      </c>
      <c r="V10" s="10">
        <v>1994000000</v>
      </c>
      <c r="W10" s="10">
        <v>1994000000</v>
      </c>
      <c r="X10" s="10">
        <v>158000000</v>
      </c>
      <c r="Y10" s="10">
        <v>158000000</v>
      </c>
      <c r="Z10" s="10">
        <v>-267000000</v>
      </c>
      <c r="AA10" s="10">
        <v>13673000000</v>
      </c>
      <c r="AB10" s="10">
        <v>13673000000</v>
      </c>
      <c r="AC10" s="10">
        <v>13940000000</v>
      </c>
      <c r="AD10" s="10">
        <v>13673000000</v>
      </c>
      <c r="AE10" s="10">
        <v>13673000000</v>
      </c>
      <c r="AF10" s="10">
        <v>13940000000</v>
      </c>
      <c r="AG10" s="10">
        <v>-1836000000</v>
      </c>
      <c r="AH10" s="10">
        <v>-1836000000</v>
      </c>
      <c r="AI10" s="10">
        <v>33758000000</v>
      </c>
      <c r="AJ10" s="10">
        <v>15470860000</v>
      </c>
      <c r="AK10" s="10">
        <v>117812000000</v>
      </c>
      <c r="AL10" s="10">
        <v>25942000000</v>
      </c>
      <c r="AM10" s="10">
        <v>572754000000</v>
      </c>
      <c r="AN10" s="10"/>
      <c r="AO10" s="10">
        <v>-5410000000</v>
      </c>
      <c r="AP10" s="10">
        <v>-3000000000</v>
      </c>
      <c r="AQ10" s="10"/>
      <c r="AR10" s="10"/>
      <c r="AS10" s="10">
        <v>18696000000</v>
      </c>
      <c r="AT10" s="10">
        <v>429000000000</v>
      </c>
      <c r="AU10" s="10">
        <v>10658000000</v>
      </c>
      <c r="AV10" s="10"/>
      <c r="AW10" s="10"/>
      <c r="AX10" s="10">
        <v>117812000000</v>
      </c>
      <c r="AY10" s="10">
        <v>-2410000000</v>
      </c>
      <c r="AZ10" s="10">
        <v>-612140000</v>
      </c>
      <c r="BA10" s="10">
        <v>4756000000</v>
      </c>
      <c r="BB10" s="10">
        <v>0.254</v>
      </c>
      <c r="BC10" s="10">
        <v>546812000000</v>
      </c>
      <c r="BD10" s="10">
        <v>25942000000</v>
      </c>
      <c r="BE10" s="10">
        <v>572754000000</v>
      </c>
      <c r="BF10" s="10">
        <v>-2410000000</v>
      </c>
      <c r="BG10" s="10">
        <v>-2410000000</v>
      </c>
      <c r="BH10" s="10"/>
      <c r="BI10" s="10"/>
      <c r="BK10" s="41"/>
      <c r="BL10" s="10"/>
      <c r="BM10" s="10"/>
      <c r="BN10" s="10"/>
      <c r="BO10" s="10"/>
      <c r="BP10" s="10"/>
      <c r="BQ10" s="10">
        <v>2410000000</v>
      </c>
      <c r="BR10" s="10"/>
      <c r="BT10" s="41"/>
      <c r="BU10" s="10"/>
      <c r="BV10" s="10"/>
      <c r="BW10" s="10"/>
      <c r="BX10" s="41">
        <v>2022</v>
      </c>
      <c r="BY10" s="10"/>
      <c r="BZ10" s="10"/>
      <c r="CA10" s="10"/>
      <c r="CB10" t="s">
        <v>648</v>
      </c>
    </row>
    <row r="11" spans="1:80" hidden="1" x14ac:dyDescent="0.35">
      <c r="A11" t="s">
        <v>647</v>
      </c>
      <c r="B11" s="22">
        <v>44957</v>
      </c>
      <c r="C11">
        <v>2023</v>
      </c>
      <c r="D11" t="s">
        <v>212</v>
      </c>
      <c r="E11" t="s">
        <v>213</v>
      </c>
      <c r="F11" s="10"/>
      <c r="G11" s="10">
        <v>8171000000</v>
      </c>
      <c r="H11" s="41">
        <v>1.43</v>
      </c>
      <c r="I11" s="10">
        <v>463721000000</v>
      </c>
      <c r="J11" s="10"/>
      <c r="K11" s="10"/>
      <c r="L11" s="10">
        <v>8202000000</v>
      </c>
      <c r="M11" s="10">
        <v>1.42</v>
      </c>
      <c r="N11" s="10">
        <v>11680000000</v>
      </c>
      <c r="O11" s="10">
        <v>19144000000</v>
      </c>
      <c r="P11" s="10">
        <v>30089000000</v>
      </c>
      <c r="Q11" s="10"/>
      <c r="R11" s="10"/>
      <c r="S11" s="10"/>
      <c r="T11" s="10"/>
      <c r="U11" s="10">
        <v>147568000000</v>
      </c>
      <c r="V11" s="10">
        <v>2128000000</v>
      </c>
      <c r="W11" s="10">
        <v>2128000000</v>
      </c>
      <c r="X11" s="10">
        <v>254000000</v>
      </c>
      <c r="Y11" s="10">
        <v>254000000</v>
      </c>
      <c r="Z11" s="10">
        <v>388000000</v>
      </c>
      <c r="AA11" s="10">
        <v>11680000000</v>
      </c>
      <c r="AB11" s="10">
        <v>11680000000</v>
      </c>
      <c r="AC11" s="10">
        <v>11292000000</v>
      </c>
      <c r="AD11" s="10">
        <v>11680000000</v>
      </c>
      <c r="AE11" s="10">
        <v>11680000000</v>
      </c>
      <c r="AF11" s="10">
        <v>11292000000</v>
      </c>
      <c r="AG11" s="10">
        <v>-1874000000</v>
      </c>
      <c r="AH11" s="10">
        <v>-1874000000</v>
      </c>
      <c r="AI11" s="10">
        <v>30089000000</v>
      </c>
      <c r="AJ11" s="10">
        <v>11680000000</v>
      </c>
      <c r="AK11" s="10">
        <v>127140000000</v>
      </c>
      <c r="AL11" s="10">
        <v>20428000000</v>
      </c>
      <c r="AM11" s="10">
        <v>611289000000</v>
      </c>
      <c r="AN11" s="10"/>
      <c r="AO11" s="10">
        <v>-1538000000</v>
      </c>
      <c r="AP11" s="10">
        <v>-1538000000</v>
      </c>
      <c r="AQ11" s="10"/>
      <c r="AR11" s="10"/>
      <c r="AS11" s="10">
        <v>17016000000</v>
      </c>
      <c r="AT11" s="10">
        <v>463721000000</v>
      </c>
      <c r="AU11" s="10">
        <v>10945000000</v>
      </c>
      <c r="AV11" s="10"/>
      <c r="AW11" s="10"/>
      <c r="AX11" s="10">
        <v>127140000000</v>
      </c>
      <c r="AY11" s="10">
        <v>0</v>
      </c>
      <c r="AZ11" s="10">
        <v>0</v>
      </c>
      <c r="BA11" s="10">
        <v>5724000000</v>
      </c>
      <c r="BB11" s="10">
        <v>0.33600000000000002</v>
      </c>
      <c r="BC11" s="10">
        <v>590861000000</v>
      </c>
      <c r="BD11" s="10">
        <v>20428000000</v>
      </c>
      <c r="BE11" s="10">
        <v>611289000000</v>
      </c>
      <c r="BF11" s="10">
        <v>0</v>
      </c>
      <c r="BG11" s="10">
        <v>0</v>
      </c>
      <c r="BH11" s="10"/>
      <c r="BI11" s="10"/>
      <c r="BK11" s="41"/>
      <c r="BL11" s="10"/>
      <c r="BM11" s="10"/>
      <c r="BN11" s="10"/>
      <c r="BO11" s="10"/>
      <c r="BP11" s="10"/>
      <c r="BQ11" s="10"/>
      <c r="BR11" s="10"/>
      <c r="BT11" s="41"/>
      <c r="BU11" s="10"/>
      <c r="BV11" s="10"/>
      <c r="BW11" s="10"/>
      <c r="BX11" s="41">
        <v>2023</v>
      </c>
      <c r="BY11" s="10"/>
      <c r="BZ11" s="10"/>
      <c r="CA11" s="10"/>
      <c r="CB11" t="s">
        <v>648</v>
      </c>
    </row>
    <row r="12" spans="1:80" hidden="1" x14ac:dyDescent="0.35">
      <c r="A12" t="s">
        <v>647</v>
      </c>
      <c r="B12" s="22">
        <v>45230</v>
      </c>
      <c r="C12">
        <v>2023</v>
      </c>
      <c r="D12" t="s">
        <v>214</v>
      </c>
      <c r="E12" t="s">
        <v>213</v>
      </c>
      <c r="F12" s="10"/>
      <c r="G12" s="10">
        <v>2694000000</v>
      </c>
      <c r="H12" s="41">
        <v>6.03</v>
      </c>
      <c r="I12" s="10"/>
      <c r="J12" s="10"/>
      <c r="K12" s="10"/>
      <c r="L12" s="10">
        <v>2704000000</v>
      </c>
      <c r="M12" s="10">
        <v>6.01</v>
      </c>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K12" s="41"/>
      <c r="BL12" s="10"/>
      <c r="BM12" s="10"/>
      <c r="BN12" s="10"/>
      <c r="BO12" s="10"/>
      <c r="BP12" s="10"/>
      <c r="BQ12" s="10"/>
      <c r="BR12" s="10"/>
      <c r="BT12" s="41"/>
      <c r="BU12" s="10"/>
      <c r="BV12" s="10"/>
      <c r="BW12" s="10"/>
      <c r="BX12" s="41">
        <v>2023</v>
      </c>
      <c r="BY12" s="10"/>
      <c r="BZ12" s="10"/>
      <c r="CA12" s="10"/>
      <c r="CB12" t="s">
        <v>648</v>
      </c>
    </row>
    <row r="13" spans="1:80" hidden="1" x14ac:dyDescent="0.35">
      <c r="A13" t="s">
        <v>647</v>
      </c>
      <c r="B13" s="22">
        <v>45322</v>
      </c>
      <c r="C13">
        <v>2024</v>
      </c>
      <c r="D13" t="s">
        <v>212</v>
      </c>
      <c r="E13" t="s">
        <v>213</v>
      </c>
      <c r="F13" s="10"/>
      <c r="G13" s="10">
        <v>8076999999</v>
      </c>
      <c r="H13" s="41">
        <v>1.92</v>
      </c>
      <c r="I13" s="10">
        <v>490142000000</v>
      </c>
      <c r="J13" s="10"/>
      <c r="K13" s="10"/>
      <c r="L13" s="10">
        <v>8108000000</v>
      </c>
      <c r="M13" s="10">
        <v>1.91</v>
      </c>
      <c r="N13" s="10">
        <v>15511000000</v>
      </c>
      <c r="O13" s="10">
        <v>24531000000</v>
      </c>
      <c r="P13" s="10">
        <v>36384000000</v>
      </c>
      <c r="Q13" s="10"/>
      <c r="R13" s="10"/>
      <c r="S13" s="10"/>
      <c r="T13" s="10"/>
      <c r="U13" s="10">
        <v>157983000000</v>
      </c>
      <c r="V13" s="10">
        <v>2683000000</v>
      </c>
      <c r="W13" s="10">
        <v>2683000000</v>
      </c>
      <c r="X13" s="10">
        <v>546000000</v>
      </c>
      <c r="Y13" s="10">
        <v>546000000</v>
      </c>
      <c r="Z13" s="10">
        <v>-759000000</v>
      </c>
      <c r="AA13" s="10">
        <v>15511000000</v>
      </c>
      <c r="AB13" s="10">
        <v>15511000000</v>
      </c>
      <c r="AC13" s="10">
        <v>16270000000</v>
      </c>
      <c r="AD13" s="10">
        <v>15511000000</v>
      </c>
      <c r="AE13" s="10">
        <v>15511000000</v>
      </c>
      <c r="AF13" s="10">
        <v>16270000000</v>
      </c>
      <c r="AG13" s="10">
        <v>-2137000000</v>
      </c>
      <c r="AH13" s="10">
        <v>-2137000000</v>
      </c>
      <c r="AI13" s="10">
        <v>36384000000</v>
      </c>
      <c r="AJ13" s="10">
        <v>15511000000</v>
      </c>
      <c r="AK13" s="10">
        <v>130971000000</v>
      </c>
      <c r="AL13" s="10">
        <v>27012000000</v>
      </c>
      <c r="AM13" s="10">
        <v>648125000000</v>
      </c>
      <c r="AN13" s="10"/>
      <c r="AO13" s="10">
        <v>-3027000000</v>
      </c>
      <c r="AP13" s="10">
        <v>-3027000000</v>
      </c>
      <c r="AQ13" s="10"/>
      <c r="AR13" s="10"/>
      <c r="AS13" s="10">
        <v>21848000000</v>
      </c>
      <c r="AT13" s="10">
        <v>490142000000</v>
      </c>
      <c r="AU13" s="10">
        <v>11853000000</v>
      </c>
      <c r="AV13" s="10"/>
      <c r="AW13" s="10"/>
      <c r="AX13" s="10">
        <v>130971000000</v>
      </c>
      <c r="AY13" s="10">
        <v>0</v>
      </c>
      <c r="AZ13" s="10">
        <v>0</v>
      </c>
      <c r="BA13" s="10">
        <v>5578000000</v>
      </c>
      <c r="BB13" s="10">
        <v>0.255</v>
      </c>
      <c r="BC13" s="10">
        <v>621113000000</v>
      </c>
      <c r="BD13" s="10">
        <v>27012000000</v>
      </c>
      <c r="BE13" s="10">
        <v>648125000000</v>
      </c>
      <c r="BF13" s="10">
        <v>0</v>
      </c>
      <c r="BG13" s="10">
        <v>0</v>
      </c>
      <c r="BH13" s="10"/>
      <c r="BI13" s="10"/>
      <c r="BK13" s="41"/>
      <c r="BL13" s="10"/>
      <c r="BM13" s="10"/>
      <c r="BN13" s="10"/>
      <c r="BO13" s="10"/>
      <c r="BP13" s="10"/>
      <c r="BQ13" s="10"/>
      <c r="BR13" s="10"/>
      <c r="BT13" s="41"/>
      <c r="BU13" s="10"/>
      <c r="BV13" s="10"/>
      <c r="BW13" s="10"/>
      <c r="BX13" s="41">
        <v>2024</v>
      </c>
      <c r="BY13" s="10"/>
      <c r="BZ13" s="10"/>
      <c r="CA13" s="10"/>
      <c r="CB13" t="s">
        <v>648</v>
      </c>
    </row>
    <row r="14" spans="1:80" hidden="1" x14ac:dyDescent="0.35">
      <c r="A14" t="s">
        <v>647</v>
      </c>
      <c r="B14" s="22">
        <v>45322</v>
      </c>
      <c r="C14">
        <v>2024</v>
      </c>
      <c r="D14" t="s">
        <v>214</v>
      </c>
      <c r="E14" t="s">
        <v>213</v>
      </c>
      <c r="F14" s="10"/>
      <c r="G14" s="10">
        <v>8076999999</v>
      </c>
      <c r="H14" s="41">
        <v>1.92</v>
      </c>
      <c r="I14" s="10"/>
      <c r="J14" s="10"/>
      <c r="K14" s="10"/>
      <c r="L14" s="10">
        <v>8108000000</v>
      </c>
      <c r="M14" s="10">
        <v>1.91</v>
      </c>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K14" s="41"/>
      <c r="BL14" s="10"/>
      <c r="BM14" s="10"/>
      <c r="BN14" s="10"/>
      <c r="BO14" s="10"/>
      <c r="BP14" s="10"/>
      <c r="BQ14" s="10"/>
      <c r="BR14" s="10"/>
      <c r="BT14" s="41"/>
      <c r="BU14" s="10"/>
      <c r="BV14" s="10"/>
      <c r="BW14" s="10"/>
      <c r="BX14" s="41">
        <v>2024</v>
      </c>
      <c r="BY14" s="10"/>
      <c r="BZ14" s="10"/>
      <c r="CA14" s="10"/>
      <c r="CB14" t="s">
        <v>648</v>
      </c>
    </row>
    <row r="15" spans="1:80" hidden="1" x14ac:dyDescent="0.35">
      <c r="A15" t="s">
        <v>647</v>
      </c>
      <c r="B15" s="22">
        <v>45412</v>
      </c>
      <c r="C15">
        <v>2024</v>
      </c>
      <c r="D15" t="s">
        <v>214</v>
      </c>
      <c r="E15" t="s">
        <v>213</v>
      </c>
      <c r="F15" s="10"/>
      <c r="G15" s="10">
        <v>8069749999</v>
      </c>
      <c r="H15" s="41">
        <v>2.34</v>
      </c>
      <c r="I15" s="10">
        <v>496289000000</v>
      </c>
      <c r="J15" s="10"/>
      <c r="K15" s="10"/>
      <c r="L15" s="10">
        <v>8101000000</v>
      </c>
      <c r="M15" s="10">
        <v>2.33</v>
      </c>
      <c r="N15" s="10">
        <v>18942000000</v>
      </c>
      <c r="O15" s="10">
        <v>28928000000</v>
      </c>
      <c r="P15" s="10">
        <v>41064000000</v>
      </c>
      <c r="Q15" s="10"/>
      <c r="R15" s="10"/>
      <c r="S15" s="10"/>
      <c r="T15" s="10"/>
      <c r="U15" s="10">
        <v>161043000000</v>
      </c>
      <c r="V15" s="10">
        <v>2733000000</v>
      </c>
      <c r="W15" s="10">
        <v>2733000000</v>
      </c>
      <c r="X15" s="10">
        <v>553000000</v>
      </c>
      <c r="Y15" s="10">
        <v>553000000</v>
      </c>
      <c r="Z15" s="10">
        <v>-739000000</v>
      </c>
      <c r="AA15" s="10">
        <v>18942000000</v>
      </c>
      <c r="AB15" s="10">
        <v>18942000000</v>
      </c>
      <c r="AC15" s="10">
        <v>19681000000</v>
      </c>
      <c r="AD15" s="10">
        <v>18942000000</v>
      </c>
      <c r="AE15" s="10">
        <v>18942000000</v>
      </c>
      <c r="AF15" s="10">
        <v>19681000000</v>
      </c>
      <c r="AG15" s="10">
        <v>-2180000000</v>
      </c>
      <c r="AH15" s="10">
        <v>-2180000000</v>
      </c>
      <c r="AI15" s="10">
        <v>41064000000</v>
      </c>
      <c r="AJ15" s="10">
        <v>18942000000</v>
      </c>
      <c r="AK15" s="10">
        <v>133430000000</v>
      </c>
      <c r="AL15" s="10">
        <v>27613000000</v>
      </c>
      <c r="AM15" s="10">
        <v>657332000000</v>
      </c>
      <c r="AN15" s="10"/>
      <c r="AO15" s="10">
        <v>762000000</v>
      </c>
      <c r="AP15" s="10">
        <v>762000000</v>
      </c>
      <c r="AQ15" s="10"/>
      <c r="AR15" s="10"/>
      <c r="AS15" s="10">
        <v>26195000000</v>
      </c>
      <c r="AT15" s="10">
        <v>496289000000</v>
      </c>
      <c r="AU15" s="10">
        <v>12136000000</v>
      </c>
      <c r="AV15" s="10"/>
      <c r="AW15" s="10"/>
      <c r="AX15" s="10">
        <v>133430000000</v>
      </c>
      <c r="AY15" s="10"/>
      <c r="AZ15" s="10">
        <v>0</v>
      </c>
      <c r="BA15" s="10">
        <v>6514000000</v>
      </c>
      <c r="BB15" s="10">
        <v>0.24867300000000001</v>
      </c>
      <c r="BC15" s="10">
        <v>629719000000</v>
      </c>
      <c r="BD15" s="10">
        <v>27613000000</v>
      </c>
      <c r="BE15" s="10">
        <v>657332000000</v>
      </c>
      <c r="BF15" s="10">
        <v>0</v>
      </c>
      <c r="BG15" s="10">
        <v>0</v>
      </c>
      <c r="BH15" s="10"/>
      <c r="BI15" s="10"/>
      <c r="BK15" s="41"/>
      <c r="BL15" s="10"/>
      <c r="BM15" s="10"/>
      <c r="BN15" s="10"/>
      <c r="BO15" s="10"/>
      <c r="BP15" s="10"/>
      <c r="BQ15" s="10"/>
      <c r="BR15" s="10"/>
      <c r="BT15" s="41"/>
      <c r="BU15" s="10"/>
      <c r="BV15" s="10"/>
      <c r="BW15" s="10"/>
      <c r="BX15" s="41">
        <v>2024</v>
      </c>
      <c r="BY15" s="10"/>
      <c r="BZ15" s="10"/>
      <c r="CA15" s="10"/>
      <c r="CB15" t="s">
        <v>648</v>
      </c>
    </row>
    <row r="16" spans="1:80" hidden="1" x14ac:dyDescent="0.35">
      <c r="A16" t="s">
        <v>649</v>
      </c>
      <c r="B16" s="22">
        <v>44377</v>
      </c>
      <c r="C16">
        <v>2021</v>
      </c>
      <c r="D16" t="s">
        <v>212</v>
      </c>
      <c r="E16" t="s">
        <v>213</v>
      </c>
      <c r="F16" s="10"/>
      <c r="G16" s="10">
        <v>7547000000</v>
      </c>
      <c r="H16" s="41">
        <v>8.1199999999999992</v>
      </c>
      <c r="I16" s="10">
        <v>52232000000</v>
      </c>
      <c r="J16" s="10"/>
      <c r="K16" s="10"/>
      <c r="L16" s="10">
        <v>7608000000</v>
      </c>
      <c r="M16" s="10">
        <v>8.0500000000000007</v>
      </c>
      <c r="N16" s="10">
        <v>61271000000</v>
      </c>
      <c r="O16" s="10">
        <v>73448000000</v>
      </c>
      <c r="P16" s="10">
        <v>85134000000</v>
      </c>
      <c r="Q16" s="10"/>
      <c r="R16" s="10"/>
      <c r="S16" s="10">
        <v>1316000000</v>
      </c>
      <c r="T16" s="10">
        <v>5107000000</v>
      </c>
      <c r="U16" s="10">
        <v>115856000000</v>
      </c>
      <c r="V16" s="10">
        <v>2346000000</v>
      </c>
      <c r="W16" s="10">
        <v>2346000000</v>
      </c>
      <c r="X16" s="10">
        <v>2131000000</v>
      </c>
      <c r="Y16" s="10">
        <v>2131000000</v>
      </c>
      <c r="Z16" s="10"/>
      <c r="AA16" s="10">
        <v>61271000000</v>
      </c>
      <c r="AB16" s="10">
        <v>61271000000</v>
      </c>
      <c r="AC16" s="10">
        <v>61271000000</v>
      </c>
      <c r="AD16" s="10">
        <v>61271000000</v>
      </c>
      <c r="AE16" s="10">
        <v>61271000000</v>
      </c>
      <c r="AF16" s="10">
        <v>61271000000</v>
      </c>
      <c r="AG16" s="10">
        <v>-215000000</v>
      </c>
      <c r="AH16" s="10">
        <v>-215000000</v>
      </c>
      <c r="AI16" s="10">
        <v>83831000000</v>
      </c>
      <c r="AJ16" s="10">
        <v>60148160797.164627</v>
      </c>
      <c r="AK16" s="10">
        <v>45940000000</v>
      </c>
      <c r="AL16" s="10">
        <v>69916000000</v>
      </c>
      <c r="AM16" s="10">
        <v>168088000000</v>
      </c>
      <c r="AN16" s="10">
        <v>5107000000</v>
      </c>
      <c r="AO16" s="10">
        <v>1401000000</v>
      </c>
      <c r="AP16" s="10">
        <v>98000000</v>
      </c>
      <c r="AQ16" s="10"/>
      <c r="AR16" s="10"/>
      <c r="AS16" s="10">
        <v>71102000000</v>
      </c>
      <c r="AT16" s="10">
        <v>52232000000</v>
      </c>
      <c r="AU16" s="10">
        <v>11686000000</v>
      </c>
      <c r="AV16" s="10">
        <v>20716000000</v>
      </c>
      <c r="AW16" s="10">
        <v>20117000000</v>
      </c>
      <c r="AX16" s="10">
        <v>25224000000</v>
      </c>
      <c r="AY16" s="10">
        <v>-13000000</v>
      </c>
      <c r="AZ16" s="10">
        <v>180160797.164637</v>
      </c>
      <c r="BA16" s="10">
        <v>9831000000</v>
      </c>
      <c r="BB16" s="10">
        <v>0.138266</v>
      </c>
      <c r="BC16" s="10">
        <v>98172000000</v>
      </c>
      <c r="BD16" s="10">
        <v>69916000000</v>
      </c>
      <c r="BE16" s="10">
        <v>168088000000</v>
      </c>
      <c r="BF16" s="10">
        <v>1303000000</v>
      </c>
      <c r="BG16" s="10">
        <v>1303000000</v>
      </c>
      <c r="BH16" s="10">
        <v>13000000</v>
      </c>
      <c r="BI16" s="10"/>
      <c r="BK16" s="41"/>
      <c r="BL16" s="10"/>
      <c r="BM16" s="10"/>
      <c r="BN16" s="10"/>
      <c r="BO16" s="10"/>
      <c r="BP16" s="10"/>
      <c r="BQ16" s="10"/>
      <c r="BR16" s="10"/>
      <c r="BT16" s="41"/>
      <c r="BU16" s="10"/>
      <c r="BV16" s="10"/>
      <c r="BW16" s="10"/>
      <c r="BX16" s="41">
        <v>2021</v>
      </c>
      <c r="BY16" s="10"/>
      <c r="BZ16" s="10"/>
      <c r="CA16" s="10"/>
      <c r="CB16" t="s">
        <v>650</v>
      </c>
    </row>
    <row r="17" spans="1:80" hidden="1" x14ac:dyDescent="0.35">
      <c r="A17" t="s">
        <v>649</v>
      </c>
      <c r="B17" s="22">
        <v>44742</v>
      </c>
      <c r="C17">
        <v>2022</v>
      </c>
      <c r="D17" t="s">
        <v>212</v>
      </c>
      <c r="E17" t="s">
        <v>213</v>
      </c>
      <c r="F17" s="10"/>
      <c r="G17" s="10">
        <v>7496000000</v>
      </c>
      <c r="H17" s="41">
        <v>9.6999999999999993</v>
      </c>
      <c r="I17" s="10">
        <v>62650000000</v>
      </c>
      <c r="J17" s="10"/>
      <c r="K17" s="10"/>
      <c r="L17" s="10">
        <v>7540000000</v>
      </c>
      <c r="M17" s="10">
        <v>9.65</v>
      </c>
      <c r="N17" s="10">
        <v>72738000000</v>
      </c>
      <c r="O17" s="10">
        <v>85779000000</v>
      </c>
      <c r="P17" s="10">
        <v>100239000000</v>
      </c>
      <c r="Q17" s="10"/>
      <c r="R17" s="10"/>
      <c r="S17" s="10">
        <v>435000000</v>
      </c>
      <c r="T17" s="10">
        <v>5900000000</v>
      </c>
      <c r="U17" s="10">
        <v>135620000000</v>
      </c>
      <c r="V17" s="10">
        <v>2063000000</v>
      </c>
      <c r="W17" s="10">
        <v>2063000000</v>
      </c>
      <c r="X17" s="10">
        <v>2094000000</v>
      </c>
      <c r="Y17" s="10">
        <v>2094000000</v>
      </c>
      <c r="Z17" s="10"/>
      <c r="AA17" s="10">
        <v>72738000000</v>
      </c>
      <c r="AB17" s="10">
        <v>72738000000</v>
      </c>
      <c r="AC17" s="10">
        <v>72738000000</v>
      </c>
      <c r="AD17" s="10">
        <v>72738000000</v>
      </c>
      <c r="AE17" s="10">
        <v>72738000000</v>
      </c>
      <c r="AF17" s="10">
        <v>72738000000</v>
      </c>
      <c r="AG17" s="10">
        <v>31000000</v>
      </c>
      <c r="AH17" s="10">
        <v>31000000</v>
      </c>
      <c r="AI17" s="10">
        <v>99905000000</v>
      </c>
      <c r="AJ17" s="10">
        <v>72447754000</v>
      </c>
      <c r="AK17" s="10">
        <v>52237000000</v>
      </c>
      <c r="AL17" s="10">
        <v>83383000000</v>
      </c>
      <c r="AM17" s="10">
        <v>198270000000</v>
      </c>
      <c r="AN17" s="10">
        <v>5900000000</v>
      </c>
      <c r="AO17" s="10">
        <v>302000000</v>
      </c>
      <c r="AP17" s="10">
        <v>-32000000</v>
      </c>
      <c r="AQ17" s="10"/>
      <c r="AR17" s="10"/>
      <c r="AS17" s="10">
        <v>83716000000</v>
      </c>
      <c r="AT17" s="10">
        <v>62650000000</v>
      </c>
      <c r="AU17" s="10">
        <v>14460000000</v>
      </c>
      <c r="AV17" s="10">
        <v>24512000000</v>
      </c>
      <c r="AW17" s="10">
        <v>21825000000</v>
      </c>
      <c r="AX17" s="10">
        <v>27725000000</v>
      </c>
      <c r="AY17" s="10">
        <v>-101000000</v>
      </c>
      <c r="AZ17" s="10">
        <v>43754000</v>
      </c>
      <c r="BA17" s="10">
        <v>10978000000</v>
      </c>
      <c r="BB17" s="10">
        <v>0.13100000000000001</v>
      </c>
      <c r="BC17" s="10">
        <v>114887000000</v>
      </c>
      <c r="BD17" s="10">
        <v>83383000000</v>
      </c>
      <c r="BE17" s="10">
        <v>198270000000</v>
      </c>
      <c r="BF17" s="10">
        <v>334000000</v>
      </c>
      <c r="BG17" s="10">
        <v>334000000</v>
      </c>
      <c r="BH17" s="10">
        <v>101000000</v>
      </c>
      <c r="BI17" s="10"/>
      <c r="BK17" s="41"/>
      <c r="BL17" s="10"/>
      <c r="BM17" s="10"/>
      <c r="BN17" s="10"/>
      <c r="BO17" s="10"/>
      <c r="BP17" s="10"/>
      <c r="BQ17" s="10"/>
      <c r="BR17" s="10"/>
      <c r="BT17" s="41"/>
      <c r="BU17" s="10"/>
      <c r="BV17" s="10"/>
      <c r="BW17" s="10"/>
      <c r="BX17" s="41">
        <v>2022</v>
      </c>
      <c r="BY17" s="10"/>
      <c r="BZ17" s="10"/>
      <c r="CA17" s="10"/>
      <c r="CB17" t="s">
        <v>650</v>
      </c>
    </row>
    <row r="18" spans="1:80" hidden="1" x14ac:dyDescent="0.35">
      <c r="A18" t="s">
        <v>649</v>
      </c>
      <c r="B18" s="22">
        <v>45107</v>
      </c>
      <c r="C18">
        <v>2023</v>
      </c>
      <c r="D18" t="s">
        <v>212</v>
      </c>
      <c r="E18" t="s">
        <v>213</v>
      </c>
      <c r="F18" s="10"/>
      <c r="G18" s="10">
        <v>7446000000</v>
      </c>
      <c r="H18" s="41">
        <v>9.7200000000000006</v>
      </c>
      <c r="I18" s="10">
        <v>65863000000</v>
      </c>
      <c r="J18" s="10"/>
      <c r="K18" s="10"/>
      <c r="L18" s="10">
        <v>7472000000</v>
      </c>
      <c r="M18" s="10">
        <v>9.68</v>
      </c>
      <c r="N18" s="10">
        <v>72361000000</v>
      </c>
      <c r="O18" s="10">
        <v>91279000000</v>
      </c>
      <c r="P18" s="10">
        <v>105140000000</v>
      </c>
      <c r="Q18" s="10"/>
      <c r="R18" s="10"/>
      <c r="S18" s="10">
        <v>15000000</v>
      </c>
      <c r="T18" s="10">
        <v>7575000000</v>
      </c>
      <c r="U18" s="10">
        <v>146052000000</v>
      </c>
      <c r="V18" s="10">
        <v>1968000000</v>
      </c>
      <c r="W18" s="10">
        <v>1968000000</v>
      </c>
      <c r="X18" s="10">
        <v>2994000000</v>
      </c>
      <c r="Y18" s="10">
        <v>2994000000</v>
      </c>
      <c r="Z18" s="10"/>
      <c r="AA18" s="10">
        <v>72361000000</v>
      </c>
      <c r="AB18" s="10">
        <v>72361000000</v>
      </c>
      <c r="AC18" s="10">
        <v>72361000000</v>
      </c>
      <c r="AD18" s="10">
        <v>72361000000</v>
      </c>
      <c r="AE18" s="10">
        <v>72361000000</v>
      </c>
      <c r="AF18" s="10">
        <v>72361000000</v>
      </c>
      <c r="AG18" s="10">
        <v>1026000000</v>
      </c>
      <c r="AH18" s="10">
        <v>1026000000</v>
      </c>
      <c r="AI18" s="10">
        <v>105155000000</v>
      </c>
      <c r="AJ18" s="10">
        <v>72373150000</v>
      </c>
      <c r="AK18" s="10">
        <v>57529000000</v>
      </c>
      <c r="AL18" s="10">
        <v>88523000000</v>
      </c>
      <c r="AM18" s="10">
        <v>211915000000</v>
      </c>
      <c r="AN18" s="10">
        <v>7575000000</v>
      </c>
      <c r="AO18" s="10">
        <v>-238000000</v>
      </c>
      <c r="AP18" s="10">
        <v>-223000000</v>
      </c>
      <c r="AQ18" s="10"/>
      <c r="AR18" s="10"/>
      <c r="AS18" s="10">
        <v>89311000000</v>
      </c>
      <c r="AT18" s="10">
        <v>65863000000</v>
      </c>
      <c r="AU18" s="10">
        <v>13861000000</v>
      </c>
      <c r="AV18" s="10">
        <v>27195000000</v>
      </c>
      <c r="AW18" s="10">
        <v>22759000000</v>
      </c>
      <c r="AX18" s="10">
        <v>30334000000</v>
      </c>
      <c r="AY18" s="10">
        <v>-30000000</v>
      </c>
      <c r="AZ18" s="10">
        <v>-2850000</v>
      </c>
      <c r="BA18" s="10">
        <v>16950000000</v>
      </c>
      <c r="BB18" s="10">
        <v>0.19</v>
      </c>
      <c r="BC18" s="10">
        <v>123392000000</v>
      </c>
      <c r="BD18" s="10">
        <v>88523000000</v>
      </c>
      <c r="BE18" s="10">
        <v>211915000000</v>
      </c>
      <c r="BF18" s="10">
        <v>-15000000</v>
      </c>
      <c r="BG18" s="10">
        <v>-15000000</v>
      </c>
      <c r="BH18" s="10">
        <v>30000000</v>
      </c>
      <c r="BI18" s="10"/>
      <c r="BK18" s="41"/>
      <c r="BL18" s="10"/>
      <c r="BM18" s="10"/>
      <c r="BN18" s="10"/>
      <c r="BO18" s="10"/>
      <c r="BP18" s="10"/>
      <c r="BQ18" s="10"/>
      <c r="BR18" s="10"/>
      <c r="BT18" s="41"/>
      <c r="BU18" s="10"/>
      <c r="BV18" s="10"/>
      <c r="BW18" s="10"/>
      <c r="BX18" s="41">
        <v>2023</v>
      </c>
      <c r="BY18" s="10"/>
      <c r="BZ18" s="10"/>
      <c r="CA18" s="10"/>
      <c r="CB18" t="s">
        <v>650</v>
      </c>
    </row>
    <row r="19" spans="1:80" hidden="1" x14ac:dyDescent="0.35">
      <c r="A19" t="s">
        <v>649</v>
      </c>
      <c r="B19" s="22">
        <v>45199</v>
      </c>
      <c r="C19">
        <v>2023</v>
      </c>
      <c r="D19" t="s">
        <v>214</v>
      </c>
      <c r="E19" t="s">
        <v>213</v>
      </c>
      <c r="F19" s="10"/>
      <c r="G19" s="10">
        <v>7439000000</v>
      </c>
      <c r="H19" s="41">
        <v>10.37</v>
      </c>
      <c r="I19" s="10"/>
      <c r="J19" s="10"/>
      <c r="K19" s="10"/>
      <c r="L19" s="10">
        <v>7466250000</v>
      </c>
      <c r="M19" s="10">
        <v>10.32</v>
      </c>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K19" s="41"/>
      <c r="BL19" s="10"/>
      <c r="BM19" s="10"/>
      <c r="BN19" s="10"/>
      <c r="BO19" s="10"/>
      <c r="BP19" s="10"/>
      <c r="BQ19" s="10"/>
      <c r="BR19" s="10"/>
      <c r="BT19" s="41"/>
      <c r="BU19" s="10"/>
      <c r="BV19" s="10"/>
      <c r="BW19" s="10"/>
      <c r="BX19" s="41">
        <v>2023</v>
      </c>
      <c r="BY19" s="10"/>
      <c r="BZ19" s="10"/>
      <c r="CA19" s="10"/>
      <c r="CB19" t="s">
        <v>650</v>
      </c>
    </row>
    <row r="20" spans="1:80" hidden="1" x14ac:dyDescent="0.35">
      <c r="A20" t="s">
        <v>649</v>
      </c>
      <c r="B20" s="22">
        <v>45291</v>
      </c>
      <c r="C20">
        <v>2023</v>
      </c>
      <c r="D20" t="s">
        <v>214</v>
      </c>
      <c r="E20" t="s">
        <v>213</v>
      </c>
      <c r="F20" s="10"/>
      <c r="G20" s="10">
        <v>7434500000</v>
      </c>
      <c r="H20" s="41">
        <v>11.1</v>
      </c>
      <c r="I20" s="10"/>
      <c r="J20" s="10"/>
      <c r="K20" s="10"/>
      <c r="L20" s="10">
        <v>7465000000</v>
      </c>
      <c r="M20" s="10">
        <v>11.06</v>
      </c>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K20" s="41"/>
      <c r="BL20" s="10"/>
      <c r="BM20" s="10"/>
      <c r="BN20" s="10"/>
      <c r="BO20" s="10"/>
      <c r="BP20" s="10"/>
      <c r="BQ20" s="10"/>
      <c r="BR20" s="10"/>
      <c r="BT20" s="41"/>
      <c r="BU20" s="10"/>
      <c r="BV20" s="10"/>
      <c r="BW20" s="10"/>
      <c r="BX20" s="41">
        <v>2023</v>
      </c>
      <c r="BY20" s="10"/>
      <c r="BZ20" s="10"/>
      <c r="CA20" s="10"/>
      <c r="CB20" t="s">
        <v>650</v>
      </c>
    </row>
    <row r="21" spans="1:80" hidden="1" x14ac:dyDescent="0.35">
      <c r="A21" t="s">
        <v>649</v>
      </c>
      <c r="B21" s="22">
        <v>45382</v>
      </c>
      <c r="C21">
        <v>2024</v>
      </c>
      <c r="D21" t="s">
        <v>214</v>
      </c>
      <c r="E21" t="s">
        <v>213</v>
      </c>
      <c r="F21" s="10"/>
      <c r="G21" s="10">
        <v>7431750000</v>
      </c>
      <c r="H21" s="41">
        <v>11.6</v>
      </c>
      <c r="I21" s="10"/>
      <c r="J21" s="10"/>
      <c r="K21" s="10"/>
      <c r="L21" s="10">
        <v>7466750000</v>
      </c>
      <c r="M21" s="10">
        <v>11.54</v>
      </c>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K21" s="41"/>
      <c r="BL21" s="10"/>
      <c r="BM21" s="10"/>
      <c r="BN21" s="10"/>
      <c r="BO21" s="10"/>
      <c r="BP21" s="10"/>
      <c r="BQ21" s="10"/>
      <c r="BR21" s="10"/>
      <c r="BT21" s="41"/>
      <c r="BU21" s="10"/>
      <c r="BV21" s="10"/>
      <c r="BW21" s="10"/>
      <c r="BX21" s="41">
        <v>2024</v>
      </c>
      <c r="BY21" s="10"/>
      <c r="BZ21" s="10"/>
      <c r="CA21" s="10"/>
      <c r="CB21" t="s">
        <v>650</v>
      </c>
    </row>
    <row r="22" spans="1:80" hidden="1" x14ac:dyDescent="0.35">
      <c r="A22" t="s">
        <v>649</v>
      </c>
      <c r="B22" s="22">
        <v>45473</v>
      </c>
      <c r="C22">
        <v>2024</v>
      </c>
      <c r="D22" t="s">
        <v>212</v>
      </c>
      <c r="E22" t="s">
        <v>213</v>
      </c>
      <c r="F22" s="10"/>
      <c r="G22" s="10">
        <v>7431000000</v>
      </c>
      <c r="H22" s="41">
        <v>11.86</v>
      </c>
      <c r="I22" s="10">
        <v>74114000000</v>
      </c>
      <c r="J22" s="10"/>
      <c r="K22" s="10"/>
      <c r="L22" s="10">
        <v>7469000000</v>
      </c>
      <c r="M22" s="10">
        <v>11.8</v>
      </c>
      <c r="N22" s="10">
        <v>88136000000</v>
      </c>
      <c r="O22" s="10">
        <v>110722000000</v>
      </c>
      <c r="P22" s="10">
        <v>133009000000</v>
      </c>
      <c r="Q22" s="10"/>
      <c r="R22" s="10"/>
      <c r="S22" s="10">
        <v>-343000000</v>
      </c>
      <c r="T22" s="10">
        <v>7609000000</v>
      </c>
      <c r="U22" s="10">
        <v>171008000000</v>
      </c>
      <c r="V22" s="10">
        <v>2935000000</v>
      </c>
      <c r="W22" s="10">
        <v>2935000000</v>
      </c>
      <c r="X22" s="10">
        <v>3157000000</v>
      </c>
      <c r="Y22" s="10">
        <v>3157000000</v>
      </c>
      <c r="Z22" s="10"/>
      <c r="AA22" s="10">
        <v>88136000000</v>
      </c>
      <c r="AB22" s="10">
        <v>88136000000</v>
      </c>
      <c r="AC22" s="10">
        <v>88136000000</v>
      </c>
      <c r="AD22" s="10">
        <v>88136000000</v>
      </c>
      <c r="AE22" s="10">
        <v>88136000000</v>
      </c>
      <c r="AF22" s="10">
        <v>88136000000</v>
      </c>
      <c r="AG22" s="10">
        <v>222000000</v>
      </c>
      <c r="AH22" s="10">
        <v>222000000</v>
      </c>
      <c r="AI22" s="10">
        <v>133558000000</v>
      </c>
      <c r="AJ22" s="10">
        <v>88585082000</v>
      </c>
      <c r="AK22" s="10">
        <v>61575000000</v>
      </c>
      <c r="AL22" s="10">
        <v>109433000000</v>
      </c>
      <c r="AM22" s="10">
        <v>245122000000</v>
      </c>
      <c r="AN22" s="10">
        <v>7609000000</v>
      </c>
      <c r="AO22" s="10">
        <v>-1868000000</v>
      </c>
      <c r="AP22" s="10">
        <v>-1319000000</v>
      </c>
      <c r="AQ22" s="10"/>
      <c r="AR22" s="10"/>
      <c r="AS22" s="10">
        <v>107787000000</v>
      </c>
      <c r="AT22" s="10">
        <v>74114000000</v>
      </c>
      <c r="AU22" s="10">
        <v>22287000000</v>
      </c>
      <c r="AV22" s="10">
        <v>29510000000</v>
      </c>
      <c r="AW22" s="10">
        <v>24456000000</v>
      </c>
      <c r="AX22" s="10">
        <v>32065000000</v>
      </c>
      <c r="AY22" s="10">
        <v>-206000000</v>
      </c>
      <c r="AZ22" s="10">
        <v>-99918000</v>
      </c>
      <c r="BA22" s="10">
        <v>19651000000</v>
      </c>
      <c r="BB22" s="10">
        <v>0.182</v>
      </c>
      <c r="BC22" s="10">
        <v>135689000000</v>
      </c>
      <c r="BD22" s="10">
        <v>109433000000</v>
      </c>
      <c r="BE22" s="10">
        <v>245122000000</v>
      </c>
      <c r="BF22" s="10">
        <v>-549000000</v>
      </c>
      <c r="BG22" s="10">
        <v>-549000000</v>
      </c>
      <c r="BH22" s="10">
        <v>206000000</v>
      </c>
      <c r="BI22" s="10"/>
      <c r="BK22" s="41"/>
      <c r="BL22" s="10"/>
      <c r="BM22" s="10"/>
      <c r="BN22" s="10"/>
      <c r="BO22" s="10"/>
      <c r="BP22" s="10"/>
      <c r="BQ22" s="10"/>
      <c r="BR22" s="10"/>
      <c r="BT22" s="41"/>
      <c r="BU22" s="10"/>
      <c r="BV22" s="10"/>
      <c r="BW22" s="10"/>
      <c r="BX22" s="41">
        <v>2024</v>
      </c>
      <c r="BY22" s="10"/>
      <c r="BZ22" s="10"/>
      <c r="CA22" s="10"/>
      <c r="CB22" t="s">
        <v>650</v>
      </c>
    </row>
    <row r="23" spans="1:80" hidden="1" x14ac:dyDescent="0.35">
      <c r="A23" t="s">
        <v>649</v>
      </c>
      <c r="B23" s="22">
        <v>45473</v>
      </c>
      <c r="C23">
        <v>2024</v>
      </c>
      <c r="D23" t="s">
        <v>214</v>
      </c>
      <c r="E23" t="s">
        <v>213</v>
      </c>
      <c r="F23" s="10"/>
      <c r="G23" s="10"/>
      <c r="H23" s="41"/>
      <c r="I23" s="10">
        <v>74114000000</v>
      </c>
      <c r="J23" s="10"/>
      <c r="K23" s="10"/>
      <c r="L23" s="10"/>
      <c r="M23" s="10"/>
      <c r="N23" s="10">
        <v>88136000000</v>
      </c>
      <c r="O23" s="10">
        <v>110722000000</v>
      </c>
      <c r="P23" s="10">
        <v>133009000000</v>
      </c>
      <c r="Q23" s="10"/>
      <c r="R23" s="10"/>
      <c r="S23" s="10">
        <v>-343000000</v>
      </c>
      <c r="T23" s="10">
        <v>7609000000</v>
      </c>
      <c r="U23" s="10">
        <v>171008000000</v>
      </c>
      <c r="V23" s="10">
        <v>2935000000</v>
      </c>
      <c r="W23" s="10">
        <v>2935000000</v>
      </c>
      <c r="X23" s="10">
        <v>3157000000</v>
      </c>
      <c r="Y23" s="10">
        <v>3157000000</v>
      </c>
      <c r="Z23" s="10"/>
      <c r="AA23" s="10">
        <v>88136000000</v>
      </c>
      <c r="AB23" s="10">
        <v>88136000000</v>
      </c>
      <c r="AC23" s="10">
        <v>88136000000</v>
      </c>
      <c r="AD23" s="10">
        <v>88136000000</v>
      </c>
      <c r="AE23" s="10">
        <v>88136000000</v>
      </c>
      <c r="AF23" s="10">
        <v>88136000000</v>
      </c>
      <c r="AG23" s="10">
        <v>222000000</v>
      </c>
      <c r="AH23" s="10">
        <v>222000000</v>
      </c>
      <c r="AI23" s="10">
        <v>133558000000</v>
      </c>
      <c r="AJ23" s="10">
        <v>88585082000</v>
      </c>
      <c r="AK23" s="10">
        <v>61575000000</v>
      </c>
      <c r="AL23" s="10">
        <v>109433000000</v>
      </c>
      <c r="AM23" s="10">
        <v>245122000000</v>
      </c>
      <c r="AN23" s="10">
        <v>7609000000</v>
      </c>
      <c r="AO23" s="10">
        <v>-1868000000</v>
      </c>
      <c r="AP23" s="10">
        <v>-1319000000</v>
      </c>
      <c r="AQ23" s="10"/>
      <c r="AR23" s="10"/>
      <c r="AS23" s="10">
        <v>107787000000</v>
      </c>
      <c r="AT23" s="10">
        <v>74114000000</v>
      </c>
      <c r="AU23" s="10">
        <v>22287000000</v>
      </c>
      <c r="AV23" s="10">
        <v>29510000000</v>
      </c>
      <c r="AW23" s="10">
        <v>24456000000</v>
      </c>
      <c r="AX23" s="10">
        <v>32065000000</v>
      </c>
      <c r="AY23" s="10">
        <v>-206000000</v>
      </c>
      <c r="AZ23" s="10">
        <v>-99918000</v>
      </c>
      <c r="BA23" s="10">
        <v>19651000000</v>
      </c>
      <c r="BB23" s="10">
        <v>0.182</v>
      </c>
      <c r="BC23" s="10">
        <v>135689000000</v>
      </c>
      <c r="BD23" s="10">
        <v>109433000000</v>
      </c>
      <c r="BE23" s="10">
        <v>245122000000</v>
      </c>
      <c r="BF23" s="10">
        <v>-549000000</v>
      </c>
      <c r="BG23" s="10">
        <v>-549000000</v>
      </c>
      <c r="BH23" s="10">
        <v>206000000</v>
      </c>
      <c r="BI23" s="10"/>
      <c r="BK23" s="41"/>
      <c r="BL23" s="10"/>
      <c r="BM23" s="10"/>
      <c r="BN23" s="10"/>
      <c r="BO23" s="10"/>
      <c r="BP23" s="10"/>
      <c r="BQ23" s="10"/>
      <c r="BR23" s="10"/>
      <c r="BT23" s="41"/>
      <c r="BU23" s="10"/>
      <c r="BV23" s="10"/>
      <c r="BW23" s="10"/>
      <c r="BX23" s="41">
        <v>2024</v>
      </c>
      <c r="BY23" s="10"/>
      <c r="BZ23" s="10"/>
      <c r="CA23" s="10"/>
      <c r="CB23" t="s">
        <v>650</v>
      </c>
    </row>
    <row r="24" spans="1:80" hidden="1" x14ac:dyDescent="0.35">
      <c r="A24" t="s">
        <v>651</v>
      </c>
      <c r="B24" s="22">
        <v>43830</v>
      </c>
      <c r="C24">
        <v>2019</v>
      </c>
      <c r="D24" t="s">
        <v>212</v>
      </c>
      <c r="E24" t="s">
        <v>213</v>
      </c>
      <c r="F24" s="10"/>
      <c r="G24" s="10"/>
      <c r="H24" s="41"/>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v>6000000</v>
      </c>
      <c r="BI24" s="10">
        <v>424000000</v>
      </c>
      <c r="BJ24">
        <v>650000000</v>
      </c>
      <c r="BK24" s="41"/>
      <c r="BL24" s="10"/>
      <c r="BM24" s="10">
        <v>0</v>
      </c>
      <c r="BN24" s="10"/>
      <c r="BO24" s="10"/>
      <c r="BP24" s="10"/>
      <c r="BQ24" s="10"/>
      <c r="BR24" s="10">
        <v>79000000</v>
      </c>
      <c r="BT24" s="41"/>
      <c r="BU24" s="10"/>
      <c r="BV24" s="10"/>
      <c r="BW24" s="10"/>
      <c r="BX24" s="41">
        <v>2019</v>
      </c>
      <c r="BY24" s="10"/>
      <c r="BZ24" s="10"/>
      <c r="CA24" s="10"/>
      <c r="CB24" t="s">
        <v>652</v>
      </c>
    </row>
    <row r="25" spans="1:80" hidden="1" x14ac:dyDescent="0.35">
      <c r="A25" t="s">
        <v>651</v>
      </c>
      <c r="B25" s="22">
        <v>44196</v>
      </c>
      <c r="C25">
        <v>2020</v>
      </c>
      <c r="D25" t="s">
        <v>212</v>
      </c>
      <c r="E25" t="s">
        <v>213</v>
      </c>
      <c r="F25" s="10"/>
      <c r="G25" s="10">
        <v>1984000000</v>
      </c>
      <c r="H25" s="41">
        <v>0.7</v>
      </c>
      <c r="I25" s="10">
        <v>19634000000</v>
      </c>
      <c r="J25" s="10"/>
      <c r="K25" s="10"/>
      <c r="L25" s="10">
        <v>1984000000</v>
      </c>
      <c r="M25" s="10">
        <v>0.7</v>
      </c>
      <c r="N25" s="10">
        <v>1405000000</v>
      </c>
      <c r="O25" s="10">
        <v>6729000000</v>
      </c>
      <c r="P25" s="10">
        <v>11558000000</v>
      </c>
      <c r="Q25" s="10"/>
      <c r="R25" s="10">
        <v>-239000000</v>
      </c>
      <c r="S25" s="10">
        <v>-1670000000</v>
      </c>
      <c r="T25" s="10">
        <v>3404000000</v>
      </c>
      <c r="U25" s="10">
        <v>27247000000</v>
      </c>
      <c r="V25" s="10">
        <v>4650000000</v>
      </c>
      <c r="W25" s="10">
        <v>4650000000</v>
      </c>
      <c r="X25" s="10">
        <v>465000000</v>
      </c>
      <c r="Y25" s="10">
        <v>465000000</v>
      </c>
      <c r="Z25" s="10">
        <v>-797000000</v>
      </c>
      <c r="AA25" s="10">
        <v>1405000000</v>
      </c>
      <c r="AB25" s="10">
        <v>1405000000</v>
      </c>
      <c r="AC25" s="10">
        <v>147000000</v>
      </c>
      <c r="AD25" s="10">
        <v>1405000000</v>
      </c>
      <c r="AE25" s="10">
        <v>-650000000</v>
      </c>
      <c r="AF25" s="10">
        <v>2202000000</v>
      </c>
      <c r="AG25" s="10">
        <v>-6027000000</v>
      </c>
      <c r="AH25" s="10">
        <v>-6027000000</v>
      </c>
      <c r="AI25" s="10">
        <v>16275000000</v>
      </c>
      <c r="AJ25" s="10">
        <v>2699070000</v>
      </c>
      <c r="AK25" s="10">
        <v>14639000000</v>
      </c>
      <c r="AL25" s="10">
        <v>12608000000</v>
      </c>
      <c r="AM25" s="10">
        <v>46881000000</v>
      </c>
      <c r="AN25" s="10">
        <v>3404000000</v>
      </c>
      <c r="AO25" s="10">
        <v>-4503000000</v>
      </c>
      <c r="AP25" s="10">
        <v>58000000</v>
      </c>
      <c r="AQ25" s="10">
        <v>-730000000</v>
      </c>
      <c r="AR25" s="10"/>
      <c r="AS25" s="10">
        <v>2079000000</v>
      </c>
      <c r="AT25" s="10">
        <v>19634000000</v>
      </c>
      <c r="AU25" s="10">
        <v>4829000000</v>
      </c>
      <c r="AV25" s="10"/>
      <c r="AW25" s="10">
        <v>11965000000</v>
      </c>
      <c r="AX25" s="10">
        <v>15369000000</v>
      </c>
      <c r="AY25" s="10">
        <v>-3047000000</v>
      </c>
      <c r="AZ25" s="10">
        <v>-1367930000</v>
      </c>
      <c r="BA25" s="10">
        <v>1932000000</v>
      </c>
      <c r="BB25" s="10">
        <v>0.28999999999999998</v>
      </c>
      <c r="BC25" s="10">
        <v>34273000000</v>
      </c>
      <c r="BD25" s="10">
        <v>9620000000</v>
      </c>
      <c r="BE25" s="10">
        <v>46881000000</v>
      </c>
      <c r="BF25" s="10">
        <v>-4717000000</v>
      </c>
      <c r="BG25" s="10">
        <v>-4717000000</v>
      </c>
      <c r="BH25" s="10"/>
      <c r="BI25" s="10">
        <v>2055000000</v>
      </c>
      <c r="BK25" s="41">
        <v>1842000000</v>
      </c>
      <c r="BL25" s="10">
        <v>156000000</v>
      </c>
      <c r="BM25" s="10">
        <v>2500000000</v>
      </c>
      <c r="BN25" s="10"/>
      <c r="BO25" s="10"/>
      <c r="BP25" s="10"/>
      <c r="BQ25" s="10">
        <v>182000000</v>
      </c>
      <c r="BR25" s="10">
        <v>103000000</v>
      </c>
      <c r="BT25" s="41"/>
      <c r="BU25" s="10">
        <v>182000000</v>
      </c>
      <c r="BV25" s="10">
        <v>56000000</v>
      </c>
      <c r="BW25" s="10"/>
      <c r="BX25" s="41">
        <v>2020</v>
      </c>
      <c r="BY25" s="10"/>
      <c r="BZ25" s="10"/>
      <c r="CA25" s="10"/>
      <c r="CB25" t="s">
        <v>652</v>
      </c>
    </row>
    <row r="26" spans="1:80" hidden="1" x14ac:dyDescent="0.35">
      <c r="A26" t="s">
        <v>651</v>
      </c>
      <c r="B26" s="22">
        <v>44561</v>
      </c>
      <c r="C26">
        <v>2021</v>
      </c>
      <c r="D26" t="s">
        <v>212</v>
      </c>
      <c r="E26" t="s">
        <v>213</v>
      </c>
      <c r="F26" s="10"/>
      <c r="G26" s="10">
        <v>2007000000</v>
      </c>
      <c r="H26" s="41">
        <v>2.33</v>
      </c>
      <c r="I26" s="10">
        <v>23097000000</v>
      </c>
      <c r="J26" s="10"/>
      <c r="K26" s="10"/>
      <c r="L26" s="10">
        <v>2045000000</v>
      </c>
      <c r="M26" s="10">
        <v>2.2799999999999998</v>
      </c>
      <c r="N26" s="10">
        <v>4670000000</v>
      </c>
      <c r="O26" s="10">
        <v>12803000000</v>
      </c>
      <c r="P26" s="10">
        <v>17855000000</v>
      </c>
      <c r="Q26" s="10"/>
      <c r="R26" s="10">
        <v>-247000000</v>
      </c>
      <c r="S26" s="10">
        <v>-663000000</v>
      </c>
      <c r="T26" s="10">
        <v>4394000000</v>
      </c>
      <c r="U26" s="10">
        <v>31207000000</v>
      </c>
      <c r="V26" s="10">
        <v>4340000000</v>
      </c>
      <c r="W26" s="10">
        <v>4340000000</v>
      </c>
      <c r="X26" s="10">
        <v>231000000</v>
      </c>
      <c r="Y26" s="10">
        <v>231000000</v>
      </c>
      <c r="Z26" s="10">
        <v>-1444000000</v>
      </c>
      <c r="AA26" s="10">
        <v>4670000000</v>
      </c>
      <c r="AB26" s="10">
        <v>4670000000</v>
      </c>
      <c r="AC26" s="10">
        <v>6113000000</v>
      </c>
      <c r="AD26" s="10">
        <v>4670000000</v>
      </c>
      <c r="AE26" s="10">
        <v>4670000000</v>
      </c>
      <c r="AF26" s="10">
        <v>6113000000</v>
      </c>
      <c r="AG26" s="10">
        <v>-4946000000</v>
      </c>
      <c r="AH26" s="10">
        <v>-4946000000</v>
      </c>
      <c r="AI26" s="10">
        <v>19066000000</v>
      </c>
      <c r="AJ26" s="10">
        <v>5534654000</v>
      </c>
      <c r="AK26" s="10">
        <v>17002000000</v>
      </c>
      <c r="AL26" s="10">
        <v>14205000000</v>
      </c>
      <c r="AM26" s="10">
        <v>54304000000</v>
      </c>
      <c r="AN26" s="10">
        <v>4394000000</v>
      </c>
      <c r="AO26" s="10">
        <v>-796000000</v>
      </c>
      <c r="AP26" s="10">
        <v>167000000</v>
      </c>
      <c r="AQ26" s="10">
        <v>-573000000</v>
      </c>
      <c r="AR26" s="10"/>
      <c r="AS26" s="10">
        <v>8463000000</v>
      </c>
      <c r="AT26" s="10">
        <v>23097000000</v>
      </c>
      <c r="AU26" s="10">
        <v>5052000000</v>
      </c>
      <c r="AV26" s="10"/>
      <c r="AW26" s="10">
        <v>13181000000</v>
      </c>
      <c r="AX26" s="10">
        <v>17575000000</v>
      </c>
      <c r="AY26" s="10">
        <v>-548000000</v>
      </c>
      <c r="AZ26" s="10">
        <v>-346346000</v>
      </c>
      <c r="BA26" s="10">
        <v>2350000000</v>
      </c>
      <c r="BB26" s="10">
        <v>0.28599999999999998</v>
      </c>
      <c r="BC26" s="10">
        <v>40099000000</v>
      </c>
      <c r="BD26" s="10">
        <v>13824000000</v>
      </c>
      <c r="BE26" s="10">
        <v>54304000000</v>
      </c>
      <c r="BF26" s="10">
        <v>-1211000000</v>
      </c>
      <c r="BG26" s="10">
        <v>-1211000000</v>
      </c>
      <c r="BH26" s="10"/>
      <c r="BI26" s="10">
        <v>0</v>
      </c>
      <c r="BK26" s="41">
        <v>837000000</v>
      </c>
      <c r="BL26" s="10">
        <v>248000000</v>
      </c>
      <c r="BM26" s="10">
        <v>0</v>
      </c>
      <c r="BN26" s="10"/>
      <c r="BO26" s="10"/>
      <c r="BP26" s="10"/>
      <c r="BQ26" s="10">
        <v>177000000</v>
      </c>
      <c r="BR26" s="10">
        <v>73000000</v>
      </c>
      <c r="BT26" s="41"/>
      <c r="BU26" s="10">
        <v>189000000</v>
      </c>
      <c r="BV26" s="10">
        <v>65000000</v>
      </c>
      <c r="BW26" s="10"/>
      <c r="BX26" s="41">
        <v>2021</v>
      </c>
      <c r="BY26" s="10"/>
      <c r="BZ26" s="10"/>
      <c r="CA26" s="10"/>
      <c r="CB26" t="s">
        <v>652</v>
      </c>
    </row>
    <row r="27" spans="1:80" hidden="1" x14ac:dyDescent="0.35">
      <c r="A27" t="s">
        <v>651</v>
      </c>
      <c r="B27" s="22">
        <v>44926</v>
      </c>
      <c r="C27">
        <v>2022</v>
      </c>
      <c r="D27" t="s">
        <v>212</v>
      </c>
      <c r="E27" t="s">
        <v>213</v>
      </c>
      <c r="F27" s="10"/>
      <c r="G27" s="10">
        <v>2013000000</v>
      </c>
      <c r="H27" s="41">
        <v>2.97</v>
      </c>
      <c r="I27" s="10">
        <v>26305000000</v>
      </c>
      <c r="J27" s="10"/>
      <c r="K27" s="10"/>
      <c r="L27" s="10">
        <v>2050000000</v>
      </c>
      <c r="M27" s="10">
        <v>2.91</v>
      </c>
      <c r="N27" s="10">
        <v>5969000000</v>
      </c>
      <c r="O27" s="10">
        <v>13967000000</v>
      </c>
      <c r="P27" s="10">
        <v>19045000000</v>
      </c>
      <c r="Q27" s="10"/>
      <c r="R27" s="10">
        <v>-71000000</v>
      </c>
      <c r="S27" s="10">
        <v>-1110000000</v>
      </c>
      <c r="T27" s="10">
        <v>4414000000</v>
      </c>
      <c r="U27" s="10">
        <v>31481000000</v>
      </c>
      <c r="V27" s="10">
        <v>4443000000</v>
      </c>
      <c r="W27" s="10">
        <v>4443000000</v>
      </c>
      <c r="X27" s="10">
        <v>462000000</v>
      </c>
      <c r="Y27" s="10">
        <v>462000000</v>
      </c>
      <c r="Z27" s="10">
        <v>-1628000000</v>
      </c>
      <c r="AA27" s="10">
        <v>5969000000</v>
      </c>
      <c r="AB27" s="10">
        <v>5969000000</v>
      </c>
      <c r="AC27" s="10">
        <v>7596000000</v>
      </c>
      <c r="AD27" s="10">
        <v>5969000000</v>
      </c>
      <c r="AE27" s="10">
        <v>5969000000</v>
      </c>
      <c r="AF27" s="10">
        <v>7596000000</v>
      </c>
      <c r="AG27" s="10">
        <v>-3039000000</v>
      </c>
      <c r="AH27" s="10">
        <v>-3039000000</v>
      </c>
      <c r="AI27" s="10">
        <v>20324000000</v>
      </c>
      <c r="AJ27" s="10">
        <v>7010106000</v>
      </c>
      <c r="AK27" s="10">
        <v>17016000000</v>
      </c>
      <c r="AL27" s="10">
        <v>14465000000</v>
      </c>
      <c r="AM27" s="10">
        <v>57786000000</v>
      </c>
      <c r="AN27" s="10">
        <v>4414000000</v>
      </c>
      <c r="AO27" s="10">
        <v>-1903000000</v>
      </c>
      <c r="AP27" s="10">
        <v>220000000</v>
      </c>
      <c r="AQ27" s="10">
        <v>-539000000</v>
      </c>
      <c r="AR27" s="10"/>
      <c r="AS27" s="10">
        <v>9524000000</v>
      </c>
      <c r="AT27" s="10">
        <v>26305000000</v>
      </c>
      <c r="AU27" s="10">
        <v>5078000000</v>
      </c>
      <c r="AV27" s="10"/>
      <c r="AW27" s="10">
        <v>13141000000</v>
      </c>
      <c r="AX27" s="10">
        <v>17555000000</v>
      </c>
      <c r="AY27" s="10">
        <v>-169000000</v>
      </c>
      <c r="AZ27" s="10">
        <v>-237894000</v>
      </c>
      <c r="BA27" s="10">
        <v>1928000000</v>
      </c>
      <c r="BB27" s="10">
        <v>0.186</v>
      </c>
      <c r="BC27" s="10">
        <v>43321000000</v>
      </c>
      <c r="BD27" s="10">
        <v>14517000000</v>
      </c>
      <c r="BE27" s="10">
        <v>57786000000</v>
      </c>
      <c r="BF27" s="10">
        <v>-1279000000</v>
      </c>
      <c r="BG27" s="10">
        <v>-1279000000</v>
      </c>
      <c r="BH27" s="10"/>
      <c r="BI27" s="10">
        <v>0</v>
      </c>
      <c r="BK27" s="41">
        <v>-942000000</v>
      </c>
      <c r="BL27" s="10">
        <v>-844000000</v>
      </c>
      <c r="BM27" s="10">
        <v>0</v>
      </c>
      <c r="BN27" s="10"/>
      <c r="BO27" s="10"/>
      <c r="BP27" s="10"/>
      <c r="BQ27" s="10">
        <v>69000000</v>
      </c>
      <c r="BR27" s="10"/>
      <c r="BT27" s="41"/>
      <c r="BU27" s="10">
        <v>111000000</v>
      </c>
      <c r="BV27" s="10">
        <v>82000000</v>
      </c>
      <c r="BW27" s="10"/>
      <c r="BX27" s="41">
        <v>2022</v>
      </c>
      <c r="BY27" s="10"/>
      <c r="BZ27" s="10"/>
      <c r="CA27" s="10"/>
      <c r="CB27" t="s">
        <v>652</v>
      </c>
    </row>
    <row r="28" spans="1:80" hidden="1" x14ac:dyDescent="0.35">
      <c r="A28" t="s">
        <v>651</v>
      </c>
      <c r="B28" s="22">
        <v>45199</v>
      </c>
      <c r="C28">
        <v>2023</v>
      </c>
      <c r="D28" t="s">
        <v>214</v>
      </c>
      <c r="E28" t="s">
        <v>213</v>
      </c>
      <c r="F28" s="10"/>
      <c r="G28" s="10">
        <v>2016000000</v>
      </c>
      <c r="H28" s="41">
        <v>3.13</v>
      </c>
      <c r="I28" s="10"/>
      <c r="J28" s="10"/>
      <c r="K28" s="10"/>
      <c r="L28" s="10">
        <v>2016000000</v>
      </c>
      <c r="M28" s="10">
        <v>3.07</v>
      </c>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K28" s="41"/>
      <c r="BL28" s="10"/>
      <c r="BM28" s="10"/>
      <c r="BN28" s="10"/>
      <c r="BO28" s="10"/>
      <c r="BP28" s="10"/>
      <c r="BQ28" s="10"/>
      <c r="BR28" s="10"/>
      <c r="BT28" s="41"/>
      <c r="BU28" s="10"/>
      <c r="BV28" s="10"/>
      <c r="BW28" s="10"/>
      <c r="BX28" s="41">
        <v>2023</v>
      </c>
      <c r="BY28" s="10"/>
      <c r="BZ28" s="10"/>
      <c r="CA28" s="10"/>
      <c r="CB28" t="s">
        <v>652</v>
      </c>
    </row>
    <row r="29" spans="1:80" hidden="1" x14ac:dyDescent="0.35">
      <c r="A29" t="s">
        <v>651</v>
      </c>
      <c r="B29" s="22">
        <v>45291</v>
      </c>
      <c r="C29">
        <v>2023</v>
      </c>
      <c r="D29" t="s">
        <v>212</v>
      </c>
      <c r="E29" t="s">
        <v>213</v>
      </c>
      <c r="F29" s="10"/>
      <c r="G29" s="10">
        <v>2016000000</v>
      </c>
      <c r="H29" s="41">
        <v>2.65</v>
      </c>
      <c r="I29" s="10">
        <v>27396000000</v>
      </c>
      <c r="J29" s="10"/>
      <c r="K29" s="10"/>
      <c r="L29" s="10">
        <v>2054000000</v>
      </c>
      <c r="M29" s="10">
        <v>2.6</v>
      </c>
      <c r="N29" s="10">
        <v>5341000000</v>
      </c>
      <c r="O29" s="10">
        <v>13718000000</v>
      </c>
      <c r="P29" s="10">
        <v>19129000000</v>
      </c>
      <c r="Q29" s="10"/>
      <c r="R29" s="10">
        <v>-385000000</v>
      </c>
      <c r="S29" s="10">
        <v>-966000000</v>
      </c>
      <c r="T29" s="10">
        <v>4738000000</v>
      </c>
      <c r="U29" s="10">
        <v>31984000000</v>
      </c>
      <c r="V29" s="10">
        <v>4594000000</v>
      </c>
      <c r="W29" s="10">
        <v>4594000000</v>
      </c>
      <c r="X29" s="10">
        <v>733000000</v>
      </c>
      <c r="Y29" s="10">
        <v>733000000</v>
      </c>
      <c r="Z29" s="10">
        <v>-1550000000</v>
      </c>
      <c r="AA29" s="10">
        <v>5341000000</v>
      </c>
      <c r="AB29" s="10">
        <v>5341000000</v>
      </c>
      <c r="AC29" s="10">
        <v>6890000000</v>
      </c>
      <c r="AD29" s="10">
        <v>5341000000</v>
      </c>
      <c r="AE29" s="10">
        <v>5341000000</v>
      </c>
      <c r="AF29" s="10">
        <v>6890000000</v>
      </c>
      <c r="AG29" s="10">
        <v>-4136000000</v>
      </c>
      <c r="AH29" s="10">
        <v>-4136000000</v>
      </c>
      <c r="AI29" s="10">
        <v>20646000000</v>
      </c>
      <c r="AJ29" s="10">
        <v>6475716000</v>
      </c>
      <c r="AK29" s="10">
        <v>17724000000</v>
      </c>
      <c r="AL29" s="10">
        <v>14260000000</v>
      </c>
      <c r="AM29" s="10">
        <v>59380000000</v>
      </c>
      <c r="AN29" s="10">
        <v>4738000000</v>
      </c>
      <c r="AO29" s="10">
        <v>-1001000000</v>
      </c>
      <c r="AP29" s="10">
        <v>256000000</v>
      </c>
      <c r="AQ29" s="10">
        <v>-449000000</v>
      </c>
      <c r="AR29" s="10"/>
      <c r="AS29" s="10">
        <v>9124000000</v>
      </c>
      <c r="AT29" s="10">
        <v>27396000000</v>
      </c>
      <c r="AU29" s="10">
        <v>5411000000</v>
      </c>
      <c r="AV29" s="10"/>
      <c r="AW29" s="10">
        <v>13435000000</v>
      </c>
      <c r="AX29" s="10">
        <v>18173000000</v>
      </c>
      <c r="AY29" s="10">
        <v>-551000000</v>
      </c>
      <c r="AZ29" s="10">
        <v>-382284000</v>
      </c>
      <c r="BA29" s="10">
        <v>2234000000</v>
      </c>
      <c r="BB29" s="10">
        <v>0.252</v>
      </c>
      <c r="BC29" s="10">
        <v>45120000000</v>
      </c>
      <c r="BD29" s="10">
        <v>13966000000</v>
      </c>
      <c r="BE29" s="10">
        <v>59380000000</v>
      </c>
      <c r="BF29" s="10">
        <v>-1517000000</v>
      </c>
      <c r="BG29" s="10">
        <v>-1517000000</v>
      </c>
      <c r="BH29" s="10"/>
      <c r="BI29" s="10"/>
      <c r="BK29" s="41">
        <v>275000000</v>
      </c>
      <c r="BL29" s="10">
        <v>260000000</v>
      </c>
      <c r="BM29" s="10"/>
      <c r="BN29" s="10"/>
      <c r="BO29" s="10"/>
      <c r="BP29" s="10"/>
      <c r="BQ29" s="10">
        <v>97000000</v>
      </c>
      <c r="BR29" s="10"/>
      <c r="BT29" s="41"/>
      <c r="BU29" s="10">
        <v>142000000</v>
      </c>
      <c r="BV29" s="10">
        <v>73000000</v>
      </c>
      <c r="BW29" s="10"/>
      <c r="BX29" s="41">
        <v>2023</v>
      </c>
      <c r="BY29" s="10"/>
      <c r="BZ29" s="10"/>
      <c r="CA29" s="10"/>
      <c r="CB29" t="s">
        <v>652</v>
      </c>
    </row>
    <row r="30" spans="1:80" hidden="1" x14ac:dyDescent="0.35">
      <c r="A30" t="s">
        <v>651</v>
      </c>
      <c r="B30" s="22">
        <v>45382</v>
      </c>
      <c r="C30">
        <v>2024</v>
      </c>
      <c r="D30" t="s">
        <v>214</v>
      </c>
      <c r="E30" t="s">
        <v>213</v>
      </c>
      <c r="F30" s="10"/>
      <c r="G30" s="10">
        <v>2014000000</v>
      </c>
      <c r="H30" s="41">
        <v>2.38</v>
      </c>
      <c r="I30" s="10"/>
      <c r="J30" s="10"/>
      <c r="K30" s="10"/>
      <c r="L30" s="10">
        <v>2014000000</v>
      </c>
      <c r="M30" s="10">
        <v>2.33</v>
      </c>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K30" s="41"/>
      <c r="BL30" s="10"/>
      <c r="BM30" s="10"/>
      <c r="BN30" s="10"/>
      <c r="BO30" s="10"/>
      <c r="BP30" s="10"/>
      <c r="BQ30" s="10"/>
      <c r="BR30" s="10"/>
      <c r="BT30" s="41"/>
      <c r="BU30" s="10"/>
      <c r="BV30" s="10"/>
      <c r="BW30" s="10"/>
      <c r="BX30" s="41">
        <v>2024</v>
      </c>
      <c r="BY30" s="10"/>
      <c r="BZ30" s="10"/>
      <c r="CA30" s="10"/>
      <c r="CB30" t="s">
        <v>652</v>
      </c>
    </row>
    <row r="31" spans="1:80" hidden="1" x14ac:dyDescent="0.35">
      <c r="A31" t="s">
        <v>651</v>
      </c>
      <c r="B31" s="22">
        <v>45473</v>
      </c>
      <c r="C31">
        <v>2024</v>
      </c>
      <c r="D31" t="s">
        <v>214</v>
      </c>
      <c r="E31" t="s">
        <v>213</v>
      </c>
      <c r="F31" s="10"/>
      <c r="G31" s="10">
        <v>1971986642</v>
      </c>
      <c r="H31" s="41">
        <v>2.9551310000000002</v>
      </c>
      <c r="I31" s="10">
        <v>27279000000</v>
      </c>
      <c r="J31" s="10"/>
      <c r="K31" s="10"/>
      <c r="L31" s="10">
        <v>1971986642</v>
      </c>
      <c r="M31" s="10">
        <v>2.9051309999999999</v>
      </c>
      <c r="N31" s="10">
        <v>5928000000</v>
      </c>
      <c r="O31" s="10">
        <v>14483000000</v>
      </c>
      <c r="P31" s="10">
        <v>20040000000</v>
      </c>
      <c r="Q31" s="10"/>
      <c r="R31" s="10"/>
      <c r="S31" s="10">
        <v>-793000000</v>
      </c>
      <c r="T31" s="10"/>
      <c r="U31" s="10">
        <v>32649000000</v>
      </c>
      <c r="V31" s="10">
        <v>4424000000</v>
      </c>
      <c r="W31" s="10">
        <v>4424000000</v>
      </c>
      <c r="X31" s="10">
        <v>716000000</v>
      </c>
      <c r="Y31" s="10">
        <v>716000000</v>
      </c>
      <c r="Z31" s="10">
        <v>-1544000000</v>
      </c>
      <c r="AA31" s="10">
        <v>5928000000</v>
      </c>
      <c r="AB31" s="10">
        <v>5928000000</v>
      </c>
      <c r="AC31" s="10">
        <v>7471000000</v>
      </c>
      <c r="AD31" s="10">
        <v>5928000000</v>
      </c>
      <c r="AE31" s="10">
        <v>5928000000</v>
      </c>
      <c r="AF31" s="10">
        <v>7471000000</v>
      </c>
      <c r="AG31" s="10">
        <v>-3973000000</v>
      </c>
      <c r="AH31" s="10">
        <v>-3973000000</v>
      </c>
      <c r="AI31" s="10">
        <v>21384000000</v>
      </c>
      <c r="AJ31" s="10">
        <v>6904752000</v>
      </c>
      <c r="AK31" s="10">
        <v>17914000000</v>
      </c>
      <c r="AL31" s="10">
        <v>14735000000</v>
      </c>
      <c r="AM31" s="10">
        <v>59927000000</v>
      </c>
      <c r="AN31" s="10"/>
      <c r="AO31" s="10">
        <v>-704000000</v>
      </c>
      <c r="AP31" s="10">
        <v>244000000</v>
      </c>
      <c r="AQ31" s="10">
        <v>-456000000</v>
      </c>
      <c r="AR31" s="10"/>
      <c r="AS31" s="10">
        <v>10059000000</v>
      </c>
      <c r="AT31" s="10">
        <v>27279000000</v>
      </c>
      <c r="AU31" s="10">
        <v>5557000000</v>
      </c>
      <c r="AV31" s="10"/>
      <c r="AW31" s="10"/>
      <c r="AX31" s="10">
        <v>18370000000</v>
      </c>
      <c r="AY31" s="10"/>
      <c r="AZ31" s="10">
        <v>-367248000</v>
      </c>
      <c r="BA31" s="10">
        <v>2588000000</v>
      </c>
      <c r="BB31" s="10">
        <v>0.27324999999999999</v>
      </c>
      <c r="BC31" s="10">
        <v>45193000000</v>
      </c>
      <c r="BD31" s="10">
        <v>14441000000</v>
      </c>
      <c r="BE31" s="10">
        <v>59927000000</v>
      </c>
      <c r="BF31" s="10">
        <v>-1344000000</v>
      </c>
      <c r="BG31" s="10">
        <v>-1344000000</v>
      </c>
      <c r="BH31" s="10"/>
      <c r="BI31" s="10"/>
      <c r="BK31" s="41">
        <v>265000000</v>
      </c>
      <c r="BL31" s="10">
        <v>396000000</v>
      </c>
      <c r="BM31" s="10"/>
      <c r="BN31" s="10"/>
      <c r="BO31" s="10"/>
      <c r="BP31" s="10"/>
      <c r="BQ31" s="10"/>
      <c r="BR31" s="10"/>
      <c r="BT31" s="41"/>
      <c r="BU31" s="10"/>
      <c r="BV31" s="10"/>
      <c r="BW31" s="10"/>
      <c r="BX31" s="41">
        <v>2024</v>
      </c>
      <c r="BY31" s="10"/>
      <c r="BZ31" s="10"/>
      <c r="CA31" s="10"/>
      <c r="CB31" t="s">
        <v>652</v>
      </c>
    </row>
    <row r="32" spans="1:80" hidden="1" x14ac:dyDescent="0.35">
      <c r="A32" t="s">
        <v>653</v>
      </c>
      <c r="B32" s="22">
        <v>43830</v>
      </c>
      <c r="C32">
        <v>2019</v>
      </c>
      <c r="D32" t="s">
        <v>212</v>
      </c>
      <c r="E32" t="s">
        <v>213</v>
      </c>
      <c r="F32" s="10"/>
      <c r="G32" s="10"/>
      <c r="H32" s="41"/>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0</v>
      </c>
      <c r="AZ32" s="10"/>
      <c r="BA32" s="10"/>
      <c r="BB32" s="10"/>
      <c r="BC32" s="10"/>
      <c r="BD32" s="10"/>
      <c r="BE32" s="10"/>
      <c r="BF32" s="10">
        <v>0</v>
      </c>
      <c r="BG32" s="10">
        <v>0</v>
      </c>
      <c r="BH32" s="10"/>
      <c r="BI32" s="10">
        <v>0</v>
      </c>
      <c r="BK32" s="41"/>
      <c r="BL32" s="10"/>
      <c r="BM32" s="10"/>
      <c r="BN32" s="10"/>
      <c r="BO32" s="10"/>
      <c r="BP32" s="10"/>
      <c r="BQ32" s="10"/>
      <c r="BR32" s="10"/>
      <c r="BT32" s="41"/>
      <c r="BU32" s="10">
        <v>0</v>
      </c>
      <c r="BV32" s="10"/>
      <c r="BW32" s="10"/>
      <c r="BX32" s="41">
        <v>2019</v>
      </c>
      <c r="BY32" s="10"/>
      <c r="BZ32" s="10"/>
      <c r="CA32" s="10"/>
      <c r="CB32" t="s">
        <v>654</v>
      </c>
    </row>
    <row r="33" spans="1:80" hidden="1" x14ac:dyDescent="0.35">
      <c r="A33" t="s">
        <v>653</v>
      </c>
      <c r="B33" s="22">
        <v>44196</v>
      </c>
      <c r="C33">
        <v>2020</v>
      </c>
      <c r="D33" t="s">
        <v>212</v>
      </c>
      <c r="E33" t="s">
        <v>213</v>
      </c>
      <c r="F33" s="10"/>
      <c r="G33" s="10">
        <v>280000000</v>
      </c>
      <c r="H33" s="41">
        <v>24.4</v>
      </c>
      <c r="I33" s="10">
        <v>56744000000</v>
      </c>
      <c r="J33" s="10"/>
      <c r="K33" s="10"/>
      <c r="L33" s="10">
        <v>281200000</v>
      </c>
      <c r="M33" s="10">
        <v>24.3</v>
      </c>
      <c r="N33" s="10">
        <v>6833000000</v>
      </c>
      <c r="O33" s="10">
        <v>8826000000</v>
      </c>
      <c r="P33" s="10">
        <v>10116000000</v>
      </c>
      <c r="Q33" s="10"/>
      <c r="R33" s="10"/>
      <c r="S33" s="10"/>
      <c r="T33" s="10"/>
      <c r="U33" s="10">
        <v>8654000000</v>
      </c>
      <c r="V33" s="10">
        <v>591000000</v>
      </c>
      <c r="W33" s="10">
        <v>591000000</v>
      </c>
      <c r="X33" s="10"/>
      <c r="Y33" s="10"/>
      <c r="Z33" s="10"/>
      <c r="AA33" s="10">
        <v>6833000000</v>
      </c>
      <c r="AB33" s="10">
        <v>6833000000</v>
      </c>
      <c r="AC33" s="10">
        <v>6888000000</v>
      </c>
      <c r="AD33" s="10">
        <v>6833000000</v>
      </c>
      <c r="AE33" s="10">
        <v>6888000000</v>
      </c>
      <c r="AF33" s="10">
        <v>6833000000</v>
      </c>
      <c r="AG33" s="10">
        <v>-591000000</v>
      </c>
      <c r="AH33" s="10">
        <v>-591000000</v>
      </c>
      <c r="AI33" s="10">
        <v>10116000000</v>
      </c>
      <c r="AJ33" s="10">
        <v>6888000000</v>
      </c>
      <c r="AK33" s="10">
        <v>10000000</v>
      </c>
      <c r="AL33" s="10">
        <v>8644000000</v>
      </c>
      <c r="AM33" s="10">
        <v>65398000000</v>
      </c>
      <c r="AN33" s="10"/>
      <c r="AO33" s="10">
        <v>182000000</v>
      </c>
      <c r="AP33" s="10">
        <v>182000000</v>
      </c>
      <c r="AQ33" s="10">
        <v>10000000</v>
      </c>
      <c r="AR33" s="10"/>
      <c r="AS33" s="10">
        <v>8235000000</v>
      </c>
      <c r="AT33" s="10">
        <v>56744000000</v>
      </c>
      <c r="AU33" s="10">
        <v>1290000000</v>
      </c>
      <c r="AV33" s="10"/>
      <c r="AW33" s="10"/>
      <c r="AX33" s="10"/>
      <c r="AY33" s="10"/>
      <c r="AZ33" s="10">
        <v>0</v>
      </c>
      <c r="BA33" s="10">
        <v>1347000000</v>
      </c>
      <c r="BB33" s="10">
        <v>0.16400000000000001</v>
      </c>
      <c r="BC33" s="10">
        <v>56754000000</v>
      </c>
      <c r="BD33" s="10">
        <v>8644000000</v>
      </c>
      <c r="BE33" s="10">
        <v>65398000000</v>
      </c>
      <c r="BF33" s="10"/>
      <c r="BG33" s="10"/>
      <c r="BH33" s="10"/>
      <c r="BI33" s="10">
        <v>-55000000</v>
      </c>
      <c r="BK33" s="41"/>
      <c r="BL33" s="10"/>
      <c r="BM33" s="10"/>
      <c r="BN33" s="10"/>
      <c r="BO33" s="10"/>
      <c r="BP33" s="10"/>
      <c r="BQ33" s="10"/>
      <c r="BR33" s="10"/>
      <c r="BT33" s="41"/>
      <c r="BU33" s="10"/>
      <c r="BV33" s="10"/>
      <c r="BW33" s="10"/>
      <c r="BX33" s="41">
        <v>2020</v>
      </c>
      <c r="BY33" s="10"/>
      <c r="BZ33" s="10"/>
      <c r="CA33" s="10"/>
      <c r="CB33" t="s">
        <v>654</v>
      </c>
    </row>
    <row r="34" spans="1:80" hidden="1" x14ac:dyDescent="0.35">
      <c r="A34" t="s">
        <v>653</v>
      </c>
      <c r="B34" s="22">
        <v>44561</v>
      </c>
      <c r="C34">
        <v>2021</v>
      </c>
      <c r="D34" t="s">
        <v>212</v>
      </c>
      <c r="E34" t="s">
        <v>213</v>
      </c>
      <c r="F34" s="10"/>
      <c r="G34" s="10">
        <v>276400000</v>
      </c>
      <c r="H34" s="41">
        <v>22.85</v>
      </c>
      <c r="I34" s="10">
        <v>57983000000</v>
      </c>
      <c r="J34" s="10"/>
      <c r="K34" s="10"/>
      <c r="L34" s="10">
        <v>277400000</v>
      </c>
      <c r="M34" s="10">
        <v>22.76</v>
      </c>
      <c r="N34" s="10">
        <v>6315000000</v>
      </c>
      <c r="O34" s="10">
        <v>8119000000</v>
      </c>
      <c r="P34" s="10">
        <v>9483000000</v>
      </c>
      <c r="Q34" s="10"/>
      <c r="R34" s="10"/>
      <c r="S34" s="10"/>
      <c r="T34" s="10"/>
      <c r="U34" s="10">
        <v>9061000000</v>
      </c>
      <c r="V34" s="10">
        <v>569000000</v>
      </c>
      <c r="W34" s="10">
        <v>569000000</v>
      </c>
      <c r="X34" s="10"/>
      <c r="Y34" s="10"/>
      <c r="Z34" s="10"/>
      <c r="AA34" s="10">
        <v>6315000000</v>
      </c>
      <c r="AB34" s="10">
        <v>6315000000</v>
      </c>
      <c r="AC34" s="10">
        <v>6315000000</v>
      </c>
      <c r="AD34" s="10">
        <v>6315000000</v>
      </c>
      <c r="AE34" s="10">
        <v>6315000000</v>
      </c>
      <c r="AF34" s="10">
        <v>6315000000</v>
      </c>
      <c r="AG34" s="10">
        <v>-569000000</v>
      </c>
      <c r="AH34" s="10">
        <v>-569000000</v>
      </c>
      <c r="AI34" s="10">
        <v>9483000000</v>
      </c>
      <c r="AJ34" s="10">
        <v>6315000000</v>
      </c>
      <c r="AK34" s="10">
        <v>-62000000</v>
      </c>
      <c r="AL34" s="10">
        <v>9123000000</v>
      </c>
      <c r="AM34" s="10">
        <v>67044000000</v>
      </c>
      <c r="AN34" s="10"/>
      <c r="AO34" s="10">
        <v>-1004000000</v>
      </c>
      <c r="AP34" s="10">
        <v>-1004000000</v>
      </c>
      <c r="AQ34" s="10">
        <v>-62000000</v>
      </c>
      <c r="AR34" s="10"/>
      <c r="AS34" s="10">
        <v>7550000000</v>
      </c>
      <c r="AT34" s="10">
        <v>57983000000</v>
      </c>
      <c r="AU34" s="10">
        <v>1364000000</v>
      </c>
      <c r="AV34" s="10"/>
      <c r="AW34" s="10"/>
      <c r="AX34" s="10"/>
      <c r="AY34" s="10"/>
      <c r="AZ34" s="10">
        <v>0</v>
      </c>
      <c r="BA34" s="10">
        <v>1235000000</v>
      </c>
      <c r="BB34" s="10">
        <v>0.16400000000000001</v>
      </c>
      <c r="BC34" s="10">
        <v>57921000000</v>
      </c>
      <c r="BD34" s="10">
        <v>9123000000</v>
      </c>
      <c r="BE34" s="10">
        <v>67044000000</v>
      </c>
      <c r="BF34" s="10"/>
      <c r="BG34" s="10"/>
      <c r="BH34" s="10"/>
      <c r="BI34" s="10">
        <v>0</v>
      </c>
      <c r="BK34" s="41"/>
      <c r="BL34" s="10"/>
      <c r="BM34" s="10"/>
      <c r="BN34" s="10"/>
      <c r="BO34" s="10"/>
      <c r="BP34" s="10"/>
      <c r="BQ34" s="10"/>
      <c r="BR34" s="10"/>
      <c r="BT34" s="41"/>
      <c r="BU34" s="10"/>
      <c r="BV34" s="10"/>
      <c r="BW34" s="10"/>
      <c r="BX34" s="41">
        <v>2021</v>
      </c>
      <c r="BY34" s="10"/>
      <c r="BZ34" s="10"/>
      <c r="CA34" s="10"/>
      <c r="CB34" t="s">
        <v>654</v>
      </c>
    </row>
    <row r="35" spans="1:80" hidden="1" x14ac:dyDescent="0.35">
      <c r="A35" t="s">
        <v>653</v>
      </c>
      <c r="B35" s="22">
        <v>44926</v>
      </c>
      <c r="C35">
        <v>2022</v>
      </c>
      <c r="D35" t="s">
        <v>212</v>
      </c>
      <c r="E35" t="s">
        <v>213</v>
      </c>
      <c r="F35" s="10"/>
      <c r="G35" s="10">
        <v>263700000</v>
      </c>
      <c r="H35" s="41">
        <v>21.74</v>
      </c>
      <c r="I35" s="10">
        <v>57697000000</v>
      </c>
      <c r="J35" s="10"/>
      <c r="K35" s="10"/>
      <c r="L35" s="10">
        <v>264600000</v>
      </c>
      <c r="M35" s="10">
        <v>21.66</v>
      </c>
      <c r="N35" s="10">
        <v>5732000000</v>
      </c>
      <c r="O35" s="10">
        <v>7303000000</v>
      </c>
      <c r="P35" s="10">
        <v>8707000000</v>
      </c>
      <c r="Q35" s="10"/>
      <c r="R35" s="10"/>
      <c r="S35" s="10"/>
      <c r="T35" s="10"/>
      <c r="U35" s="10">
        <v>8287000000</v>
      </c>
      <c r="V35" s="10">
        <v>623000000</v>
      </c>
      <c r="W35" s="10">
        <v>623000000</v>
      </c>
      <c r="X35" s="10"/>
      <c r="Y35" s="10"/>
      <c r="Z35" s="10"/>
      <c r="AA35" s="10">
        <v>5732000000</v>
      </c>
      <c r="AB35" s="10">
        <v>5732000000</v>
      </c>
      <c r="AC35" s="10">
        <v>5732000000</v>
      </c>
      <c r="AD35" s="10">
        <v>5732000000</v>
      </c>
      <c r="AE35" s="10">
        <v>5732000000</v>
      </c>
      <c r="AF35" s="10">
        <v>5732000000</v>
      </c>
      <c r="AG35" s="10">
        <v>-623000000</v>
      </c>
      <c r="AH35" s="10">
        <v>-623000000</v>
      </c>
      <c r="AI35" s="10">
        <v>8707000000</v>
      </c>
      <c r="AJ35" s="10">
        <v>5732000000</v>
      </c>
      <c r="AK35" s="10">
        <v>-61000000</v>
      </c>
      <c r="AL35" s="10">
        <v>8348000000</v>
      </c>
      <c r="AM35" s="10">
        <v>65984000000</v>
      </c>
      <c r="AN35" s="10"/>
      <c r="AO35" s="10">
        <v>-1045000000</v>
      </c>
      <c r="AP35" s="10">
        <v>-1045000000</v>
      </c>
      <c r="AQ35" s="10">
        <v>-61000000</v>
      </c>
      <c r="AR35" s="10"/>
      <c r="AS35" s="10">
        <v>6680000000</v>
      </c>
      <c r="AT35" s="10">
        <v>57697000000</v>
      </c>
      <c r="AU35" s="10">
        <v>1404000000</v>
      </c>
      <c r="AV35" s="10"/>
      <c r="AW35" s="10"/>
      <c r="AX35" s="10"/>
      <c r="AY35" s="10"/>
      <c r="AZ35" s="10">
        <v>0</v>
      </c>
      <c r="BA35" s="10">
        <v>948000000</v>
      </c>
      <c r="BB35" s="10">
        <v>0.14199999999999999</v>
      </c>
      <c r="BC35" s="10">
        <v>57636000000</v>
      </c>
      <c r="BD35" s="10">
        <v>8348000000</v>
      </c>
      <c r="BE35" s="10">
        <v>65984000000</v>
      </c>
      <c r="BF35" s="10"/>
      <c r="BG35" s="10"/>
      <c r="BH35" s="10"/>
      <c r="BI35" s="10">
        <v>0</v>
      </c>
      <c r="BK35" s="41"/>
      <c r="BL35" s="10"/>
      <c r="BM35" s="10"/>
      <c r="BN35" s="10"/>
      <c r="BO35" s="10"/>
      <c r="BP35" s="10"/>
      <c r="BQ35" s="10"/>
      <c r="BR35" s="10"/>
      <c r="BT35" s="41"/>
      <c r="BU35" s="10"/>
      <c r="BV35" s="10"/>
      <c r="BW35" s="10"/>
      <c r="BX35" s="41">
        <v>2022</v>
      </c>
      <c r="BY35" s="10"/>
      <c r="BZ35" s="10"/>
      <c r="CA35" s="10"/>
      <c r="CB35" t="s">
        <v>654</v>
      </c>
    </row>
    <row r="36" spans="1:80" hidden="1" x14ac:dyDescent="0.35">
      <c r="A36" t="s">
        <v>653</v>
      </c>
      <c r="B36" s="22">
        <v>45199</v>
      </c>
      <c r="C36">
        <v>2023</v>
      </c>
      <c r="D36" t="s">
        <v>214</v>
      </c>
      <c r="E36" t="s">
        <v>213</v>
      </c>
      <c r="F36" s="10"/>
      <c r="G36" s="10">
        <v>253350000</v>
      </c>
      <c r="H36" s="41">
        <v>27.42</v>
      </c>
      <c r="I36" s="10"/>
      <c r="J36" s="10"/>
      <c r="K36" s="10"/>
      <c r="L36" s="10">
        <v>254250000</v>
      </c>
      <c r="M36" s="10">
        <v>27.32</v>
      </c>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K36" s="41"/>
      <c r="BL36" s="10"/>
      <c r="BM36" s="10"/>
      <c r="BN36" s="10"/>
      <c r="BO36" s="10"/>
      <c r="BP36" s="10"/>
      <c r="BQ36" s="10"/>
      <c r="BR36" s="10"/>
      <c r="BT36" s="41"/>
      <c r="BU36" s="10"/>
      <c r="BV36" s="10"/>
      <c r="BW36" s="10"/>
      <c r="BX36" s="41">
        <v>2023</v>
      </c>
      <c r="BY36" s="10"/>
      <c r="BZ36" s="10"/>
      <c r="CA36" s="10"/>
      <c r="CB36" t="s">
        <v>654</v>
      </c>
    </row>
    <row r="37" spans="1:80" hidden="1" x14ac:dyDescent="0.35">
      <c r="A37" t="s">
        <v>653</v>
      </c>
      <c r="B37" s="22">
        <v>45291</v>
      </c>
      <c r="C37">
        <v>2023</v>
      </c>
      <c r="D37" t="s">
        <v>212</v>
      </c>
      <c r="E37" t="s">
        <v>213</v>
      </c>
      <c r="F37" s="10"/>
      <c r="G37" s="10">
        <v>250300000</v>
      </c>
      <c r="H37" s="41">
        <v>27.65</v>
      </c>
      <c r="I37" s="10">
        <v>59092000000</v>
      </c>
      <c r="J37" s="10"/>
      <c r="K37" s="10"/>
      <c r="L37" s="10">
        <v>251200000</v>
      </c>
      <c r="M37" s="10">
        <v>27.55</v>
      </c>
      <c r="N37" s="10">
        <v>6920000000</v>
      </c>
      <c r="O37" s="10">
        <v>9014000000</v>
      </c>
      <c r="P37" s="10">
        <v>10444000000</v>
      </c>
      <c r="Q37" s="10"/>
      <c r="R37" s="10"/>
      <c r="S37" s="10"/>
      <c r="T37" s="10"/>
      <c r="U37" s="10">
        <v>8479000000</v>
      </c>
      <c r="V37" s="10">
        <v>916000000</v>
      </c>
      <c r="W37" s="10">
        <v>916000000</v>
      </c>
      <c r="X37" s="10"/>
      <c r="Y37" s="10"/>
      <c r="Z37" s="10"/>
      <c r="AA37" s="10">
        <v>6920000000</v>
      </c>
      <c r="AB37" s="10">
        <v>6920000000</v>
      </c>
      <c r="AC37" s="10">
        <v>6920000000</v>
      </c>
      <c r="AD37" s="10">
        <v>6920000000</v>
      </c>
      <c r="AE37" s="10">
        <v>6920000000</v>
      </c>
      <c r="AF37" s="10">
        <v>6920000000</v>
      </c>
      <c r="AG37" s="10">
        <v>-916000000</v>
      </c>
      <c r="AH37" s="10">
        <v>-916000000</v>
      </c>
      <c r="AI37" s="10">
        <v>10444000000</v>
      </c>
      <c r="AJ37" s="10">
        <v>6920000000</v>
      </c>
      <c r="AK37" s="10">
        <v>-28000000</v>
      </c>
      <c r="AL37" s="10">
        <v>8507000000</v>
      </c>
      <c r="AM37" s="10">
        <v>67571000000</v>
      </c>
      <c r="AN37" s="10"/>
      <c r="AO37" s="10">
        <v>507000000</v>
      </c>
      <c r="AP37" s="10">
        <v>507000000</v>
      </c>
      <c r="AQ37" s="10">
        <v>-28000000</v>
      </c>
      <c r="AR37" s="10"/>
      <c r="AS37" s="10">
        <v>8098000000</v>
      </c>
      <c r="AT37" s="10">
        <v>59092000000</v>
      </c>
      <c r="AU37" s="10">
        <v>1430000000</v>
      </c>
      <c r="AV37" s="10"/>
      <c r="AW37" s="10"/>
      <c r="AX37" s="10"/>
      <c r="AY37" s="10"/>
      <c r="AZ37" s="10">
        <v>0</v>
      </c>
      <c r="BA37" s="10">
        <v>1178000000</v>
      </c>
      <c r="BB37" s="10">
        <v>0.14499999999999999</v>
      </c>
      <c r="BC37" s="10">
        <v>59064000000</v>
      </c>
      <c r="BD37" s="10">
        <v>8507000000</v>
      </c>
      <c r="BE37" s="10">
        <v>67571000000</v>
      </c>
      <c r="BF37" s="10"/>
      <c r="BG37" s="10"/>
      <c r="BH37" s="10"/>
      <c r="BI37" s="10"/>
      <c r="BK37" s="41"/>
      <c r="BL37" s="10"/>
      <c r="BM37" s="10"/>
      <c r="BN37" s="10"/>
      <c r="BO37" s="10"/>
      <c r="BP37" s="10"/>
      <c r="BQ37" s="10"/>
      <c r="BR37" s="10"/>
      <c r="BT37" s="41"/>
      <c r="BU37" s="10"/>
      <c r="BV37" s="10"/>
      <c r="BW37" s="10"/>
      <c r="BX37" s="41">
        <v>2023</v>
      </c>
      <c r="BY37" s="10"/>
      <c r="BZ37" s="10"/>
      <c r="CA37" s="10"/>
      <c r="CB37" t="s">
        <v>654</v>
      </c>
    </row>
    <row r="38" spans="1:80" hidden="1" x14ac:dyDescent="0.35">
      <c r="A38" t="s">
        <v>653</v>
      </c>
      <c r="B38" s="22">
        <v>45291</v>
      </c>
      <c r="C38">
        <v>2023</v>
      </c>
      <c r="D38" t="s">
        <v>214</v>
      </c>
      <c r="E38" t="s">
        <v>213</v>
      </c>
      <c r="F38" s="10"/>
      <c r="G38" s="10">
        <v>250300000</v>
      </c>
      <c r="H38" s="41">
        <v>27.65</v>
      </c>
      <c r="I38" s="10"/>
      <c r="J38" s="10"/>
      <c r="K38" s="10"/>
      <c r="L38" s="10">
        <v>251200000</v>
      </c>
      <c r="M38" s="10">
        <v>27.55</v>
      </c>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K38" s="41"/>
      <c r="BL38" s="10"/>
      <c r="BM38" s="10"/>
      <c r="BN38" s="10"/>
      <c r="BO38" s="10"/>
      <c r="BP38" s="10"/>
      <c r="BQ38" s="10"/>
      <c r="BR38" s="10"/>
      <c r="BT38" s="41"/>
      <c r="BU38" s="10"/>
      <c r="BV38" s="10"/>
      <c r="BW38" s="10"/>
      <c r="BX38" s="41">
        <v>2023</v>
      </c>
      <c r="BY38" s="10"/>
      <c r="BZ38" s="10"/>
      <c r="CA38" s="10"/>
      <c r="CB38" t="s">
        <v>654</v>
      </c>
    </row>
    <row r="39" spans="1:80" hidden="1" x14ac:dyDescent="0.35">
      <c r="A39" t="s">
        <v>653</v>
      </c>
      <c r="B39" s="22">
        <v>45382</v>
      </c>
      <c r="C39">
        <v>2024</v>
      </c>
      <c r="D39" t="s">
        <v>214</v>
      </c>
      <c r="E39" t="s">
        <v>213</v>
      </c>
      <c r="F39" s="10"/>
      <c r="G39" s="10">
        <v>246800000</v>
      </c>
      <c r="H39" s="41">
        <v>27.44</v>
      </c>
      <c r="I39" s="10"/>
      <c r="J39" s="10"/>
      <c r="K39" s="10"/>
      <c r="L39" s="10">
        <v>247675000</v>
      </c>
      <c r="M39" s="10">
        <v>27.33</v>
      </c>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K39" s="41"/>
      <c r="BL39" s="10"/>
      <c r="BM39" s="10"/>
      <c r="BN39" s="10"/>
      <c r="BO39" s="10"/>
      <c r="BP39" s="10"/>
      <c r="BQ39" s="10"/>
      <c r="BR39" s="10"/>
      <c r="BT39" s="41"/>
      <c r="BU39" s="10"/>
      <c r="BV39" s="10"/>
      <c r="BW39" s="10"/>
      <c r="BX39" s="41">
        <v>2024</v>
      </c>
      <c r="BY39" s="10"/>
      <c r="BZ39" s="10"/>
      <c r="CA39" s="10"/>
      <c r="CB39" t="s">
        <v>654</v>
      </c>
    </row>
    <row r="40" spans="1:80" hidden="1" x14ac:dyDescent="0.35">
      <c r="A40" t="s">
        <v>653</v>
      </c>
      <c r="B40" s="22">
        <v>45473</v>
      </c>
      <c r="C40">
        <v>2024</v>
      </c>
      <c r="D40" t="s">
        <v>214</v>
      </c>
      <c r="E40" t="s">
        <v>213</v>
      </c>
      <c r="F40" s="10"/>
      <c r="G40" s="10">
        <v>243350000</v>
      </c>
      <c r="H40" s="41">
        <v>27.66</v>
      </c>
      <c r="I40" s="10">
        <v>62603000000</v>
      </c>
      <c r="J40" s="10"/>
      <c r="K40" s="10"/>
      <c r="L40" s="10">
        <v>244200000</v>
      </c>
      <c r="M40" s="10">
        <v>27.55</v>
      </c>
      <c r="N40" s="10">
        <v>6736000000</v>
      </c>
      <c r="O40" s="10">
        <v>8888000000</v>
      </c>
      <c r="P40" s="10">
        <v>10369000000</v>
      </c>
      <c r="Q40" s="10"/>
      <c r="R40" s="10"/>
      <c r="S40" s="10"/>
      <c r="T40" s="10"/>
      <c r="U40" s="10">
        <v>8466000000</v>
      </c>
      <c r="V40" s="10">
        <v>1007000000</v>
      </c>
      <c r="W40" s="10">
        <v>1007000000</v>
      </c>
      <c r="X40" s="10"/>
      <c r="Y40" s="10"/>
      <c r="Z40" s="10"/>
      <c r="AA40" s="10">
        <v>6736000000</v>
      </c>
      <c r="AB40" s="10">
        <v>6736000000</v>
      </c>
      <c r="AC40" s="10">
        <v>6736000000</v>
      </c>
      <c r="AD40" s="10">
        <v>6736000000</v>
      </c>
      <c r="AE40" s="10">
        <v>6736000000</v>
      </c>
      <c r="AF40" s="10">
        <v>6736000000</v>
      </c>
      <c r="AG40" s="10">
        <v>-1007000000</v>
      </c>
      <c r="AH40" s="10">
        <v>-1007000000</v>
      </c>
      <c r="AI40" s="10">
        <v>10369000000</v>
      </c>
      <c r="AJ40" s="10">
        <v>6736000000</v>
      </c>
      <c r="AK40" s="10">
        <v>144000000</v>
      </c>
      <c r="AL40" s="10">
        <v>8322000000</v>
      </c>
      <c r="AM40" s="10">
        <v>71069000000</v>
      </c>
      <c r="AN40" s="10"/>
      <c r="AO40" s="10">
        <v>566000000</v>
      </c>
      <c r="AP40" s="10">
        <v>566000000</v>
      </c>
      <c r="AQ40" s="10">
        <v>-46000000</v>
      </c>
      <c r="AR40" s="10"/>
      <c r="AS40" s="10">
        <v>7881000000</v>
      </c>
      <c r="AT40" s="10">
        <v>62603000000</v>
      </c>
      <c r="AU40" s="10">
        <v>1481000000</v>
      </c>
      <c r="AV40" s="10"/>
      <c r="AW40" s="10"/>
      <c r="AX40" s="10"/>
      <c r="AY40" s="10"/>
      <c r="AZ40" s="10">
        <v>0</v>
      </c>
      <c r="BA40" s="10">
        <v>1145000000</v>
      </c>
      <c r="BB40" s="10">
        <v>0.145286</v>
      </c>
      <c r="BC40" s="10">
        <v>62747000000</v>
      </c>
      <c r="BD40" s="10">
        <v>8512000000</v>
      </c>
      <c r="BE40" s="10">
        <v>71069000000</v>
      </c>
      <c r="BF40" s="10"/>
      <c r="BG40" s="10"/>
      <c r="BH40" s="10"/>
      <c r="BI40" s="10"/>
      <c r="BK40" s="41"/>
      <c r="BL40" s="10"/>
      <c r="BM40" s="10"/>
      <c r="BN40" s="10"/>
      <c r="BO40" s="10"/>
      <c r="BP40" s="10"/>
      <c r="BQ40" s="10"/>
      <c r="BR40" s="10"/>
      <c r="BT40" s="41"/>
      <c r="BU40" s="10"/>
      <c r="BV40" s="10"/>
      <c r="BW40" s="10"/>
      <c r="BX40" s="41">
        <v>2024</v>
      </c>
      <c r="BY40" s="10"/>
      <c r="BZ40" s="10"/>
      <c r="CA40" s="10"/>
      <c r="CB40" t="s">
        <v>654</v>
      </c>
    </row>
    <row r="41" spans="1:80" hidden="1" x14ac:dyDescent="0.35">
      <c r="A41" t="s">
        <v>655</v>
      </c>
      <c r="B41" s="22">
        <v>43830</v>
      </c>
      <c r="C41">
        <v>2019</v>
      </c>
      <c r="D41" t="s">
        <v>212</v>
      </c>
      <c r="E41" t="s">
        <v>213</v>
      </c>
      <c r="F41" s="10"/>
      <c r="G41" s="10"/>
      <c r="H41" s="41"/>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K41" s="41"/>
      <c r="BL41" s="10"/>
      <c r="BM41" s="10">
        <v>1458000000</v>
      </c>
      <c r="BN41" s="10"/>
      <c r="BO41" s="10"/>
      <c r="BP41" s="10"/>
      <c r="BQ41" s="10"/>
      <c r="BR41" s="10"/>
      <c r="BT41" s="41"/>
      <c r="BU41" s="10"/>
      <c r="BV41" s="10">
        <v>-1458000000</v>
      </c>
      <c r="BW41" s="10"/>
      <c r="BX41" s="41">
        <v>2019</v>
      </c>
      <c r="BY41" s="10"/>
      <c r="BZ41" s="10"/>
      <c r="CA41" s="10"/>
      <c r="CB41" t="s">
        <v>656</v>
      </c>
    </row>
    <row r="42" spans="1:80" hidden="1" x14ac:dyDescent="0.35">
      <c r="A42" t="s">
        <v>655</v>
      </c>
      <c r="B42" s="22">
        <v>44196</v>
      </c>
      <c r="C42">
        <v>2020</v>
      </c>
      <c r="D42" t="s">
        <v>212</v>
      </c>
      <c r="E42" t="s">
        <v>213</v>
      </c>
      <c r="F42" s="10">
        <v>23000000</v>
      </c>
      <c r="G42" s="10">
        <v>7157000000</v>
      </c>
      <c r="H42" s="41">
        <v>-0.75</v>
      </c>
      <c r="I42" s="10">
        <v>79920000000</v>
      </c>
      <c r="J42" s="10">
        <v>28516000000</v>
      </c>
      <c r="K42" s="10">
        <v>28516000000</v>
      </c>
      <c r="L42" s="10">
        <v>7183000000</v>
      </c>
      <c r="M42" s="10">
        <v>-0.75</v>
      </c>
      <c r="N42" s="10">
        <v>-5346000000</v>
      </c>
      <c r="O42" s="10">
        <v>5069000000</v>
      </c>
      <c r="P42" s="10">
        <v>33585000000</v>
      </c>
      <c r="Q42" s="10"/>
      <c r="R42" s="10"/>
      <c r="S42" s="10"/>
      <c r="T42" s="10"/>
      <c r="U42" s="10">
        <v>91840000000</v>
      </c>
      <c r="V42" s="10">
        <v>7925000000</v>
      </c>
      <c r="W42" s="10">
        <v>7925000000</v>
      </c>
      <c r="X42" s="10"/>
      <c r="Y42" s="10"/>
      <c r="Z42" s="10">
        <v>-1355000000</v>
      </c>
      <c r="AA42" s="10">
        <v>-5176000000</v>
      </c>
      <c r="AB42" s="10">
        <v>-5369000000</v>
      </c>
      <c r="AC42" s="10">
        <v>-3821000000</v>
      </c>
      <c r="AD42" s="10">
        <v>-5176000000</v>
      </c>
      <c r="AE42" s="10">
        <v>-5176000000</v>
      </c>
      <c r="AF42" s="10">
        <v>-3821000000</v>
      </c>
      <c r="AG42" s="10">
        <v>-7925000000</v>
      </c>
      <c r="AH42" s="10">
        <v>-7925000000</v>
      </c>
      <c r="AI42" s="10">
        <v>52465000000</v>
      </c>
      <c r="AJ42" s="10">
        <v>8606400000</v>
      </c>
      <c r="AK42" s="10">
        <v>66555000000</v>
      </c>
      <c r="AL42" s="10">
        <v>25285000000</v>
      </c>
      <c r="AM42" s="10">
        <v>171760000000</v>
      </c>
      <c r="AN42" s="10"/>
      <c r="AO42" s="10">
        <v>-20216000000</v>
      </c>
      <c r="AP42" s="10">
        <v>-1431000000</v>
      </c>
      <c r="AQ42" s="10"/>
      <c r="AR42" s="10"/>
      <c r="AS42" s="10">
        <v>-2856000000</v>
      </c>
      <c r="AT42" s="10">
        <v>79920000000</v>
      </c>
      <c r="AU42" s="10">
        <v>28516000000</v>
      </c>
      <c r="AV42" s="10"/>
      <c r="AW42" s="10"/>
      <c r="AX42" s="10">
        <v>38039000000</v>
      </c>
      <c r="AY42" s="10">
        <v>-18880000000</v>
      </c>
      <c r="AZ42" s="10">
        <v>-5097600000</v>
      </c>
      <c r="BA42" s="10">
        <v>965000000</v>
      </c>
      <c r="BB42" s="10">
        <v>0.27</v>
      </c>
      <c r="BC42" s="10">
        <v>146475000000</v>
      </c>
      <c r="BD42" s="10">
        <v>6405000000</v>
      </c>
      <c r="BE42" s="10">
        <v>171760000000</v>
      </c>
      <c r="BF42" s="10">
        <v>-18880000000</v>
      </c>
      <c r="BG42" s="10">
        <v>-18880000000</v>
      </c>
      <c r="BH42" s="10">
        <v>18880000000</v>
      </c>
      <c r="BI42" s="10"/>
      <c r="BK42" s="41"/>
      <c r="BL42" s="10">
        <v>95000000</v>
      </c>
      <c r="BM42" s="10">
        <v>18880000000</v>
      </c>
      <c r="BN42" s="10">
        <v>193000000</v>
      </c>
      <c r="BO42" s="10"/>
      <c r="BP42" s="10"/>
      <c r="BQ42" s="10"/>
      <c r="BR42" s="10"/>
      <c r="BT42" s="41"/>
      <c r="BU42" s="10"/>
      <c r="BV42" s="10"/>
      <c r="BW42" s="10"/>
      <c r="BX42" s="41">
        <v>2020</v>
      </c>
      <c r="BY42" s="10"/>
      <c r="BZ42" s="10"/>
      <c r="CA42" s="10"/>
      <c r="CB42" t="s">
        <v>656</v>
      </c>
    </row>
    <row r="43" spans="1:80" hidden="1" x14ac:dyDescent="0.35">
      <c r="A43" t="s">
        <v>655</v>
      </c>
      <c r="B43" s="22">
        <v>44561</v>
      </c>
      <c r="C43">
        <v>2021</v>
      </c>
      <c r="D43" t="s">
        <v>212</v>
      </c>
      <c r="E43" t="s">
        <v>213</v>
      </c>
      <c r="F43" s="10">
        <v>582000000</v>
      </c>
      <c r="G43" s="10">
        <v>7168000000</v>
      </c>
      <c r="H43" s="41">
        <v>2.77</v>
      </c>
      <c r="I43" s="10">
        <v>60407000000</v>
      </c>
      <c r="J43" s="10">
        <v>17852000000</v>
      </c>
      <c r="K43" s="10">
        <v>17852000000</v>
      </c>
      <c r="L43" s="10">
        <v>7199000000</v>
      </c>
      <c r="M43" s="10">
        <v>2.76</v>
      </c>
      <c r="N43" s="10">
        <v>20456000000</v>
      </c>
      <c r="O43" s="10">
        <v>35887000000</v>
      </c>
      <c r="P43" s="10">
        <v>53739000000</v>
      </c>
      <c r="Q43" s="10"/>
      <c r="R43" s="10"/>
      <c r="S43" s="10"/>
      <c r="T43" s="10"/>
      <c r="U43" s="10">
        <v>73631000000</v>
      </c>
      <c r="V43" s="10">
        <v>6716000000</v>
      </c>
      <c r="W43" s="10">
        <v>6716000000</v>
      </c>
      <c r="X43" s="10"/>
      <c r="Y43" s="10"/>
      <c r="Z43" s="10">
        <v>-1398000000</v>
      </c>
      <c r="AA43" s="10">
        <v>20081000000</v>
      </c>
      <c r="AB43" s="10">
        <v>19874000000</v>
      </c>
      <c r="AC43" s="10">
        <v>23776000000</v>
      </c>
      <c r="AD43" s="10">
        <v>20081000000</v>
      </c>
      <c r="AE43" s="10">
        <v>22378000000</v>
      </c>
      <c r="AF43" s="10">
        <v>21479000000</v>
      </c>
      <c r="AG43" s="10">
        <v>-6716000000</v>
      </c>
      <c r="AH43" s="10">
        <v>-6716000000</v>
      </c>
      <c r="AI43" s="10">
        <v>53952000000</v>
      </c>
      <c r="AJ43" s="10">
        <v>22551595000</v>
      </c>
      <c r="AK43" s="10">
        <v>47521000000</v>
      </c>
      <c r="AL43" s="10">
        <v>26110000000</v>
      </c>
      <c r="AM43" s="10">
        <v>134038000000</v>
      </c>
      <c r="AN43" s="10"/>
      <c r="AO43" s="10">
        <v>9777000000</v>
      </c>
      <c r="AP43" s="10">
        <v>9387000000</v>
      </c>
      <c r="AQ43" s="10"/>
      <c r="AR43" s="10">
        <v>0</v>
      </c>
      <c r="AS43" s="10">
        <v>29171000000</v>
      </c>
      <c r="AT43" s="10">
        <v>60407000000</v>
      </c>
      <c r="AU43" s="10">
        <v>17852000000</v>
      </c>
      <c r="AV43" s="10"/>
      <c r="AW43" s="10"/>
      <c r="AX43" s="10">
        <v>29669000000</v>
      </c>
      <c r="AY43" s="10">
        <v>-213000000</v>
      </c>
      <c r="AZ43" s="10">
        <v>-39405000</v>
      </c>
      <c r="BA43" s="10">
        <v>5395000000</v>
      </c>
      <c r="BB43" s="10">
        <v>0.185</v>
      </c>
      <c r="BC43" s="10">
        <v>107928000000</v>
      </c>
      <c r="BD43" s="10">
        <v>25897000000</v>
      </c>
      <c r="BE43" s="10">
        <v>134038000000</v>
      </c>
      <c r="BF43" s="10">
        <v>-213000000</v>
      </c>
      <c r="BG43" s="10">
        <v>-213000000</v>
      </c>
      <c r="BH43" s="10">
        <v>213000000</v>
      </c>
      <c r="BI43" s="10">
        <v>-2297000000</v>
      </c>
      <c r="BK43" s="41"/>
      <c r="BL43" s="10">
        <v>603000000</v>
      </c>
      <c r="BM43" s="10">
        <v>213000000</v>
      </c>
      <c r="BN43" s="10">
        <v>207000000</v>
      </c>
      <c r="BO43" s="10"/>
      <c r="BP43" s="10"/>
      <c r="BQ43" s="10"/>
      <c r="BR43" s="10"/>
      <c r="BT43" s="41"/>
      <c r="BU43" s="10"/>
      <c r="BV43" s="10"/>
      <c r="BW43" s="10"/>
      <c r="BX43" s="41">
        <v>2021</v>
      </c>
      <c r="BY43" s="10"/>
      <c r="BZ43" s="10"/>
      <c r="CA43" s="10"/>
      <c r="CB43" t="s">
        <v>656</v>
      </c>
    </row>
    <row r="44" spans="1:80" hidden="1" x14ac:dyDescent="0.35">
      <c r="A44" t="s">
        <v>655</v>
      </c>
      <c r="B44" s="22">
        <v>44926</v>
      </c>
      <c r="C44">
        <v>2022</v>
      </c>
      <c r="D44" t="s">
        <v>212</v>
      </c>
      <c r="E44" t="s">
        <v>213</v>
      </c>
      <c r="F44" s="10">
        <v>543000000</v>
      </c>
      <c r="G44" s="10">
        <v>7166000000</v>
      </c>
      <c r="H44" s="41">
        <v>-1.1299999999999999</v>
      </c>
      <c r="I44" s="10">
        <v>50848000000</v>
      </c>
      <c r="J44" s="10">
        <v>18021000000</v>
      </c>
      <c r="K44" s="10">
        <v>18021000000</v>
      </c>
      <c r="L44" s="10">
        <v>7587000000</v>
      </c>
      <c r="M44" s="10">
        <v>-1.1299999999999999</v>
      </c>
      <c r="N44" s="10">
        <v>-7521000000</v>
      </c>
      <c r="O44" s="10">
        <v>3014000000</v>
      </c>
      <c r="P44" s="10">
        <v>21035000000</v>
      </c>
      <c r="Q44" s="10"/>
      <c r="R44" s="10"/>
      <c r="S44" s="10"/>
      <c r="T44" s="10"/>
      <c r="U44" s="10">
        <v>69893000000</v>
      </c>
      <c r="V44" s="10">
        <v>6108000000</v>
      </c>
      <c r="W44" s="10">
        <v>6108000000</v>
      </c>
      <c r="X44" s="10"/>
      <c r="Y44" s="10"/>
      <c r="Z44" s="10">
        <v>-1469000000</v>
      </c>
      <c r="AA44" s="10">
        <v>-8524000000</v>
      </c>
      <c r="AB44" s="10">
        <v>-8064000000</v>
      </c>
      <c r="AC44" s="10">
        <v>-6874000000</v>
      </c>
      <c r="AD44" s="10">
        <v>-8524000000</v>
      </c>
      <c r="AE44" s="10">
        <v>-8343000000</v>
      </c>
      <c r="AF44" s="10">
        <v>-7055000000</v>
      </c>
      <c r="AG44" s="10">
        <v>-6108000000</v>
      </c>
      <c r="AH44" s="10">
        <v>-6108000000</v>
      </c>
      <c r="AI44" s="10">
        <v>48533000000</v>
      </c>
      <c r="AJ44" s="10">
        <v>13380420000</v>
      </c>
      <c r="AK44" s="10">
        <v>46982000000</v>
      </c>
      <c r="AL44" s="10">
        <v>22911000000</v>
      </c>
      <c r="AM44" s="10">
        <v>120741000000</v>
      </c>
      <c r="AN44" s="10"/>
      <c r="AO44" s="10">
        <v>-19897000000</v>
      </c>
      <c r="AP44" s="10">
        <v>5810000000</v>
      </c>
      <c r="AQ44" s="10"/>
      <c r="AR44" s="10">
        <v>-663000000</v>
      </c>
      <c r="AS44" s="10">
        <v>-3094000000</v>
      </c>
      <c r="AT44" s="10">
        <v>50848000000</v>
      </c>
      <c r="AU44" s="10">
        <v>18021000000</v>
      </c>
      <c r="AV44" s="10"/>
      <c r="AW44" s="10"/>
      <c r="AX44" s="10">
        <v>28961000000</v>
      </c>
      <c r="AY44" s="10">
        <v>-27498000000</v>
      </c>
      <c r="AZ44" s="10">
        <v>-5774580000</v>
      </c>
      <c r="BA44" s="10">
        <v>3780000000</v>
      </c>
      <c r="BB44" s="10">
        <v>0.21</v>
      </c>
      <c r="BC44" s="10">
        <v>97830000000</v>
      </c>
      <c r="BD44" s="10">
        <v>-4587000000</v>
      </c>
      <c r="BE44" s="10">
        <v>120741000000</v>
      </c>
      <c r="BF44" s="10">
        <v>-27498000000</v>
      </c>
      <c r="BG44" s="10">
        <v>-27498000000</v>
      </c>
      <c r="BH44" s="10">
        <v>2686000000</v>
      </c>
      <c r="BI44" s="10">
        <v>-181000000</v>
      </c>
      <c r="BK44" s="41"/>
      <c r="BL44" s="10">
        <v>1791000000</v>
      </c>
      <c r="BM44" s="10">
        <v>24812000000</v>
      </c>
      <c r="BN44" s="10">
        <v>203000000</v>
      </c>
      <c r="BO44" s="10"/>
      <c r="BP44" s="10"/>
      <c r="BQ44" s="10"/>
      <c r="BR44" s="10"/>
      <c r="BT44" s="41"/>
      <c r="BU44" s="10"/>
      <c r="BV44" s="10"/>
      <c r="BW44" s="10"/>
      <c r="BX44" s="41">
        <v>2022</v>
      </c>
      <c r="BY44" s="10"/>
      <c r="BZ44" s="10"/>
      <c r="CA44" s="10"/>
      <c r="CB44" t="s">
        <v>656</v>
      </c>
    </row>
    <row r="45" spans="1:80" hidden="1" x14ac:dyDescent="0.35">
      <c r="A45" t="s">
        <v>655</v>
      </c>
      <c r="B45" s="22">
        <v>45199</v>
      </c>
      <c r="C45">
        <v>2023</v>
      </c>
      <c r="D45" t="s">
        <v>214</v>
      </c>
      <c r="E45" t="s">
        <v>213</v>
      </c>
      <c r="F45" s="10"/>
      <c r="G45" s="10">
        <v>7172750000</v>
      </c>
      <c r="H45" s="41">
        <v>-1.52</v>
      </c>
      <c r="I45" s="10"/>
      <c r="J45" s="10"/>
      <c r="K45" s="10"/>
      <c r="L45" s="10">
        <v>7343250000</v>
      </c>
      <c r="M45" s="10">
        <v>-1.52</v>
      </c>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K45" s="41"/>
      <c r="BL45" s="10"/>
      <c r="BM45" s="10"/>
      <c r="BN45" s="10"/>
      <c r="BO45" s="10"/>
      <c r="BP45" s="10"/>
      <c r="BQ45" s="10"/>
      <c r="BR45" s="10"/>
      <c r="BT45" s="41"/>
      <c r="BU45" s="10"/>
      <c r="BV45" s="10"/>
      <c r="BW45" s="10"/>
      <c r="BX45" s="41">
        <v>2023</v>
      </c>
      <c r="BY45" s="10"/>
      <c r="BZ45" s="10"/>
      <c r="CA45" s="10"/>
      <c r="CB45" t="s">
        <v>656</v>
      </c>
    </row>
    <row r="46" spans="1:80" hidden="1" x14ac:dyDescent="0.35">
      <c r="A46" t="s">
        <v>655</v>
      </c>
      <c r="B46" s="22">
        <v>45291</v>
      </c>
      <c r="C46">
        <v>2023</v>
      </c>
      <c r="D46" t="s">
        <v>212</v>
      </c>
      <c r="E46" t="s">
        <v>213</v>
      </c>
      <c r="F46" s="10">
        <v>85000000</v>
      </c>
      <c r="G46" s="10">
        <v>7181000000</v>
      </c>
      <c r="H46" s="41">
        <v>1.97</v>
      </c>
      <c r="I46" s="10">
        <v>50123000000</v>
      </c>
      <c r="J46" s="10">
        <v>18777000000</v>
      </c>
      <c r="K46" s="10">
        <v>18777000000</v>
      </c>
      <c r="L46" s="10">
        <v>7258000000</v>
      </c>
      <c r="M46" s="10">
        <v>1.97</v>
      </c>
      <c r="N46" s="10">
        <v>14277000000</v>
      </c>
      <c r="O46" s="10">
        <v>26552000000</v>
      </c>
      <c r="P46" s="10">
        <v>45329000000</v>
      </c>
      <c r="Q46" s="10"/>
      <c r="R46" s="10"/>
      <c r="S46" s="10"/>
      <c r="T46" s="10"/>
      <c r="U46" s="10">
        <v>72305000000</v>
      </c>
      <c r="V46" s="10">
        <v>6704000000</v>
      </c>
      <c r="W46" s="10">
        <v>6704000000</v>
      </c>
      <c r="X46" s="10"/>
      <c r="Y46" s="10"/>
      <c r="Z46" s="10">
        <v>-1223000000</v>
      </c>
      <c r="AA46" s="10">
        <v>14400000000</v>
      </c>
      <c r="AB46" s="10">
        <v>14192000000</v>
      </c>
      <c r="AC46" s="10">
        <v>15623000000</v>
      </c>
      <c r="AD46" s="10">
        <v>14400000000</v>
      </c>
      <c r="AE46" s="10">
        <v>14400000000</v>
      </c>
      <c r="AF46" s="10">
        <v>15623000000</v>
      </c>
      <c r="AG46" s="10">
        <v>-6704000000</v>
      </c>
      <c r="AH46" s="10">
        <v>-6704000000</v>
      </c>
      <c r="AI46" s="10">
        <v>46522000000</v>
      </c>
      <c r="AJ46" s="10">
        <v>15338891000</v>
      </c>
      <c r="AK46" s="10">
        <v>47651000000</v>
      </c>
      <c r="AL46" s="10">
        <v>24654000000</v>
      </c>
      <c r="AM46" s="10">
        <v>122428000000</v>
      </c>
      <c r="AN46" s="10"/>
      <c r="AO46" s="10">
        <v>1898000000</v>
      </c>
      <c r="AP46" s="10">
        <v>1416000000</v>
      </c>
      <c r="AQ46" s="10"/>
      <c r="AR46" s="10">
        <v>0</v>
      </c>
      <c r="AS46" s="10">
        <v>19848000000</v>
      </c>
      <c r="AT46" s="10">
        <v>50123000000</v>
      </c>
      <c r="AU46" s="10">
        <v>18777000000</v>
      </c>
      <c r="AV46" s="10"/>
      <c r="AW46" s="10"/>
      <c r="AX46" s="10">
        <v>28874000000</v>
      </c>
      <c r="AY46" s="10">
        <v>-1193000000</v>
      </c>
      <c r="AZ46" s="10">
        <v>-254109000</v>
      </c>
      <c r="BA46" s="10">
        <v>4225000000</v>
      </c>
      <c r="BB46" s="10">
        <v>0.21299999999999999</v>
      </c>
      <c r="BC46" s="10">
        <v>97774000000</v>
      </c>
      <c r="BD46" s="10">
        <v>23461000000</v>
      </c>
      <c r="BE46" s="10">
        <v>122428000000</v>
      </c>
      <c r="BF46" s="10">
        <v>-1193000000</v>
      </c>
      <c r="BG46" s="10">
        <v>-1193000000</v>
      </c>
      <c r="BH46" s="10">
        <v>1193000000</v>
      </c>
      <c r="BI46" s="10">
        <v>0</v>
      </c>
      <c r="BK46" s="41"/>
      <c r="BL46" s="10">
        <v>1675000000</v>
      </c>
      <c r="BM46" s="10"/>
      <c r="BN46" s="10">
        <v>208000000</v>
      </c>
      <c r="BO46" s="10"/>
      <c r="BP46" s="10"/>
      <c r="BQ46" s="10"/>
      <c r="BR46" s="10"/>
      <c r="BT46" s="41"/>
      <c r="BU46" s="10"/>
      <c r="BV46" s="10"/>
      <c r="BW46" s="10"/>
      <c r="BX46" s="41">
        <v>2023</v>
      </c>
      <c r="BY46" s="10"/>
      <c r="BZ46" s="10"/>
      <c r="CA46" s="10"/>
      <c r="CB46" t="s">
        <v>656</v>
      </c>
    </row>
    <row r="47" spans="1:80" hidden="1" x14ac:dyDescent="0.35">
      <c r="A47" t="s">
        <v>655</v>
      </c>
      <c r="B47" s="22">
        <v>45291</v>
      </c>
      <c r="C47">
        <v>2023</v>
      </c>
      <c r="D47" t="s">
        <v>214</v>
      </c>
      <c r="E47" t="s">
        <v>213</v>
      </c>
      <c r="F47" s="10"/>
      <c r="G47" s="10">
        <v>7181000000</v>
      </c>
      <c r="H47" s="41">
        <v>1.97</v>
      </c>
      <c r="I47" s="10"/>
      <c r="J47" s="10"/>
      <c r="K47" s="10"/>
      <c r="L47" s="10">
        <v>7258000000</v>
      </c>
      <c r="M47" s="10">
        <v>1.97</v>
      </c>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K47" s="41"/>
      <c r="BL47" s="10"/>
      <c r="BM47" s="10"/>
      <c r="BN47" s="10"/>
      <c r="BO47" s="10"/>
      <c r="BP47" s="10"/>
      <c r="BQ47" s="10"/>
      <c r="BR47" s="10"/>
      <c r="BT47" s="41"/>
      <c r="BU47" s="10"/>
      <c r="BV47" s="10"/>
      <c r="BW47" s="10"/>
      <c r="BX47" s="41">
        <v>2023</v>
      </c>
      <c r="BY47" s="10"/>
      <c r="BZ47" s="10"/>
      <c r="CA47" s="10"/>
      <c r="CB47" t="s">
        <v>656</v>
      </c>
    </row>
    <row r="48" spans="1:80" hidden="1" x14ac:dyDescent="0.35">
      <c r="A48" t="s">
        <v>655</v>
      </c>
      <c r="B48" s="22">
        <v>45382</v>
      </c>
      <c r="C48">
        <v>2024</v>
      </c>
      <c r="D48" t="s">
        <v>214</v>
      </c>
      <c r="E48" t="s">
        <v>213</v>
      </c>
      <c r="F48" s="10"/>
      <c r="G48" s="10">
        <v>7187000000</v>
      </c>
      <c r="H48" s="41">
        <v>1.86</v>
      </c>
      <c r="I48" s="10"/>
      <c r="J48" s="10"/>
      <c r="K48" s="10"/>
      <c r="L48" s="10">
        <v>7187750000</v>
      </c>
      <c r="M48" s="10">
        <v>1.86</v>
      </c>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K48" s="41"/>
      <c r="BL48" s="10"/>
      <c r="BM48" s="10"/>
      <c r="BN48" s="10"/>
      <c r="BO48" s="10"/>
      <c r="BP48" s="10"/>
      <c r="BQ48" s="10"/>
      <c r="BR48" s="10"/>
      <c r="BT48" s="41"/>
      <c r="BU48" s="10"/>
      <c r="BV48" s="10"/>
      <c r="BW48" s="10"/>
      <c r="BX48" s="41">
        <v>2024</v>
      </c>
      <c r="BY48" s="10"/>
      <c r="BZ48" s="10"/>
      <c r="CA48" s="10"/>
      <c r="CB48" t="s">
        <v>656</v>
      </c>
    </row>
    <row r="49" spans="1:80" hidden="1" x14ac:dyDescent="0.35">
      <c r="A49" t="s">
        <v>655</v>
      </c>
      <c r="B49" s="22">
        <v>45473</v>
      </c>
      <c r="C49">
        <v>2024</v>
      </c>
      <c r="D49" t="s">
        <v>214</v>
      </c>
      <c r="E49" t="s">
        <v>213</v>
      </c>
      <c r="F49" s="10">
        <v>6000000</v>
      </c>
      <c r="G49" s="10">
        <v>7191000000</v>
      </c>
      <c r="H49" s="41">
        <v>1.74</v>
      </c>
      <c r="I49" s="10">
        <v>49361000000</v>
      </c>
      <c r="J49" s="10">
        <v>19590000000</v>
      </c>
      <c r="K49" s="10">
        <v>19590000000</v>
      </c>
      <c r="L49" s="10">
        <v>7192000000</v>
      </c>
      <c r="M49" s="10">
        <v>1.74</v>
      </c>
      <c r="N49" s="10">
        <v>12526000000</v>
      </c>
      <c r="O49" s="10">
        <v>24687000000</v>
      </c>
      <c r="P49" s="10">
        <v>44277000000</v>
      </c>
      <c r="Q49" s="10"/>
      <c r="R49" s="10"/>
      <c r="S49" s="10"/>
      <c r="T49" s="10"/>
      <c r="U49" s="10">
        <v>72836000000</v>
      </c>
      <c r="V49" s="10">
        <v>6811000000</v>
      </c>
      <c r="W49" s="10">
        <v>6811000000</v>
      </c>
      <c r="X49" s="10"/>
      <c r="Y49" s="10"/>
      <c r="Z49" s="10">
        <v>-1383000000</v>
      </c>
      <c r="AA49" s="10">
        <v>12725000000</v>
      </c>
      <c r="AB49" s="10">
        <v>12520000000</v>
      </c>
      <c r="AC49" s="10">
        <v>14108000000</v>
      </c>
      <c r="AD49" s="10">
        <v>12725000000</v>
      </c>
      <c r="AE49" s="10">
        <v>12725000000</v>
      </c>
      <c r="AF49" s="10">
        <v>14108000000</v>
      </c>
      <c r="AG49" s="10">
        <v>-6811000000</v>
      </c>
      <c r="AH49" s="10">
        <v>-6811000000</v>
      </c>
      <c r="AI49" s="10">
        <v>46109000000</v>
      </c>
      <c r="AJ49" s="10">
        <v>14170841127.769079</v>
      </c>
      <c r="AK49" s="10">
        <v>48344000000</v>
      </c>
      <c r="AL49" s="10">
        <v>24492000000</v>
      </c>
      <c r="AM49" s="10">
        <v>122197000000</v>
      </c>
      <c r="AN49" s="10"/>
      <c r="AO49" s="10">
        <v>195000000</v>
      </c>
      <c r="AP49" s="10">
        <v>627000000</v>
      </c>
      <c r="AQ49" s="10"/>
      <c r="AR49" s="10"/>
      <c r="AS49" s="10">
        <v>17876000000</v>
      </c>
      <c r="AT49" s="10">
        <v>49361000000</v>
      </c>
      <c r="AU49" s="10">
        <v>19590000000</v>
      </c>
      <c r="AV49" s="10"/>
      <c r="AW49" s="10"/>
      <c r="AX49" s="10">
        <v>28754000000</v>
      </c>
      <c r="AY49" s="10">
        <v>-1832000000</v>
      </c>
      <c r="AZ49" s="10">
        <v>-386158872.23092401</v>
      </c>
      <c r="BA49" s="10">
        <v>3768000000</v>
      </c>
      <c r="BB49" s="10">
        <v>0.210785</v>
      </c>
      <c r="BC49" s="10">
        <v>97705000000</v>
      </c>
      <c r="BD49" s="10">
        <v>22660000000</v>
      </c>
      <c r="BE49" s="10">
        <v>122197000000</v>
      </c>
      <c r="BF49" s="10">
        <v>-1832000000</v>
      </c>
      <c r="BG49" s="10">
        <v>-1832000000</v>
      </c>
      <c r="BH49" s="10">
        <v>1832000000</v>
      </c>
      <c r="BI49" s="10"/>
      <c r="BK49" s="41"/>
      <c r="BL49" s="10">
        <v>1400000000</v>
      </c>
      <c r="BM49" s="10"/>
      <c r="BN49" s="10">
        <v>205000000</v>
      </c>
      <c r="BO49" s="10"/>
      <c r="BP49" s="10"/>
      <c r="BQ49" s="10"/>
      <c r="BR49" s="10"/>
      <c r="BT49" s="41"/>
      <c r="BU49" s="10"/>
      <c r="BV49" s="10"/>
      <c r="BW49" s="10"/>
      <c r="BX49" s="41">
        <v>2024</v>
      </c>
      <c r="BY49" s="10"/>
      <c r="BZ49" s="10"/>
      <c r="CA49" s="10"/>
      <c r="CB49" t="s">
        <v>656</v>
      </c>
    </row>
    <row r="50" spans="1:80" hidden="1" x14ac:dyDescent="0.35">
      <c r="A50" t="s">
        <v>657</v>
      </c>
      <c r="B50" s="22">
        <v>43830</v>
      </c>
      <c r="C50">
        <v>2019</v>
      </c>
      <c r="D50" t="s">
        <v>212</v>
      </c>
      <c r="E50" t="s">
        <v>213</v>
      </c>
      <c r="F50" s="10"/>
      <c r="G50" s="10"/>
      <c r="H50" s="41"/>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K50" s="41"/>
      <c r="BL50" s="10"/>
      <c r="BM50" s="10"/>
      <c r="BN50" s="10"/>
      <c r="BO50" s="10"/>
      <c r="BP50" s="10"/>
      <c r="BQ50" s="10">
        <v>9600000</v>
      </c>
      <c r="BR50" s="10"/>
      <c r="BT50" s="41"/>
      <c r="BU50" s="10"/>
      <c r="BV50" s="10"/>
      <c r="BW50" s="10"/>
      <c r="BX50" s="41">
        <v>2019</v>
      </c>
      <c r="BY50" s="10"/>
      <c r="BZ50" s="10"/>
      <c r="CA50" s="10"/>
      <c r="CB50" t="s">
        <v>658</v>
      </c>
    </row>
    <row r="51" spans="1:80" hidden="1" x14ac:dyDescent="0.35">
      <c r="A51" t="s">
        <v>657</v>
      </c>
      <c r="B51" s="22">
        <v>44196</v>
      </c>
      <c r="C51">
        <v>2020</v>
      </c>
      <c r="D51" t="s">
        <v>212</v>
      </c>
      <c r="E51" t="s">
        <v>213</v>
      </c>
      <c r="F51" s="10"/>
      <c r="G51" s="10">
        <v>319300000</v>
      </c>
      <c r="H51" s="41">
        <v>3.03</v>
      </c>
      <c r="I51" s="10">
        <v>6100500000</v>
      </c>
      <c r="J51" s="10">
        <v>1075900000</v>
      </c>
      <c r="K51" s="10">
        <v>752900000</v>
      </c>
      <c r="L51" s="10">
        <v>319800000</v>
      </c>
      <c r="M51" s="10">
        <v>3.02</v>
      </c>
      <c r="N51" s="10">
        <v>967200000</v>
      </c>
      <c r="O51" s="10">
        <v>1498300000</v>
      </c>
      <c r="P51" s="10">
        <v>2657100000</v>
      </c>
      <c r="Q51" s="10"/>
      <c r="R51" s="10">
        <v>-77700000</v>
      </c>
      <c r="S51" s="10"/>
      <c r="T51" s="10">
        <v>1025200000</v>
      </c>
      <c r="U51" s="10">
        <v>4053100000</v>
      </c>
      <c r="V51" s="10">
        <v>355600000</v>
      </c>
      <c r="W51" s="10">
        <v>355600000</v>
      </c>
      <c r="X51" s="10">
        <v>5200000</v>
      </c>
      <c r="Y51" s="10">
        <v>5200000</v>
      </c>
      <c r="Z51" s="10">
        <v>-2400000</v>
      </c>
      <c r="AA51" s="10">
        <v>967200000</v>
      </c>
      <c r="AB51" s="10">
        <v>967200000</v>
      </c>
      <c r="AC51" s="10">
        <v>969600000</v>
      </c>
      <c r="AD51" s="10">
        <v>967200000</v>
      </c>
      <c r="AE51" s="10">
        <v>967200000</v>
      </c>
      <c r="AF51" s="10">
        <v>969600000</v>
      </c>
      <c r="AG51" s="10">
        <v>-350400000</v>
      </c>
      <c r="AH51" s="10">
        <v>-350400000</v>
      </c>
      <c r="AI51" s="10">
        <v>2891200000</v>
      </c>
      <c r="AJ51" s="10">
        <v>1165716800</v>
      </c>
      <c r="AK51" s="10">
        <v>2211800000</v>
      </c>
      <c r="AL51" s="10">
        <v>1841300000</v>
      </c>
      <c r="AM51" s="10">
        <v>9627000000</v>
      </c>
      <c r="AN51" s="10">
        <v>284700000</v>
      </c>
      <c r="AO51" s="10">
        <v>-348200000</v>
      </c>
      <c r="AP51" s="10">
        <v>4100000</v>
      </c>
      <c r="AQ51" s="10">
        <v>82900000</v>
      </c>
      <c r="AR51" s="10"/>
      <c r="AS51" s="10">
        <v>1142700000</v>
      </c>
      <c r="AT51" s="10">
        <v>6017600000</v>
      </c>
      <c r="AU51" s="10">
        <v>1158800000</v>
      </c>
      <c r="AV51" s="10"/>
      <c r="AW51" s="10"/>
      <c r="AX51" s="10">
        <v>1025200000</v>
      </c>
      <c r="AY51" s="10">
        <v>-234100000</v>
      </c>
      <c r="AZ51" s="10">
        <v>-35583200</v>
      </c>
      <c r="BA51" s="10">
        <v>173100000</v>
      </c>
      <c r="BB51" s="10">
        <v>0.152</v>
      </c>
      <c r="BC51" s="10">
        <v>8312300000</v>
      </c>
      <c r="BD51" s="10">
        <v>1709100000</v>
      </c>
      <c r="BE51" s="10">
        <v>10153600000</v>
      </c>
      <c r="BF51" s="10">
        <v>-234100000</v>
      </c>
      <c r="BG51" s="10">
        <v>-234100000</v>
      </c>
      <c r="BH51" s="10"/>
      <c r="BI51" s="10"/>
      <c r="BK51" s="41"/>
      <c r="BL51" s="10">
        <v>-118200000</v>
      </c>
      <c r="BM51" s="10"/>
      <c r="BN51" s="10"/>
      <c r="BO51" s="10">
        <v>60000000</v>
      </c>
      <c r="BP51" s="10">
        <v>60000000</v>
      </c>
      <c r="BQ51" s="10">
        <v>136400000</v>
      </c>
      <c r="BR51" s="10"/>
      <c r="BS51">
        <v>323000000</v>
      </c>
      <c r="BT51" s="41">
        <v>692900000</v>
      </c>
      <c r="BU51" s="10">
        <v>20000000</v>
      </c>
      <c r="BV51" s="10"/>
      <c r="BW51" s="10">
        <v>27800000</v>
      </c>
      <c r="BX51" s="41">
        <v>2020</v>
      </c>
      <c r="BY51" s="10">
        <v>740500000</v>
      </c>
      <c r="BZ51" s="10"/>
      <c r="CA51" s="10"/>
      <c r="CB51" t="s">
        <v>658</v>
      </c>
    </row>
    <row r="52" spans="1:80" hidden="1" x14ac:dyDescent="0.35">
      <c r="A52" t="s">
        <v>657</v>
      </c>
      <c r="B52" s="22">
        <v>44561</v>
      </c>
      <c r="C52">
        <v>2021</v>
      </c>
      <c r="D52" t="s">
        <v>212</v>
      </c>
      <c r="E52" t="s">
        <v>213</v>
      </c>
      <c r="F52" s="10"/>
      <c r="G52" s="10">
        <v>318800000</v>
      </c>
      <c r="H52" s="41">
        <v>4.05</v>
      </c>
      <c r="I52" s="10">
        <v>6737700000</v>
      </c>
      <c r="J52" s="10">
        <v>1185500000</v>
      </c>
      <c r="K52" s="10">
        <v>808000000</v>
      </c>
      <c r="L52" s="10">
        <v>319400000</v>
      </c>
      <c r="M52" s="10">
        <v>4.04</v>
      </c>
      <c r="N52" s="10">
        <v>1290400000</v>
      </c>
      <c r="O52" s="10">
        <v>1889700000</v>
      </c>
      <c r="P52" s="10">
        <v>3157900000</v>
      </c>
      <c r="Q52" s="10"/>
      <c r="R52" s="10">
        <v>-500000</v>
      </c>
      <c r="S52" s="10"/>
      <c r="T52" s="10">
        <v>1175900000</v>
      </c>
      <c r="U52" s="10">
        <v>4557300000</v>
      </c>
      <c r="V52" s="10">
        <v>314600000</v>
      </c>
      <c r="W52" s="10">
        <v>314600000</v>
      </c>
      <c r="X52" s="10">
        <v>2500000</v>
      </c>
      <c r="Y52" s="10">
        <v>2500000</v>
      </c>
      <c r="Z52" s="10">
        <v>-1900000</v>
      </c>
      <c r="AA52" s="10">
        <v>1290400000</v>
      </c>
      <c r="AB52" s="10">
        <v>1290400000</v>
      </c>
      <c r="AC52" s="10">
        <v>1292300000</v>
      </c>
      <c r="AD52" s="10">
        <v>1290400000</v>
      </c>
      <c r="AE52" s="10">
        <v>1290400000</v>
      </c>
      <c r="AF52" s="10">
        <v>1292300000</v>
      </c>
      <c r="AG52" s="10">
        <v>-312100000</v>
      </c>
      <c r="AH52" s="10">
        <v>-312100000</v>
      </c>
      <c r="AI52" s="10">
        <v>3175000000</v>
      </c>
      <c r="AJ52" s="10">
        <v>1304422000</v>
      </c>
      <c r="AK52" s="10">
        <v>2464000000</v>
      </c>
      <c r="AL52" s="10">
        <v>2093300000</v>
      </c>
      <c r="AM52" s="10">
        <v>10600500000</v>
      </c>
      <c r="AN52" s="10">
        <v>309500000</v>
      </c>
      <c r="AO52" s="10">
        <v>-206100000</v>
      </c>
      <c r="AP52" s="10">
        <v>-500000</v>
      </c>
      <c r="AQ52" s="10">
        <v>82700000</v>
      </c>
      <c r="AR52" s="10"/>
      <c r="AS52" s="10">
        <v>1575100000</v>
      </c>
      <c r="AT52" s="10">
        <v>6655000000</v>
      </c>
      <c r="AU52" s="10">
        <v>1268200000</v>
      </c>
      <c r="AV52" s="10"/>
      <c r="AW52" s="10"/>
      <c r="AX52" s="10">
        <v>1195800000</v>
      </c>
      <c r="AY52" s="10">
        <v>-17100000</v>
      </c>
      <c r="AZ52" s="10">
        <v>-3078000</v>
      </c>
      <c r="BA52" s="10">
        <v>282800000</v>
      </c>
      <c r="BB52" s="10">
        <v>0.18</v>
      </c>
      <c r="BC52" s="10">
        <v>9201700000</v>
      </c>
      <c r="BD52" s="10">
        <v>2076200000</v>
      </c>
      <c r="BE52" s="10">
        <v>11295000000</v>
      </c>
      <c r="BF52" s="10">
        <v>-17100000</v>
      </c>
      <c r="BG52" s="10">
        <v>-17100000</v>
      </c>
      <c r="BH52" s="10"/>
      <c r="BI52" s="10"/>
      <c r="BK52" s="41"/>
      <c r="BL52" s="10">
        <v>-188500000</v>
      </c>
      <c r="BM52" s="10"/>
      <c r="BN52" s="10"/>
      <c r="BO52" s="10">
        <v>73800000</v>
      </c>
      <c r="BP52" s="10">
        <v>73800000</v>
      </c>
      <c r="BQ52" s="10"/>
      <c r="BR52" s="10"/>
      <c r="BS52">
        <v>377500000</v>
      </c>
      <c r="BT52" s="41">
        <v>734200000</v>
      </c>
      <c r="BU52" s="10">
        <v>16600000</v>
      </c>
      <c r="BV52" s="10"/>
      <c r="BW52" s="10">
        <v>19900000</v>
      </c>
      <c r="BX52" s="41">
        <v>2021</v>
      </c>
      <c r="BY52" s="10">
        <v>866400000</v>
      </c>
      <c r="BZ52" s="10"/>
      <c r="CA52" s="10"/>
      <c r="CB52" t="s">
        <v>658</v>
      </c>
    </row>
    <row r="53" spans="1:80" hidden="1" x14ac:dyDescent="0.35">
      <c r="A53" t="s">
        <v>657</v>
      </c>
      <c r="B53" s="22">
        <v>44926</v>
      </c>
      <c r="C53">
        <v>2022</v>
      </c>
      <c r="D53" t="s">
        <v>212</v>
      </c>
      <c r="E53" t="s">
        <v>213</v>
      </c>
      <c r="F53" s="10"/>
      <c r="G53" s="10">
        <v>316500000</v>
      </c>
      <c r="H53" s="41">
        <v>4.7</v>
      </c>
      <c r="I53" s="10">
        <v>8205000000</v>
      </c>
      <c r="J53" s="10">
        <v>1351600000</v>
      </c>
      <c r="K53" s="10">
        <v>917900000</v>
      </c>
      <c r="L53" s="10">
        <v>317100000</v>
      </c>
      <c r="M53" s="10">
        <v>4.6900000000000004</v>
      </c>
      <c r="N53" s="10">
        <v>1487600000</v>
      </c>
      <c r="O53" s="10">
        <v>2227100000</v>
      </c>
      <c r="P53" s="10">
        <v>3668300000</v>
      </c>
      <c r="Q53" s="10"/>
      <c r="R53" s="10">
        <v>6300000</v>
      </c>
      <c r="S53" s="10"/>
      <c r="T53" s="10">
        <v>1335800000</v>
      </c>
      <c r="U53" s="10">
        <v>5306300000</v>
      </c>
      <c r="V53" s="10">
        <v>395600000</v>
      </c>
      <c r="W53" s="10">
        <v>395600000</v>
      </c>
      <c r="X53" s="10">
        <v>3300000</v>
      </c>
      <c r="Y53" s="10">
        <v>3300000</v>
      </c>
      <c r="Z53" s="10">
        <v>0</v>
      </c>
      <c r="AA53" s="10">
        <v>1487600000</v>
      </c>
      <c r="AB53" s="10">
        <v>1487600000</v>
      </c>
      <c r="AC53" s="10">
        <v>1487600000</v>
      </c>
      <c r="AD53" s="10">
        <v>1487600000</v>
      </c>
      <c r="AE53" s="10">
        <v>1487600000</v>
      </c>
      <c r="AF53" s="10">
        <v>1487600000</v>
      </c>
      <c r="AG53" s="10">
        <v>-392300000</v>
      </c>
      <c r="AH53" s="10">
        <v>-392300000</v>
      </c>
      <c r="AI53" s="10">
        <v>3764400000</v>
      </c>
      <c r="AJ53" s="10">
        <v>1565633200</v>
      </c>
      <c r="AK53" s="10">
        <v>2818500000</v>
      </c>
      <c r="AL53" s="10">
        <v>2487800000</v>
      </c>
      <c r="AM53" s="10">
        <v>12826000000</v>
      </c>
      <c r="AN53" s="10">
        <v>397900000</v>
      </c>
      <c r="AO53" s="10">
        <v>-264000000</v>
      </c>
      <c r="AP53" s="10">
        <v>-2300000</v>
      </c>
      <c r="AQ53" s="10">
        <v>89600000</v>
      </c>
      <c r="AR53" s="10"/>
      <c r="AS53" s="10">
        <v>1831500000</v>
      </c>
      <c r="AT53" s="10">
        <v>8115400000</v>
      </c>
      <c r="AU53" s="10">
        <v>1441200000</v>
      </c>
      <c r="AV53" s="10"/>
      <c r="AW53" s="10"/>
      <c r="AX53" s="10">
        <v>1335800000</v>
      </c>
      <c r="AY53" s="10">
        <v>-96100000</v>
      </c>
      <c r="AZ53" s="10">
        <v>-18066800</v>
      </c>
      <c r="BA53" s="10">
        <v>343900000</v>
      </c>
      <c r="BB53" s="10">
        <v>0.188</v>
      </c>
      <c r="BC53" s="10">
        <v>11023500000</v>
      </c>
      <c r="BD53" s="10">
        <v>2391700000</v>
      </c>
      <c r="BE53" s="10">
        <v>13511300000</v>
      </c>
      <c r="BF53" s="10">
        <v>-96100000</v>
      </c>
      <c r="BG53" s="10">
        <v>-96100000</v>
      </c>
      <c r="BH53" s="10"/>
      <c r="BI53" s="10"/>
      <c r="BK53" s="41"/>
      <c r="BL53" s="10">
        <v>-165600000</v>
      </c>
      <c r="BM53" s="10"/>
      <c r="BN53" s="10"/>
      <c r="BO53" s="10">
        <v>106000000</v>
      </c>
      <c r="BP53" s="10">
        <v>106000000</v>
      </c>
      <c r="BQ53" s="10">
        <v>-1600000</v>
      </c>
      <c r="BR53" s="10"/>
      <c r="BS53">
        <v>433700000</v>
      </c>
      <c r="BT53" s="41">
        <v>811900000</v>
      </c>
      <c r="BU53" s="10">
        <v>104000000</v>
      </c>
      <c r="BV53" s="10"/>
      <c r="BW53" s="10">
        <v>41500000</v>
      </c>
      <c r="BX53" s="41">
        <v>2022</v>
      </c>
      <c r="BY53" s="10">
        <v>937900000</v>
      </c>
      <c r="BZ53" s="10"/>
      <c r="CA53" s="10"/>
      <c r="CB53" t="s">
        <v>658</v>
      </c>
    </row>
    <row r="54" spans="1:80" hidden="1" x14ac:dyDescent="0.35">
      <c r="A54" t="s">
        <v>657</v>
      </c>
      <c r="B54" s="22">
        <v>45199</v>
      </c>
      <c r="C54">
        <v>2023</v>
      </c>
      <c r="D54" t="s">
        <v>214</v>
      </c>
      <c r="E54" t="s">
        <v>213</v>
      </c>
      <c r="F54" s="10"/>
      <c r="G54" s="10">
        <v>316540500</v>
      </c>
      <c r="H54" s="41">
        <v>5.18</v>
      </c>
      <c r="I54" s="10"/>
      <c r="J54" s="10"/>
      <c r="K54" s="10"/>
      <c r="L54" s="10">
        <v>316540500</v>
      </c>
      <c r="M54" s="10">
        <v>5.16</v>
      </c>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K54" s="41"/>
      <c r="BL54" s="10"/>
      <c r="BM54" s="10"/>
      <c r="BN54" s="10"/>
      <c r="BO54" s="10"/>
      <c r="BP54" s="10"/>
      <c r="BQ54" s="10"/>
      <c r="BR54" s="10"/>
      <c r="BT54" s="41"/>
      <c r="BU54" s="10"/>
      <c r="BV54" s="10"/>
      <c r="BW54" s="10"/>
      <c r="BX54" s="41">
        <v>2023</v>
      </c>
      <c r="BY54" s="10"/>
      <c r="BZ54" s="10"/>
      <c r="CA54" s="10"/>
      <c r="CB54" t="s">
        <v>658</v>
      </c>
    </row>
    <row r="55" spans="1:80" hidden="1" x14ac:dyDescent="0.35">
      <c r="A55" t="s">
        <v>657</v>
      </c>
      <c r="B55" s="22">
        <v>45291</v>
      </c>
      <c r="C55">
        <v>2023</v>
      </c>
      <c r="D55" t="s">
        <v>212</v>
      </c>
      <c r="E55" t="s">
        <v>213</v>
      </c>
      <c r="F55" s="10"/>
      <c r="G55" s="10">
        <v>316200000</v>
      </c>
      <c r="H55" s="41">
        <v>5.47</v>
      </c>
      <c r="I55" s="10">
        <v>8942200000</v>
      </c>
      <c r="J55" s="10">
        <v>1501400000</v>
      </c>
      <c r="K55" s="10">
        <v>1030500000</v>
      </c>
      <c r="L55" s="10">
        <v>316700000</v>
      </c>
      <c r="M55" s="10">
        <v>5.47</v>
      </c>
      <c r="N55" s="10">
        <v>1731000000</v>
      </c>
      <c r="O55" s="10">
        <v>2699700000</v>
      </c>
      <c r="P55" s="10">
        <v>4299000000</v>
      </c>
      <c r="Q55" s="10"/>
      <c r="R55" s="10">
        <v>3600000</v>
      </c>
      <c r="S55" s="10"/>
      <c r="T55" s="10">
        <v>1522000000</v>
      </c>
      <c r="U55" s="10">
        <v>6022300000</v>
      </c>
      <c r="V55" s="10">
        <v>508200000</v>
      </c>
      <c r="W55" s="10">
        <v>508200000</v>
      </c>
      <c r="X55" s="10">
        <v>6500000</v>
      </c>
      <c r="Y55" s="10">
        <v>6500000</v>
      </c>
      <c r="Z55" s="10">
        <v>-400000</v>
      </c>
      <c r="AA55" s="10">
        <v>1731000000</v>
      </c>
      <c r="AB55" s="10">
        <v>1731000000</v>
      </c>
      <c r="AC55" s="10">
        <v>1731400000</v>
      </c>
      <c r="AD55" s="10">
        <v>1731000000</v>
      </c>
      <c r="AE55" s="10">
        <v>1731000000</v>
      </c>
      <c r="AF55" s="10">
        <v>1731400000</v>
      </c>
      <c r="AG55" s="10">
        <v>-501700000</v>
      </c>
      <c r="AH55" s="10">
        <v>-501700000</v>
      </c>
      <c r="AI55" s="10">
        <v>4366800000</v>
      </c>
      <c r="AJ55" s="10">
        <v>1784562000</v>
      </c>
      <c r="AK55" s="10">
        <v>3174500000</v>
      </c>
      <c r="AL55" s="10">
        <v>2847800000</v>
      </c>
      <c r="AM55" s="10">
        <v>14322600000</v>
      </c>
      <c r="AN55" s="10">
        <v>471600000</v>
      </c>
      <c r="AO55" s="10">
        <v>-154600000</v>
      </c>
      <c r="AP55" s="10">
        <v>7500000</v>
      </c>
      <c r="AQ55" s="10">
        <v>97900000</v>
      </c>
      <c r="AR55" s="10"/>
      <c r="AS55" s="10">
        <v>2191500000</v>
      </c>
      <c r="AT55" s="10">
        <v>8844300000</v>
      </c>
      <c r="AU55" s="10">
        <v>1599300000</v>
      </c>
      <c r="AV55" s="10"/>
      <c r="AW55" s="10"/>
      <c r="AX55" s="10">
        <v>1522000000</v>
      </c>
      <c r="AY55" s="10">
        <v>-67800000</v>
      </c>
      <c r="AZ55" s="10">
        <v>-14238000</v>
      </c>
      <c r="BA55" s="10">
        <v>460100000</v>
      </c>
      <c r="BB55" s="10">
        <v>0.21</v>
      </c>
      <c r="BC55" s="10">
        <v>12116700000</v>
      </c>
      <c r="BD55" s="10">
        <v>2780200000</v>
      </c>
      <c r="BE55" s="10">
        <v>14964500000</v>
      </c>
      <c r="BF55" s="10">
        <v>-67800000</v>
      </c>
      <c r="BG55" s="10">
        <v>-67800000</v>
      </c>
      <c r="BH55" s="10"/>
      <c r="BI55" s="10"/>
      <c r="BK55" s="41"/>
      <c r="BL55" s="10">
        <v>-94300000</v>
      </c>
      <c r="BM55" s="10"/>
      <c r="BN55" s="10"/>
      <c r="BO55" s="10">
        <v>133000000</v>
      </c>
      <c r="BP55" s="10">
        <v>133000000</v>
      </c>
      <c r="BQ55" s="10">
        <v>4700000</v>
      </c>
      <c r="BR55" s="10"/>
      <c r="BS55">
        <v>470900000</v>
      </c>
      <c r="BT55" s="41">
        <v>897500000</v>
      </c>
      <c r="BU55" s="10">
        <v>66700000</v>
      </c>
      <c r="BV55" s="10"/>
      <c r="BW55" s="10">
        <v>53200000</v>
      </c>
      <c r="BX55" s="41">
        <v>2023</v>
      </c>
      <c r="BY55" s="10">
        <v>1050400000</v>
      </c>
      <c r="BZ55" s="10"/>
      <c r="CA55" s="10"/>
      <c r="CB55" t="s">
        <v>658</v>
      </c>
    </row>
    <row r="56" spans="1:80" hidden="1" x14ac:dyDescent="0.35">
      <c r="A56" t="s">
        <v>657</v>
      </c>
      <c r="B56" s="22">
        <v>45291</v>
      </c>
      <c r="C56">
        <v>2023</v>
      </c>
      <c r="D56" t="s">
        <v>214</v>
      </c>
      <c r="E56" t="s">
        <v>213</v>
      </c>
      <c r="F56" s="10"/>
      <c r="G56" s="10">
        <v>316200000</v>
      </c>
      <c r="H56" s="41">
        <v>5.47</v>
      </c>
      <c r="I56" s="10"/>
      <c r="J56" s="10"/>
      <c r="K56" s="10"/>
      <c r="L56" s="10">
        <v>316700000</v>
      </c>
      <c r="M56" s="10">
        <v>5.47</v>
      </c>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K56" s="41"/>
      <c r="BL56" s="10"/>
      <c r="BM56" s="10"/>
      <c r="BN56" s="10"/>
      <c r="BO56" s="10"/>
      <c r="BP56" s="10"/>
      <c r="BQ56" s="10"/>
      <c r="BR56" s="10"/>
      <c r="BT56" s="41"/>
      <c r="BU56" s="10"/>
      <c r="BV56" s="10"/>
      <c r="BW56" s="10"/>
      <c r="BX56" s="41">
        <v>2023</v>
      </c>
      <c r="BY56" s="10"/>
      <c r="BZ56" s="10"/>
      <c r="CA56" s="10"/>
      <c r="CB56" t="s">
        <v>658</v>
      </c>
    </row>
    <row r="57" spans="1:80" hidden="1" x14ac:dyDescent="0.35">
      <c r="A57" t="s">
        <v>657</v>
      </c>
      <c r="B57" s="22">
        <v>45382</v>
      </c>
      <c r="C57">
        <v>2024</v>
      </c>
      <c r="D57" t="s">
        <v>214</v>
      </c>
      <c r="E57" t="s">
        <v>213</v>
      </c>
      <c r="F57" s="10"/>
      <c r="G57" s="10">
        <v>315850000</v>
      </c>
      <c r="H57" s="41">
        <v>5.7</v>
      </c>
      <c r="I57" s="10"/>
      <c r="J57" s="10"/>
      <c r="K57" s="10"/>
      <c r="L57" s="10">
        <v>316350000</v>
      </c>
      <c r="M57" s="10">
        <v>5.7</v>
      </c>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K57" s="41"/>
      <c r="BL57" s="10"/>
      <c r="BM57" s="10"/>
      <c r="BN57" s="10"/>
      <c r="BO57" s="10"/>
      <c r="BP57" s="10"/>
      <c r="BQ57" s="10"/>
      <c r="BR57" s="10"/>
      <c r="BT57" s="41"/>
      <c r="BU57" s="10"/>
      <c r="BV57" s="10"/>
      <c r="BW57" s="10"/>
      <c r="BX57" s="41">
        <v>2024</v>
      </c>
      <c r="BY57" s="10"/>
      <c r="BZ57" s="10"/>
      <c r="CA57" s="10"/>
      <c r="CB57" t="s">
        <v>658</v>
      </c>
    </row>
    <row r="58" spans="1:80" hidden="1" x14ac:dyDescent="0.35">
      <c r="A58" t="s">
        <v>657</v>
      </c>
      <c r="B58" s="22">
        <v>45473</v>
      </c>
      <c r="C58">
        <v>2024</v>
      </c>
      <c r="D58" t="s">
        <v>214</v>
      </c>
      <c r="E58" t="s">
        <v>213</v>
      </c>
      <c r="F58" s="10"/>
      <c r="G58" s="10">
        <v>315360500</v>
      </c>
      <c r="H58" s="41">
        <v>5.97</v>
      </c>
      <c r="I58" s="10">
        <v>9214200000</v>
      </c>
      <c r="J58" s="10">
        <v>1596600000</v>
      </c>
      <c r="K58" s="10"/>
      <c r="L58" s="10">
        <v>315856000</v>
      </c>
      <c r="M58" s="10">
        <v>5.97</v>
      </c>
      <c r="N58" s="10">
        <v>1885100000</v>
      </c>
      <c r="O58" s="10">
        <v>2866800000</v>
      </c>
      <c r="P58" s="10">
        <v>4566100000</v>
      </c>
      <c r="Q58" s="10"/>
      <c r="R58" s="10">
        <v>5000000</v>
      </c>
      <c r="S58" s="10"/>
      <c r="T58" s="10">
        <v>1586500000</v>
      </c>
      <c r="U58" s="10">
        <v>6353100000</v>
      </c>
      <c r="V58" s="10">
        <v>524700000</v>
      </c>
      <c r="W58" s="10">
        <v>524700000</v>
      </c>
      <c r="X58" s="10">
        <v>6600000</v>
      </c>
      <c r="Y58" s="10">
        <v>6600000</v>
      </c>
      <c r="Z58" s="10">
        <v>-500000</v>
      </c>
      <c r="AA58" s="10">
        <v>1885100000</v>
      </c>
      <c r="AB58" s="10">
        <v>1885100000</v>
      </c>
      <c r="AC58" s="10">
        <v>1885600000</v>
      </c>
      <c r="AD58" s="10">
        <v>1885100000</v>
      </c>
      <c r="AE58" s="10">
        <v>1885100000</v>
      </c>
      <c r="AF58" s="10">
        <v>1885600000</v>
      </c>
      <c r="AG58" s="10">
        <v>-518100000</v>
      </c>
      <c r="AH58" s="10">
        <v>-518100000</v>
      </c>
      <c r="AI58" s="10">
        <v>4604600000</v>
      </c>
      <c r="AJ58" s="10">
        <v>1916095943.81111</v>
      </c>
      <c r="AK58" s="10">
        <v>3339200000</v>
      </c>
      <c r="AL58" s="10">
        <v>3013900000</v>
      </c>
      <c r="AM58" s="10">
        <v>14889900000</v>
      </c>
      <c r="AN58" s="10">
        <v>496900000</v>
      </c>
      <c r="AO58" s="10">
        <v>-153700000</v>
      </c>
      <c r="AP58" s="10">
        <v>18900000</v>
      </c>
      <c r="AQ58" s="10">
        <v>102700000</v>
      </c>
      <c r="AR58" s="10"/>
      <c r="AS58" s="10">
        <v>2342100000</v>
      </c>
      <c r="AT58" s="10">
        <v>9111500000</v>
      </c>
      <c r="AU58" s="10">
        <v>1699300000</v>
      </c>
      <c r="AV58" s="10"/>
      <c r="AW58" s="10"/>
      <c r="AX58" s="10">
        <v>1586500000</v>
      </c>
      <c r="AY58" s="10">
        <v>-38500000</v>
      </c>
      <c r="AZ58" s="10">
        <v>-7504056.1888899999</v>
      </c>
      <c r="BA58" s="10">
        <v>456500000</v>
      </c>
      <c r="BB58" s="10">
        <v>0.194911</v>
      </c>
      <c r="BC58" s="10">
        <v>12553400000</v>
      </c>
      <c r="BD58" s="10">
        <v>2975400000</v>
      </c>
      <c r="BE58" s="10">
        <v>15567300000</v>
      </c>
      <c r="BF58" s="10">
        <v>-38500000</v>
      </c>
      <c r="BG58" s="10">
        <v>-38500000</v>
      </c>
      <c r="BH58" s="10"/>
      <c r="BI58" s="10"/>
      <c r="BK58" s="41"/>
      <c r="BL58" s="10">
        <v>-134100000</v>
      </c>
      <c r="BM58" s="10"/>
      <c r="BN58" s="10"/>
      <c r="BO58" s="10"/>
      <c r="BP58" s="10"/>
      <c r="BQ58" s="10"/>
      <c r="BR58" s="10"/>
      <c r="BT58" s="41"/>
      <c r="BU58" s="10">
        <v>39000000</v>
      </c>
      <c r="BV58" s="10"/>
      <c r="BW58" s="10">
        <v>53400000</v>
      </c>
      <c r="BX58" s="41">
        <v>2024</v>
      </c>
      <c r="BY58" s="10">
        <v>1089600000</v>
      </c>
      <c r="BZ58" s="10"/>
      <c r="CA58" s="10"/>
      <c r="CB58" t="s">
        <v>658</v>
      </c>
    </row>
    <row r="59" spans="1:80" hidden="1" x14ac:dyDescent="0.35">
      <c r="A59" t="s">
        <v>659</v>
      </c>
      <c r="B59" s="22">
        <v>44227</v>
      </c>
      <c r="C59">
        <v>2021</v>
      </c>
      <c r="D59" t="s">
        <v>212</v>
      </c>
      <c r="E59" t="s">
        <v>213</v>
      </c>
      <c r="F59" s="10"/>
      <c r="G59" s="10">
        <v>157200000</v>
      </c>
      <c r="H59" s="41">
        <v>-4.3899999999999997</v>
      </c>
      <c r="I59" s="10">
        <v>7600000000</v>
      </c>
      <c r="J59" s="10"/>
      <c r="K59" s="10"/>
      <c r="L59" s="10">
        <v>157200000</v>
      </c>
      <c r="M59" s="10">
        <v>-4.3899999999999997</v>
      </c>
      <c r="N59" s="10">
        <v>-690000000</v>
      </c>
      <c r="O59" s="10">
        <v>-1044000000</v>
      </c>
      <c r="P59" s="10">
        <v>-205000000</v>
      </c>
      <c r="Q59" s="10"/>
      <c r="R59" s="10"/>
      <c r="S59" s="10"/>
      <c r="T59" s="10"/>
      <c r="U59" s="10">
        <v>3115000000</v>
      </c>
      <c r="V59" s="10">
        <v>184000000</v>
      </c>
      <c r="W59" s="10">
        <v>184000000</v>
      </c>
      <c r="X59" s="10">
        <v>3000000</v>
      </c>
      <c r="Y59" s="10">
        <v>3000000</v>
      </c>
      <c r="Z59" s="10"/>
      <c r="AA59" s="10">
        <v>-690000000</v>
      </c>
      <c r="AB59" s="10">
        <v>-690000000</v>
      </c>
      <c r="AC59" s="10">
        <v>-690000000</v>
      </c>
      <c r="AD59" s="10">
        <v>-690000000</v>
      </c>
      <c r="AE59" s="10">
        <v>-690000000</v>
      </c>
      <c r="AF59" s="10">
        <v>-690000000</v>
      </c>
      <c r="AG59" s="10">
        <v>-181000000</v>
      </c>
      <c r="AH59" s="10">
        <v>-181000000</v>
      </c>
      <c r="AI59" s="10">
        <v>-205000000</v>
      </c>
      <c r="AJ59" s="10">
        <v>-690000000</v>
      </c>
      <c r="AK59" s="10">
        <v>4162000000</v>
      </c>
      <c r="AL59" s="10">
        <v>-1047000000</v>
      </c>
      <c r="AM59" s="10">
        <v>10715000000</v>
      </c>
      <c r="AN59" s="10"/>
      <c r="AO59" s="10"/>
      <c r="AP59" s="10"/>
      <c r="AQ59" s="10"/>
      <c r="AR59" s="10"/>
      <c r="AS59" s="10">
        <v>-1228000000</v>
      </c>
      <c r="AT59" s="10">
        <v>7600000000</v>
      </c>
      <c r="AU59" s="10">
        <v>839000000</v>
      </c>
      <c r="AV59" s="10"/>
      <c r="AW59" s="10"/>
      <c r="AX59" s="10">
        <v>4162000000</v>
      </c>
      <c r="AY59" s="10"/>
      <c r="AZ59" s="10">
        <v>0</v>
      </c>
      <c r="BA59" s="10">
        <v>-538000000</v>
      </c>
      <c r="BB59" s="10">
        <v>0.27</v>
      </c>
      <c r="BC59" s="10">
        <v>11762000000</v>
      </c>
      <c r="BD59" s="10"/>
      <c r="BE59" s="10">
        <v>10715000000</v>
      </c>
      <c r="BF59" s="10"/>
      <c r="BG59" s="10"/>
      <c r="BH59" s="10"/>
      <c r="BI59" s="10"/>
      <c r="BK59" s="41"/>
      <c r="BL59" s="10"/>
      <c r="BM59" s="10"/>
      <c r="BN59" s="10"/>
      <c r="BO59" s="10"/>
      <c r="BP59" s="10"/>
      <c r="BQ59" s="10"/>
      <c r="BR59" s="10"/>
      <c r="BT59" s="41"/>
      <c r="BU59" s="10"/>
      <c r="BV59" s="10"/>
      <c r="BW59" s="10"/>
      <c r="BX59" s="41">
        <v>2021</v>
      </c>
      <c r="BY59" s="10"/>
      <c r="BZ59" s="10"/>
      <c r="CA59" s="10"/>
      <c r="CB59" t="s">
        <v>660</v>
      </c>
    </row>
    <row r="60" spans="1:80" hidden="1" x14ac:dyDescent="0.35">
      <c r="A60" t="s">
        <v>659</v>
      </c>
      <c r="B60" s="22">
        <v>44592</v>
      </c>
      <c r="C60">
        <v>2022</v>
      </c>
      <c r="D60" t="s">
        <v>212</v>
      </c>
      <c r="E60" t="s">
        <v>213</v>
      </c>
      <c r="F60" s="10"/>
      <c r="G60" s="10">
        <v>159000000</v>
      </c>
      <c r="H60" s="41">
        <v>1.1200000000000001</v>
      </c>
      <c r="I60" s="10">
        <v>9344000000</v>
      </c>
      <c r="J60" s="10"/>
      <c r="K60" s="10"/>
      <c r="L60" s="10">
        <v>162500000</v>
      </c>
      <c r="M60" s="10">
        <v>1.1000000000000001</v>
      </c>
      <c r="N60" s="10">
        <v>178000000</v>
      </c>
      <c r="O60" s="10">
        <v>493000000</v>
      </c>
      <c r="P60" s="10">
        <v>1283000000</v>
      </c>
      <c r="Q60" s="10"/>
      <c r="R60" s="10">
        <v>0</v>
      </c>
      <c r="S60" s="10"/>
      <c r="T60" s="10"/>
      <c r="U60" s="10">
        <v>5445000000</v>
      </c>
      <c r="V60" s="10">
        <v>247000000</v>
      </c>
      <c r="W60" s="10">
        <v>247000000</v>
      </c>
      <c r="X60" s="10">
        <v>1000000</v>
      </c>
      <c r="Y60" s="10">
        <v>1000000</v>
      </c>
      <c r="Z60" s="10"/>
      <c r="AA60" s="10">
        <v>178000000</v>
      </c>
      <c r="AB60" s="10">
        <v>178000000</v>
      </c>
      <c r="AC60" s="10">
        <v>178000000</v>
      </c>
      <c r="AD60" s="10">
        <v>178000000</v>
      </c>
      <c r="AE60" s="10">
        <v>178000000</v>
      </c>
      <c r="AF60" s="10">
        <v>178000000</v>
      </c>
      <c r="AG60" s="10">
        <v>-246000000</v>
      </c>
      <c r="AH60" s="10">
        <v>-246000000</v>
      </c>
      <c r="AI60" s="10">
        <v>1283000000</v>
      </c>
      <c r="AJ60" s="10">
        <v>178000000</v>
      </c>
      <c r="AK60" s="10">
        <v>4953000000</v>
      </c>
      <c r="AL60" s="10">
        <v>492000000</v>
      </c>
      <c r="AM60" s="10">
        <v>14789000000</v>
      </c>
      <c r="AN60" s="10"/>
      <c r="AO60" s="10"/>
      <c r="AP60" s="10"/>
      <c r="AQ60" s="10"/>
      <c r="AR60" s="10"/>
      <c r="AS60" s="10">
        <v>246000000</v>
      </c>
      <c r="AT60" s="10">
        <v>9344000000</v>
      </c>
      <c r="AU60" s="10">
        <v>790000000</v>
      </c>
      <c r="AV60" s="10"/>
      <c r="AW60" s="10"/>
      <c r="AX60" s="10">
        <v>4953000000</v>
      </c>
      <c r="AY60" s="10">
        <v>0</v>
      </c>
      <c r="AZ60" s="10">
        <v>0</v>
      </c>
      <c r="BA60" s="10">
        <v>68000000</v>
      </c>
      <c r="BB60" s="10">
        <v>0.27500000000000002</v>
      </c>
      <c r="BC60" s="10">
        <v>14297000000</v>
      </c>
      <c r="BD60" s="10"/>
      <c r="BE60" s="10">
        <v>14789000000</v>
      </c>
      <c r="BF60" s="10">
        <v>0</v>
      </c>
      <c r="BG60" s="10">
        <v>0</v>
      </c>
      <c r="BH60" s="10"/>
      <c r="BI60" s="10"/>
      <c r="BK60" s="41"/>
      <c r="BL60" s="10"/>
      <c r="BM60" s="10"/>
      <c r="BN60" s="10"/>
      <c r="BO60" s="10"/>
      <c r="BP60" s="10"/>
      <c r="BQ60" s="10"/>
      <c r="BR60" s="10"/>
      <c r="BT60" s="41"/>
      <c r="BU60" s="10"/>
      <c r="BV60" s="10"/>
      <c r="BW60" s="10"/>
      <c r="BX60" s="41">
        <v>2022</v>
      </c>
      <c r="BY60" s="10"/>
      <c r="BZ60" s="10"/>
      <c r="CA60" s="10"/>
      <c r="CB60" t="s">
        <v>660</v>
      </c>
    </row>
    <row r="61" spans="1:80" hidden="1" x14ac:dyDescent="0.35">
      <c r="A61" t="s">
        <v>659</v>
      </c>
      <c r="B61" s="22">
        <v>44957</v>
      </c>
      <c r="C61">
        <v>2023</v>
      </c>
      <c r="D61" t="s">
        <v>212</v>
      </c>
      <c r="E61" t="s">
        <v>213</v>
      </c>
      <c r="F61" s="10"/>
      <c r="G61" s="10">
        <v>160100000</v>
      </c>
      <c r="H61" s="41">
        <v>1.53</v>
      </c>
      <c r="I61" s="10">
        <v>10019000000</v>
      </c>
      <c r="J61" s="10"/>
      <c r="K61" s="10"/>
      <c r="L61" s="10">
        <v>162100000</v>
      </c>
      <c r="M61" s="10">
        <v>1.51</v>
      </c>
      <c r="N61" s="10">
        <v>245000000</v>
      </c>
      <c r="O61" s="10">
        <v>475000000</v>
      </c>
      <c r="P61" s="10">
        <v>1264000000</v>
      </c>
      <c r="Q61" s="10"/>
      <c r="R61" s="10">
        <v>0</v>
      </c>
      <c r="S61" s="10"/>
      <c r="T61" s="10"/>
      <c r="U61" s="10">
        <v>5511000000</v>
      </c>
      <c r="V61" s="10">
        <v>138000000</v>
      </c>
      <c r="W61" s="10">
        <v>138000000</v>
      </c>
      <c r="X61" s="10">
        <v>10000000</v>
      </c>
      <c r="Y61" s="10">
        <v>10000000</v>
      </c>
      <c r="Z61" s="10"/>
      <c r="AA61" s="10">
        <v>245000000</v>
      </c>
      <c r="AB61" s="10">
        <v>245000000</v>
      </c>
      <c r="AC61" s="10">
        <v>245000000</v>
      </c>
      <c r="AD61" s="10">
        <v>245000000</v>
      </c>
      <c r="AE61" s="10">
        <v>245000000</v>
      </c>
      <c r="AF61" s="10">
        <v>245000000</v>
      </c>
      <c r="AG61" s="10">
        <v>-128000000</v>
      </c>
      <c r="AH61" s="10">
        <v>-128000000</v>
      </c>
      <c r="AI61" s="10">
        <v>1264000000</v>
      </c>
      <c r="AJ61" s="10">
        <v>245000000</v>
      </c>
      <c r="AK61" s="10">
        <v>5046000000</v>
      </c>
      <c r="AL61" s="10">
        <v>465000000</v>
      </c>
      <c r="AM61" s="10">
        <v>15530000000</v>
      </c>
      <c r="AN61" s="10"/>
      <c r="AO61" s="10"/>
      <c r="AP61" s="10"/>
      <c r="AQ61" s="10"/>
      <c r="AR61" s="10"/>
      <c r="AS61" s="10">
        <v>337000000</v>
      </c>
      <c r="AT61" s="10">
        <v>10019000000</v>
      </c>
      <c r="AU61" s="10">
        <v>789000000</v>
      </c>
      <c r="AV61" s="10"/>
      <c r="AW61" s="10"/>
      <c r="AX61" s="10">
        <v>5046000000</v>
      </c>
      <c r="AY61" s="10">
        <v>0</v>
      </c>
      <c r="AZ61" s="10">
        <v>0</v>
      </c>
      <c r="BA61" s="10">
        <v>92000000</v>
      </c>
      <c r="BB61" s="10">
        <v>0.27200000000000002</v>
      </c>
      <c r="BC61" s="10">
        <v>15065000000</v>
      </c>
      <c r="BD61" s="10"/>
      <c r="BE61" s="10">
        <v>15530000000</v>
      </c>
      <c r="BF61" s="10">
        <v>0</v>
      </c>
      <c r="BG61" s="10">
        <v>0</v>
      </c>
      <c r="BH61" s="10"/>
      <c r="BI61" s="10"/>
      <c r="BK61" s="41"/>
      <c r="BL61" s="10"/>
      <c r="BM61" s="10"/>
      <c r="BN61" s="10"/>
      <c r="BO61" s="10"/>
      <c r="BP61" s="10"/>
      <c r="BQ61" s="10"/>
      <c r="BR61" s="10"/>
      <c r="BT61" s="41"/>
      <c r="BU61" s="10"/>
      <c r="BV61" s="10"/>
      <c r="BW61" s="10"/>
      <c r="BX61" s="41">
        <v>2023</v>
      </c>
      <c r="BY61" s="10"/>
      <c r="BZ61" s="10"/>
      <c r="CA61" s="10"/>
      <c r="CB61" t="s">
        <v>660</v>
      </c>
    </row>
    <row r="62" spans="1:80" hidden="1" x14ac:dyDescent="0.35">
      <c r="A62" t="s">
        <v>659</v>
      </c>
      <c r="B62" s="22">
        <v>45230</v>
      </c>
      <c r="C62">
        <v>2023</v>
      </c>
      <c r="D62" t="s">
        <v>214</v>
      </c>
      <c r="E62" t="s">
        <v>213</v>
      </c>
      <c r="F62" s="10"/>
      <c r="G62" s="10">
        <v>161150000</v>
      </c>
      <c r="H62" s="41">
        <v>0.74</v>
      </c>
      <c r="I62" s="10"/>
      <c r="J62" s="10"/>
      <c r="K62" s="10"/>
      <c r="L62" s="10">
        <v>161500000</v>
      </c>
      <c r="M62" s="10">
        <v>0.74</v>
      </c>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K62" s="41"/>
      <c r="BL62" s="10"/>
      <c r="BM62" s="10"/>
      <c r="BN62" s="10"/>
      <c r="BO62" s="10"/>
      <c r="BP62" s="10"/>
      <c r="BQ62" s="10"/>
      <c r="BR62" s="10"/>
      <c r="BT62" s="41"/>
      <c r="BU62" s="10"/>
      <c r="BV62" s="10"/>
      <c r="BW62" s="10"/>
      <c r="BX62" s="41">
        <v>2023</v>
      </c>
      <c r="BY62" s="10"/>
      <c r="BZ62" s="10"/>
      <c r="CA62" s="10"/>
      <c r="CB62" t="s">
        <v>660</v>
      </c>
    </row>
    <row r="63" spans="1:80" hidden="1" x14ac:dyDescent="0.35">
      <c r="A63" t="s">
        <v>659</v>
      </c>
      <c r="B63" s="22">
        <v>45322</v>
      </c>
      <c r="C63">
        <v>2024</v>
      </c>
      <c r="D63" t="s">
        <v>212</v>
      </c>
      <c r="E63" t="s">
        <v>213</v>
      </c>
      <c r="F63" s="10"/>
      <c r="G63" s="10">
        <v>161800000</v>
      </c>
      <c r="H63" s="41">
        <v>0.83</v>
      </c>
      <c r="I63" s="10">
        <v>9303000000</v>
      </c>
      <c r="J63" s="10"/>
      <c r="K63" s="10"/>
      <c r="L63" s="10">
        <v>163400000</v>
      </c>
      <c r="M63" s="10">
        <v>0.82</v>
      </c>
      <c r="N63" s="10">
        <v>134000000</v>
      </c>
      <c r="O63" s="10">
        <v>284000000</v>
      </c>
      <c r="P63" s="10">
        <v>1054000000</v>
      </c>
      <c r="Q63" s="10"/>
      <c r="R63" s="10">
        <v>-284000000</v>
      </c>
      <c r="S63" s="10"/>
      <c r="T63" s="10"/>
      <c r="U63" s="10">
        <v>5390000000</v>
      </c>
      <c r="V63" s="10">
        <v>137000000</v>
      </c>
      <c r="W63" s="10">
        <v>137000000</v>
      </c>
      <c r="X63" s="10">
        <v>33000000</v>
      </c>
      <c r="Y63" s="10">
        <v>33000000</v>
      </c>
      <c r="Z63" s="10"/>
      <c r="AA63" s="10">
        <v>134000000</v>
      </c>
      <c r="AB63" s="10">
        <v>134000000</v>
      </c>
      <c r="AC63" s="10">
        <v>134000000</v>
      </c>
      <c r="AD63" s="10">
        <v>134000000</v>
      </c>
      <c r="AE63" s="10">
        <v>134000000</v>
      </c>
      <c r="AF63" s="10">
        <v>134000000</v>
      </c>
      <c r="AG63" s="10">
        <v>-104000000</v>
      </c>
      <c r="AH63" s="10">
        <v>-104000000</v>
      </c>
      <c r="AI63" s="10">
        <v>1338000000</v>
      </c>
      <c r="AJ63" s="10">
        <v>393576000</v>
      </c>
      <c r="AK63" s="10">
        <v>4855000000</v>
      </c>
      <c r="AL63" s="10">
        <v>535000000</v>
      </c>
      <c r="AM63" s="10">
        <v>14693000000</v>
      </c>
      <c r="AN63" s="10"/>
      <c r="AO63" s="10">
        <v>-284000000</v>
      </c>
      <c r="AP63" s="10"/>
      <c r="AQ63" s="10"/>
      <c r="AR63" s="10"/>
      <c r="AS63" s="10">
        <v>147000000</v>
      </c>
      <c r="AT63" s="10">
        <v>9303000000</v>
      </c>
      <c r="AU63" s="10">
        <v>770000000</v>
      </c>
      <c r="AV63" s="10"/>
      <c r="AW63" s="10"/>
      <c r="AX63" s="10">
        <v>4855000000</v>
      </c>
      <c r="AY63" s="10">
        <v>-284000000</v>
      </c>
      <c r="AZ63" s="10">
        <v>-24424000</v>
      </c>
      <c r="BA63" s="10">
        <v>13000000</v>
      </c>
      <c r="BB63" s="10">
        <v>8.5999999999999993E-2</v>
      </c>
      <c r="BC63" s="10">
        <v>14158000000</v>
      </c>
      <c r="BD63" s="10"/>
      <c r="BE63" s="10">
        <v>14693000000</v>
      </c>
      <c r="BF63" s="10">
        <v>-284000000</v>
      </c>
      <c r="BG63" s="10">
        <v>-284000000</v>
      </c>
      <c r="BH63" s="10"/>
      <c r="BI63" s="10"/>
      <c r="BK63" s="41"/>
      <c r="BL63" s="10"/>
      <c r="BM63" s="10"/>
      <c r="BN63" s="10"/>
      <c r="BO63" s="10"/>
      <c r="BP63" s="10"/>
      <c r="BQ63" s="10"/>
      <c r="BR63" s="10"/>
      <c r="BT63" s="41"/>
      <c r="BU63" s="10"/>
      <c r="BV63" s="10"/>
      <c r="BW63" s="10"/>
      <c r="BX63" s="41">
        <v>2024</v>
      </c>
      <c r="BY63" s="10"/>
      <c r="BZ63" s="10"/>
      <c r="CA63" s="10"/>
      <c r="CB63" t="s">
        <v>660</v>
      </c>
    </row>
    <row r="64" spans="1:80" hidden="1" x14ac:dyDescent="0.35">
      <c r="A64" t="s">
        <v>659</v>
      </c>
      <c r="B64" s="22">
        <v>45322</v>
      </c>
      <c r="C64">
        <v>2024</v>
      </c>
      <c r="D64" t="s">
        <v>214</v>
      </c>
      <c r="E64" t="s">
        <v>213</v>
      </c>
      <c r="F64" s="10"/>
      <c r="G64" s="10">
        <v>161800000</v>
      </c>
      <c r="H64" s="41">
        <v>0.83</v>
      </c>
      <c r="I64" s="10"/>
      <c r="J64" s="10"/>
      <c r="K64" s="10"/>
      <c r="L64" s="10">
        <v>163400000</v>
      </c>
      <c r="M64" s="10">
        <v>0.82</v>
      </c>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K64" s="41"/>
      <c r="BL64" s="10"/>
      <c r="BM64" s="10"/>
      <c r="BN64" s="10"/>
      <c r="BO64" s="10"/>
      <c r="BP64" s="10"/>
      <c r="BQ64" s="10"/>
      <c r="BR64" s="10"/>
      <c r="BT64" s="41"/>
      <c r="BU64" s="10"/>
      <c r="BV64" s="10"/>
      <c r="BW64" s="10"/>
      <c r="BX64" s="41">
        <v>2024</v>
      </c>
      <c r="BY64" s="10"/>
      <c r="BZ64" s="10"/>
      <c r="CA64" s="10"/>
      <c r="CB64" t="s">
        <v>660</v>
      </c>
    </row>
    <row r="65" spans="1:80" hidden="1" x14ac:dyDescent="0.35">
      <c r="A65" t="s">
        <v>659</v>
      </c>
      <c r="B65" s="22">
        <v>45412</v>
      </c>
      <c r="C65">
        <v>2024</v>
      </c>
      <c r="D65" t="s">
        <v>214</v>
      </c>
      <c r="E65" t="s">
        <v>213</v>
      </c>
      <c r="F65" s="10"/>
      <c r="G65" s="10">
        <v>162400000</v>
      </c>
      <c r="H65" s="41">
        <v>1.86</v>
      </c>
      <c r="I65" s="10">
        <v>9478000000</v>
      </c>
      <c r="J65" s="10"/>
      <c r="K65" s="10"/>
      <c r="L65" s="10">
        <v>164000000</v>
      </c>
      <c r="M65" s="10">
        <v>1.85</v>
      </c>
      <c r="N65" s="10">
        <v>300000000</v>
      </c>
      <c r="O65" s="10">
        <v>522000000</v>
      </c>
      <c r="P65" s="10">
        <v>1304000000</v>
      </c>
      <c r="Q65" s="10"/>
      <c r="R65" s="10">
        <v>25000000</v>
      </c>
      <c r="S65" s="10"/>
      <c r="T65" s="10"/>
      <c r="U65" s="10">
        <v>5369000000</v>
      </c>
      <c r="V65" s="10">
        <v>136000000</v>
      </c>
      <c r="W65" s="10">
        <v>136000000</v>
      </c>
      <c r="X65" s="10"/>
      <c r="Y65" s="10"/>
      <c r="Z65" s="10"/>
      <c r="AA65" s="10">
        <v>300000000</v>
      </c>
      <c r="AB65" s="10">
        <v>300000000</v>
      </c>
      <c r="AC65" s="10">
        <v>300000000</v>
      </c>
      <c r="AD65" s="10">
        <v>300000000</v>
      </c>
      <c r="AE65" s="10">
        <v>300000000</v>
      </c>
      <c r="AF65" s="10">
        <v>300000000</v>
      </c>
      <c r="AG65" s="10">
        <v>-103000000</v>
      </c>
      <c r="AH65" s="10">
        <v>-103000000</v>
      </c>
      <c r="AI65" s="10">
        <v>1279000000</v>
      </c>
      <c r="AJ65" s="10">
        <v>280569948.18652803</v>
      </c>
      <c r="AK65" s="10">
        <v>4905000000</v>
      </c>
      <c r="AL65" s="10">
        <v>464000000</v>
      </c>
      <c r="AM65" s="10">
        <v>14847000000</v>
      </c>
      <c r="AN65" s="10"/>
      <c r="AO65" s="10"/>
      <c r="AP65" s="10"/>
      <c r="AQ65" s="10"/>
      <c r="AR65" s="10"/>
      <c r="AS65" s="10">
        <v>386000000</v>
      </c>
      <c r="AT65" s="10">
        <v>9478000000</v>
      </c>
      <c r="AU65" s="10">
        <v>782000000</v>
      </c>
      <c r="AV65" s="10"/>
      <c r="AW65" s="10"/>
      <c r="AX65" s="10">
        <v>4905000000</v>
      </c>
      <c r="AY65" s="10">
        <v>25000000</v>
      </c>
      <c r="AZ65" s="10">
        <v>5569948.186528</v>
      </c>
      <c r="BA65" s="10">
        <v>86000000</v>
      </c>
      <c r="BB65" s="10">
        <v>0.222798</v>
      </c>
      <c r="BC65" s="10">
        <v>14383000000</v>
      </c>
      <c r="BD65" s="10"/>
      <c r="BE65" s="10">
        <v>14847000000</v>
      </c>
      <c r="BF65" s="10">
        <v>25000000</v>
      </c>
      <c r="BG65" s="10">
        <v>25000000</v>
      </c>
      <c r="BH65" s="10"/>
      <c r="BI65" s="10"/>
      <c r="BK65" s="41"/>
      <c r="BL65" s="10"/>
      <c r="BM65" s="10"/>
      <c r="BN65" s="10"/>
      <c r="BO65" s="10"/>
      <c r="BP65" s="10"/>
      <c r="BQ65" s="10"/>
      <c r="BR65" s="10"/>
      <c r="BT65" s="41"/>
      <c r="BU65" s="10"/>
      <c r="BV65" s="10"/>
      <c r="BW65" s="10"/>
      <c r="BX65" s="41">
        <v>2024</v>
      </c>
      <c r="BY65" s="10"/>
      <c r="BZ65" s="10"/>
      <c r="CA65" s="10"/>
      <c r="CB65" t="s">
        <v>660</v>
      </c>
    </row>
    <row r="66" spans="1:80" hidden="1" x14ac:dyDescent="0.35">
      <c r="A66" t="s">
        <v>661</v>
      </c>
      <c r="B66" s="22">
        <v>43830</v>
      </c>
      <c r="C66">
        <v>2019</v>
      </c>
      <c r="D66" t="s">
        <v>212</v>
      </c>
      <c r="E66" t="s">
        <v>213</v>
      </c>
      <c r="F66" s="10"/>
      <c r="G66" s="10"/>
      <c r="H66" s="41"/>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v>301000000</v>
      </c>
      <c r="AR66" s="10"/>
      <c r="AS66" s="10"/>
      <c r="AT66" s="10"/>
      <c r="AU66" s="10"/>
      <c r="AV66" s="10"/>
      <c r="AW66" s="10">
        <v>4871000000</v>
      </c>
      <c r="AX66" s="10"/>
      <c r="AY66" s="10"/>
      <c r="AZ66" s="10"/>
      <c r="BA66" s="10"/>
      <c r="BB66" s="10"/>
      <c r="BC66" s="10"/>
      <c r="BD66" s="10"/>
      <c r="BE66" s="10"/>
      <c r="BF66" s="10"/>
      <c r="BG66" s="10"/>
      <c r="BH66" s="10"/>
      <c r="BI66" s="10"/>
      <c r="BK66" s="41"/>
      <c r="BL66" s="10"/>
      <c r="BM66" s="10">
        <v>15000000</v>
      </c>
      <c r="BN66" s="10"/>
      <c r="BO66" s="10"/>
      <c r="BP66" s="10"/>
      <c r="BQ66" s="10"/>
      <c r="BR66" s="10">
        <v>0</v>
      </c>
      <c r="BT66" s="41"/>
      <c r="BU66" s="10"/>
      <c r="BV66" s="10"/>
      <c r="BW66" s="10"/>
      <c r="BX66" s="41">
        <v>2019</v>
      </c>
      <c r="BY66" s="10"/>
      <c r="BZ66" s="10"/>
      <c r="CA66" s="10"/>
      <c r="CB66" t="s">
        <v>662</v>
      </c>
    </row>
    <row r="67" spans="1:80" hidden="1" x14ac:dyDescent="0.35">
      <c r="A67" t="s">
        <v>661</v>
      </c>
      <c r="B67" s="22">
        <v>44196</v>
      </c>
      <c r="C67">
        <v>2020</v>
      </c>
      <c r="D67" t="s">
        <v>212</v>
      </c>
      <c r="E67" t="s">
        <v>213</v>
      </c>
      <c r="F67" s="10"/>
      <c r="G67" s="10">
        <v>2258000000</v>
      </c>
      <c r="H67" s="41">
        <v>-3.99</v>
      </c>
      <c r="I67" s="10">
        <v>11773000000</v>
      </c>
      <c r="J67" s="10">
        <v>9688000000</v>
      </c>
      <c r="K67" s="10">
        <v>9688000000</v>
      </c>
      <c r="L67" s="10">
        <v>2258000000</v>
      </c>
      <c r="M67" s="10">
        <v>-3.99</v>
      </c>
      <c r="N67" s="10">
        <v>-9015000000</v>
      </c>
      <c r="O67" s="10">
        <v>-5451000000</v>
      </c>
      <c r="P67" s="10">
        <v>4929000000</v>
      </c>
      <c r="Q67" s="10"/>
      <c r="R67" s="10">
        <v>55000000</v>
      </c>
      <c r="S67" s="10">
        <v>1349000000</v>
      </c>
      <c r="T67" s="10"/>
      <c r="U67" s="10">
        <v>30745000000</v>
      </c>
      <c r="V67" s="10">
        <v>1420000000</v>
      </c>
      <c r="W67" s="10">
        <v>1420000000</v>
      </c>
      <c r="X67" s="10"/>
      <c r="Y67" s="10"/>
      <c r="Z67" s="10">
        <v>-20000000</v>
      </c>
      <c r="AA67" s="10">
        <v>-9015000000</v>
      </c>
      <c r="AB67" s="10">
        <v>-9015000000</v>
      </c>
      <c r="AC67" s="10">
        <v>-8995000000</v>
      </c>
      <c r="AD67" s="10">
        <v>-9015000000</v>
      </c>
      <c r="AE67" s="10">
        <v>-9015000000</v>
      </c>
      <c r="AF67" s="10">
        <v>-8995000000</v>
      </c>
      <c r="AG67" s="10">
        <v>-1420000000</v>
      </c>
      <c r="AH67" s="10">
        <v>-1420000000</v>
      </c>
      <c r="AI67" s="10">
        <v>14280000000</v>
      </c>
      <c r="AJ67" s="10">
        <v>-2188770000</v>
      </c>
      <c r="AK67" s="10">
        <v>28568000000</v>
      </c>
      <c r="AL67" s="10">
        <v>2177000000</v>
      </c>
      <c r="AM67" s="10">
        <v>41936000000</v>
      </c>
      <c r="AN67" s="10"/>
      <c r="AO67" s="10">
        <v>-7628000000</v>
      </c>
      <c r="AP67" s="10">
        <v>1723000000</v>
      </c>
      <c r="AQ67" s="10">
        <v>530000000</v>
      </c>
      <c r="AR67" s="10"/>
      <c r="AS67" s="10">
        <v>-6871000000</v>
      </c>
      <c r="AT67" s="10">
        <v>11081000000</v>
      </c>
      <c r="AU67" s="10">
        <v>10380000000</v>
      </c>
      <c r="AV67" s="10">
        <v>11143000000</v>
      </c>
      <c r="AW67" s="10">
        <v>7661000000</v>
      </c>
      <c r="AX67" s="10">
        <v>7661000000</v>
      </c>
      <c r="AY67" s="10">
        <v>-10700000000</v>
      </c>
      <c r="AZ67" s="10">
        <v>-2524770000</v>
      </c>
      <c r="BA67" s="10">
        <v>2124000000</v>
      </c>
      <c r="BB67" s="10">
        <v>0.27</v>
      </c>
      <c r="BC67" s="10">
        <v>40341000000</v>
      </c>
      <c r="BD67" s="10"/>
      <c r="BE67" s="10">
        <v>42518000000</v>
      </c>
      <c r="BF67" s="10">
        <v>-9351000000</v>
      </c>
      <c r="BG67" s="10">
        <v>-9351000000</v>
      </c>
      <c r="BH67" s="10"/>
      <c r="BI67" s="10"/>
      <c r="BK67" s="41"/>
      <c r="BL67" s="10">
        <v>1228000000</v>
      </c>
      <c r="BM67" s="10">
        <v>21000000</v>
      </c>
      <c r="BN67" s="10"/>
      <c r="BO67" s="10">
        <v>9688000000</v>
      </c>
      <c r="BP67" s="10">
        <v>9688000000</v>
      </c>
      <c r="BQ67" s="10">
        <v>-194000000</v>
      </c>
      <c r="BR67" s="10">
        <v>76000000</v>
      </c>
      <c r="BT67" s="41"/>
      <c r="BU67" s="10">
        <v>10928000000</v>
      </c>
      <c r="BV67" s="10"/>
      <c r="BW67" s="10"/>
      <c r="BX67" s="41">
        <v>2020</v>
      </c>
      <c r="BY67" s="10"/>
      <c r="BZ67" s="10"/>
      <c r="CA67" s="10"/>
      <c r="CB67" t="s">
        <v>662</v>
      </c>
    </row>
    <row r="68" spans="1:80" hidden="1" x14ac:dyDescent="0.35">
      <c r="A68" t="s">
        <v>661</v>
      </c>
      <c r="B68" s="22">
        <v>44561</v>
      </c>
      <c r="C68">
        <v>2021</v>
      </c>
      <c r="D68" t="s">
        <v>212</v>
      </c>
      <c r="E68" t="s">
        <v>213</v>
      </c>
      <c r="F68" s="10"/>
      <c r="G68" s="10">
        <v>2153000000</v>
      </c>
      <c r="H68" s="41">
        <v>3.2484899999999999</v>
      </c>
      <c r="I68" s="10">
        <v>9940000000</v>
      </c>
      <c r="J68" s="10">
        <v>10023000000</v>
      </c>
      <c r="K68" s="10">
        <v>10023000000</v>
      </c>
      <c r="L68" s="10">
        <v>2245000000</v>
      </c>
      <c r="M68" s="10">
        <v>3.12</v>
      </c>
      <c r="N68" s="10">
        <v>6994000000</v>
      </c>
      <c r="O68" s="10">
        <v>9432000000</v>
      </c>
      <c r="P68" s="10">
        <v>20118000000</v>
      </c>
      <c r="Q68" s="10"/>
      <c r="R68" s="10">
        <v>675000000</v>
      </c>
      <c r="S68" s="10">
        <v>784000000</v>
      </c>
      <c r="T68" s="10"/>
      <c r="U68" s="10">
        <v>36445000000</v>
      </c>
      <c r="V68" s="10">
        <v>1334000000</v>
      </c>
      <c r="W68" s="10">
        <v>1334000000</v>
      </c>
      <c r="X68" s="10"/>
      <c r="Y68" s="10"/>
      <c r="Z68" s="10">
        <v>-20000000</v>
      </c>
      <c r="AA68" s="10">
        <v>6994000000</v>
      </c>
      <c r="AB68" s="10">
        <v>6994000000</v>
      </c>
      <c r="AC68" s="10">
        <v>7014000000</v>
      </c>
      <c r="AD68" s="10">
        <v>6994000000</v>
      </c>
      <c r="AE68" s="10">
        <v>6994000000</v>
      </c>
      <c r="AF68" s="10">
        <v>7014000000</v>
      </c>
      <c r="AG68" s="10">
        <v>-1334000000</v>
      </c>
      <c r="AH68" s="10">
        <v>-1334000000</v>
      </c>
      <c r="AI68" s="10">
        <v>20372000000</v>
      </c>
      <c r="AJ68" s="10">
        <v>7213999506.0508766</v>
      </c>
      <c r="AK68" s="10">
        <v>27908000000</v>
      </c>
      <c r="AL68" s="10">
        <v>8537000000</v>
      </c>
      <c r="AM68" s="10">
        <v>45771000000</v>
      </c>
      <c r="AN68" s="10"/>
      <c r="AO68" s="10">
        <v>895000000</v>
      </c>
      <c r="AP68" s="10">
        <v>1149000000</v>
      </c>
      <c r="AQ68" s="10"/>
      <c r="AR68" s="10"/>
      <c r="AS68" s="10">
        <v>8098000000</v>
      </c>
      <c r="AT68" s="10">
        <v>9277000000</v>
      </c>
      <c r="AU68" s="10">
        <v>10686000000</v>
      </c>
      <c r="AV68" s="10">
        <v>10195000000</v>
      </c>
      <c r="AW68" s="10">
        <v>7690000000</v>
      </c>
      <c r="AX68" s="10">
        <v>7690000000</v>
      </c>
      <c r="AY68" s="10">
        <v>-1038000000</v>
      </c>
      <c r="AZ68" s="10">
        <v>-34000493.949123003</v>
      </c>
      <c r="BA68" s="10">
        <v>1084000000</v>
      </c>
      <c r="BB68" s="10">
        <v>0.13386000000000001</v>
      </c>
      <c r="BC68" s="10">
        <v>37848000000</v>
      </c>
      <c r="BD68" s="10"/>
      <c r="BE68" s="10">
        <v>46385000000</v>
      </c>
      <c r="BF68" s="10">
        <v>-254000000</v>
      </c>
      <c r="BG68" s="10">
        <v>-254000000</v>
      </c>
      <c r="BH68" s="10"/>
      <c r="BI68" s="10"/>
      <c r="BK68" s="41"/>
      <c r="BL68" s="10">
        <v>745000000</v>
      </c>
      <c r="BM68" s="10">
        <v>0</v>
      </c>
      <c r="BN68" s="10"/>
      <c r="BO68" s="10">
        <v>10023000000</v>
      </c>
      <c r="BP68" s="10">
        <v>10023000000</v>
      </c>
      <c r="BQ68" s="10">
        <v>363000000</v>
      </c>
      <c r="BR68" s="10">
        <v>0</v>
      </c>
      <c r="BT68" s="41"/>
      <c r="BU68" s="10">
        <v>1350000000</v>
      </c>
      <c r="BV68" s="10"/>
      <c r="BW68" s="10"/>
      <c r="BX68" s="41">
        <v>2021</v>
      </c>
      <c r="BY68" s="10"/>
      <c r="BZ68" s="10"/>
      <c r="CA68" s="10"/>
      <c r="CB68" t="s">
        <v>662</v>
      </c>
    </row>
    <row r="69" spans="1:80" hidden="1" x14ac:dyDescent="0.35">
      <c r="A69" t="s">
        <v>661</v>
      </c>
      <c r="B69" s="22">
        <v>44926</v>
      </c>
      <c r="C69">
        <v>2022</v>
      </c>
      <c r="D69" t="s">
        <v>212</v>
      </c>
      <c r="E69" t="s">
        <v>213</v>
      </c>
      <c r="F69" s="10"/>
      <c r="G69" s="10">
        <v>2130000000</v>
      </c>
      <c r="H69" s="41">
        <v>2.97</v>
      </c>
      <c r="I69" s="10">
        <v>10137000000</v>
      </c>
      <c r="J69" s="10">
        <v>9595000000</v>
      </c>
      <c r="K69" s="10">
        <v>9595000000</v>
      </c>
      <c r="L69" s="10">
        <v>2146000000</v>
      </c>
      <c r="M69" s="10">
        <v>2.95</v>
      </c>
      <c r="N69" s="10">
        <v>6327000000</v>
      </c>
      <c r="O69" s="10">
        <v>8945000000</v>
      </c>
      <c r="P69" s="10">
        <v>19221000000</v>
      </c>
      <c r="Q69" s="10"/>
      <c r="R69" s="10">
        <v>1043000000</v>
      </c>
      <c r="S69" s="10">
        <v>-630000000</v>
      </c>
      <c r="T69" s="10"/>
      <c r="U69" s="10">
        <v>36022000000</v>
      </c>
      <c r="V69" s="10">
        <v>1232000000</v>
      </c>
      <c r="W69" s="10">
        <v>1232000000</v>
      </c>
      <c r="X69" s="10"/>
      <c r="Y69" s="10"/>
      <c r="Z69" s="10">
        <v>-18000000</v>
      </c>
      <c r="AA69" s="10">
        <v>6327000000</v>
      </c>
      <c r="AB69" s="10">
        <v>6327000000</v>
      </c>
      <c r="AC69" s="10">
        <v>6345000000</v>
      </c>
      <c r="AD69" s="10">
        <v>6327000000</v>
      </c>
      <c r="AE69" s="10">
        <v>6327000000</v>
      </c>
      <c r="AF69" s="10">
        <v>6345000000</v>
      </c>
      <c r="AG69" s="10">
        <v>-1232000000</v>
      </c>
      <c r="AH69" s="10">
        <v>-1232000000</v>
      </c>
      <c r="AI69" s="10">
        <v>20573000000</v>
      </c>
      <c r="AJ69" s="10">
        <v>7439696000</v>
      </c>
      <c r="AK69" s="10">
        <v>26918000000</v>
      </c>
      <c r="AL69" s="10">
        <v>9104000000</v>
      </c>
      <c r="AM69" s="10">
        <v>45413000000</v>
      </c>
      <c r="AN69" s="10"/>
      <c r="AO69" s="10">
        <v>-159000000</v>
      </c>
      <c r="AP69" s="10">
        <v>1193000000</v>
      </c>
      <c r="AQ69" s="10"/>
      <c r="AR69" s="10"/>
      <c r="AS69" s="10">
        <v>7713000000</v>
      </c>
      <c r="AT69" s="10">
        <v>9456000000</v>
      </c>
      <c r="AU69" s="10">
        <v>10276000000</v>
      </c>
      <c r="AV69" s="10">
        <v>9509000000</v>
      </c>
      <c r="AW69" s="10">
        <v>7814000000</v>
      </c>
      <c r="AX69" s="10">
        <v>7814000000</v>
      </c>
      <c r="AY69" s="10">
        <v>-722000000</v>
      </c>
      <c r="AZ69" s="10">
        <v>-239304000</v>
      </c>
      <c r="BA69" s="10">
        <v>1368000000</v>
      </c>
      <c r="BB69" s="10">
        <v>0.17699999999999999</v>
      </c>
      <c r="BC69" s="10">
        <v>37055000000</v>
      </c>
      <c r="BD69" s="10"/>
      <c r="BE69" s="10">
        <v>46159000000</v>
      </c>
      <c r="BF69" s="10">
        <v>-1352000000</v>
      </c>
      <c r="BG69" s="10">
        <v>-1352000000</v>
      </c>
      <c r="BH69" s="10"/>
      <c r="BI69" s="10"/>
      <c r="BK69" s="41"/>
      <c r="BL69" s="10">
        <v>-801000000</v>
      </c>
      <c r="BM69" s="10"/>
      <c r="BN69" s="10"/>
      <c r="BO69" s="10">
        <v>9595000000</v>
      </c>
      <c r="BP69" s="10">
        <v>9595000000</v>
      </c>
      <c r="BQ69" s="10">
        <v>444000000</v>
      </c>
      <c r="BR69" s="10"/>
      <c r="BT69" s="41"/>
      <c r="BU69" s="10">
        <v>1321000000</v>
      </c>
      <c r="BV69" s="10"/>
      <c r="BW69" s="10"/>
      <c r="BX69" s="41">
        <v>2022</v>
      </c>
      <c r="BY69" s="10"/>
      <c r="BZ69" s="10"/>
      <c r="CA69" s="10"/>
      <c r="CB69" t="s">
        <v>662</v>
      </c>
    </row>
    <row r="70" spans="1:80" hidden="1" x14ac:dyDescent="0.35">
      <c r="A70" t="s">
        <v>661</v>
      </c>
      <c r="B70" s="22">
        <v>45199</v>
      </c>
      <c r="C70">
        <v>2023</v>
      </c>
      <c r="D70" t="s">
        <v>214</v>
      </c>
      <c r="E70" t="s">
        <v>213</v>
      </c>
      <c r="F70" s="10"/>
      <c r="G70" s="10">
        <v>2089500000</v>
      </c>
      <c r="H70" s="41">
        <v>3.97</v>
      </c>
      <c r="I70" s="10"/>
      <c r="J70" s="10"/>
      <c r="K70" s="10"/>
      <c r="L70" s="10">
        <v>2100250000</v>
      </c>
      <c r="M70" s="10">
        <v>3.94</v>
      </c>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K70" s="41"/>
      <c r="BL70" s="10"/>
      <c r="BM70" s="10"/>
      <c r="BN70" s="10"/>
      <c r="BO70" s="10"/>
      <c r="BP70" s="10"/>
      <c r="BQ70" s="10"/>
      <c r="BR70" s="10"/>
      <c r="BT70" s="41"/>
      <c r="BU70" s="10"/>
      <c r="BV70" s="10"/>
      <c r="BW70" s="10"/>
      <c r="BX70" s="41">
        <v>2023</v>
      </c>
      <c r="BY70" s="10"/>
      <c r="BZ70" s="10"/>
      <c r="CA70" s="10"/>
      <c r="CB70" t="s">
        <v>662</v>
      </c>
    </row>
    <row r="71" spans="1:80" hidden="1" x14ac:dyDescent="0.35">
      <c r="A71" t="s">
        <v>661</v>
      </c>
      <c r="B71" s="22">
        <v>45291</v>
      </c>
      <c r="C71">
        <v>2023</v>
      </c>
      <c r="D71" t="s">
        <v>212</v>
      </c>
      <c r="E71" t="s">
        <v>213</v>
      </c>
      <c r="F71" s="10"/>
      <c r="G71" s="10">
        <v>2069000000</v>
      </c>
      <c r="H71" s="41">
        <v>3.88</v>
      </c>
      <c r="I71" s="10">
        <v>10693000000</v>
      </c>
      <c r="J71" s="10">
        <v>9047000000</v>
      </c>
      <c r="K71" s="10">
        <v>9047000000</v>
      </c>
      <c r="L71" s="10">
        <v>2078000000</v>
      </c>
      <c r="M71" s="10">
        <v>3.86</v>
      </c>
      <c r="N71" s="10">
        <v>8025000000</v>
      </c>
      <c r="O71" s="10">
        <v>9606000000</v>
      </c>
      <c r="P71" s="10">
        <v>19366000000</v>
      </c>
      <c r="Q71" s="10"/>
      <c r="R71" s="10">
        <v>862000000</v>
      </c>
      <c r="S71" s="10">
        <v>289000000</v>
      </c>
      <c r="T71" s="10"/>
      <c r="U71" s="10">
        <v>34313000000</v>
      </c>
      <c r="V71" s="10">
        <v>1166000000</v>
      </c>
      <c r="W71" s="10">
        <v>1166000000</v>
      </c>
      <c r="X71" s="10"/>
      <c r="Y71" s="10"/>
      <c r="Z71" s="10">
        <v>-15000000</v>
      </c>
      <c r="AA71" s="10">
        <v>8025000000</v>
      </c>
      <c r="AB71" s="10">
        <v>8025000000</v>
      </c>
      <c r="AC71" s="10">
        <v>8040000000</v>
      </c>
      <c r="AD71" s="10">
        <v>8025000000</v>
      </c>
      <c r="AE71" s="10">
        <v>8025000000</v>
      </c>
      <c r="AF71" s="10">
        <v>8040000000</v>
      </c>
      <c r="AG71" s="10">
        <v>-1166000000</v>
      </c>
      <c r="AH71" s="10">
        <v>-1166000000</v>
      </c>
      <c r="AI71" s="10">
        <v>19337000000</v>
      </c>
      <c r="AJ71" s="10">
        <v>7997363000</v>
      </c>
      <c r="AK71" s="10">
        <v>26118000000</v>
      </c>
      <c r="AL71" s="10">
        <v>8195000000</v>
      </c>
      <c r="AM71" s="10">
        <v>44386000000</v>
      </c>
      <c r="AN71" s="10"/>
      <c r="AO71" s="10">
        <v>1411000000</v>
      </c>
      <c r="AP71" s="10">
        <v>1382000000</v>
      </c>
      <c r="AQ71" s="10"/>
      <c r="AR71" s="10"/>
      <c r="AS71" s="10">
        <v>8440000000</v>
      </c>
      <c r="AT71" s="10">
        <v>9980000000</v>
      </c>
      <c r="AU71" s="10">
        <v>9760000000</v>
      </c>
      <c r="AV71" s="10">
        <v>9299000000</v>
      </c>
      <c r="AW71" s="10"/>
      <c r="AX71" s="10">
        <v>7772000000</v>
      </c>
      <c r="AY71" s="10">
        <v>-260000000</v>
      </c>
      <c r="AZ71" s="10">
        <v>1363000</v>
      </c>
      <c r="BA71" s="10">
        <v>400000000</v>
      </c>
      <c r="BB71" s="10">
        <v>4.7E-2</v>
      </c>
      <c r="BC71" s="10">
        <v>36811000000</v>
      </c>
      <c r="BD71" s="10"/>
      <c r="BE71" s="10">
        <v>45006000000</v>
      </c>
      <c r="BF71" s="10">
        <v>29000000</v>
      </c>
      <c r="BG71" s="10">
        <v>29000000</v>
      </c>
      <c r="BH71" s="10"/>
      <c r="BI71" s="10"/>
      <c r="BK71" s="41"/>
      <c r="BL71" s="10">
        <v>-160000000</v>
      </c>
      <c r="BM71" s="10"/>
      <c r="BN71" s="10"/>
      <c r="BO71" s="10">
        <v>9047000000</v>
      </c>
      <c r="BP71" s="10">
        <v>9047000000</v>
      </c>
      <c r="BQ71" s="10">
        <v>-390000000</v>
      </c>
      <c r="BR71" s="10"/>
      <c r="BT71" s="41"/>
      <c r="BU71" s="10">
        <v>1512000000</v>
      </c>
      <c r="BV71" s="10"/>
      <c r="BW71" s="10"/>
      <c r="BX71" s="41">
        <v>2023</v>
      </c>
      <c r="BY71" s="10"/>
      <c r="BZ71" s="10"/>
      <c r="CA71" s="10"/>
      <c r="CB71" t="s">
        <v>662</v>
      </c>
    </row>
    <row r="72" spans="1:80" hidden="1" x14ac:dyDescent="0.35">
      <c r="A72" t="s">
        <v>661</v>
      </c>
      <c r="B72" s="22">
        <v>45291</v>
      </c>
      <c r="C72">
        <v>2023</v>
      </c>
      <c r="D72" t="s">
        <v>214</v>
      </c>
      <c r="E72" t="s">
        <v>213</v>
      </c>
      <c r="F72" s="10"/>
      <c r="G72" s="10">
        <v>2069000000</v>
      </c>
      <c r="H72" s="41">
        <v>3.88</v>
      </c>
      <c r="I72" s="10"/>
      <c r="J72" s="10"/>
      <c r="K72" s="10"/>
      <c r="L72" s="10">
        <v>2078000000</v>
      </c>
      <c r="M72" s="10">
        <v>3.86</v>
      </c>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K72" s="41"/>
      <c r="BL72" s="10"/>
      <c r="BM72" s="10"/>
      <c r="BN72" s="10"/>
      <c r="BO72" s="10"/>
      <c r="BP72" s="10"/>
      <c r="BQ72" s="10"/>
      <c r="BR72" s="10"/>
      <c r="BT72" s="41"/>
      <c r="BU72" s="10"/>
      <c r="BV72" s="10"/>
      <c r="BW72" s="10"/>
      <c r="BX72" s="41">
        <v>2023</v>
      </c>
      <c r="BY72" s="10"/>
      <c r="BZ72" s="10"/>
      <c r="CA72" s="10"/>
      <c r="CB72" t="s">
        <v>662</v>
      </c>
    </row>
    <row r="73" spans="1:80" hidden="1" x14ac:dyDescent="0.35">
      <c r="A73" t="s">
        <v>661</v>
      </c>
      <c r="B73" s="22">
        <v>45382</v>
      </c>
      <c r="C73">
        <v>2024</v>
      </c>
      <c r="D73" t="s">
        <v>214</v>
      </c>
      <c r="E73" t="s">
        <v>213</v>
      </c>
      <c r="F73" s="10"/>
      <c r="G73" s="10">
        <v>2050000000</v>
      </c>
      <c r="H73" s="41">
        <v>-3.09</v>
      </c>
      <c r="I73" s="10"/>
      <c r="J73" s="10"/>
      <c r="K73" s="10"/>
      <c r="L73" s="10">
        <v>2055500000</v>
      </c>
      <c r="M73" s="10">
        <v>-3.1</v>
      </c>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K73" s="41"/>
      <c r="BL73" s="10"/>
      <c r="BM73" s="10"/>
      <c r="BN73" s="10"/>
      <c r="BO73" s="10"/>
      <c r="BP73" s="10"/>
      <c r="BQ73" s="10"/>
      <c r="BR73" s="10"/>
      <c r="BT73" s="41"/>
      <c r="BU73" s="10"/>
      <c r="BV73" s="10"/>
      <c r="BW73" s="10"/>
      <c r="BX73" s="41">
        <v>2024</v>
      </c>
      <c r="BY73" s="10"/>
      <c r="BZ73" s="10"/>
      <c r="CA73" s="10"/>
      <c r="CB73" t="s">
        <v>662</v>
      </c>
    </row>
    <row r="74" spans="1:80" hidden="1" x14ac:dyDescent="0.35">
      <c r="A74" t="s">
        <v>661</v>
      </c>
      <c r="B74" s="22">
        <v>45473</v>
      </c>
      <c r="C74">
        <v>2024</v>
      </c>
      <c r="D74" t="s">
        <v>214</v>
      </c>
      <c r="E74" t="s">
        <v>213</v>
      </c>
      <c r="F74" s="10"/>
      <c r="G74" s="10">
        <v>2033500000</v>
      </c>
      <c r="H74" s="41">
        <v>-3.24</v>
      </c>
      <c r="I74" s="10">
        <v>11450000000</v>
      </c>
      <c r="J74" s="10">
        <v>9307000000</v>
      </c>
      <c r="K74" s="10">
        <v>9307000000</v>
      </c>
      <c r="L74" s="10">
        <v>2037000000</v>
      </c>
      <c r="M74" s="10">
        <v>-3.25</v>
      </c>
      <c r="N74" s="10">
        <v>-6541000000</v>
      </c>
      <c r="O74" s="10">
        <v>-4877000000</v>
      </c>
      <c r="P74" s="10">
        <v>5150000000</v>
      </c>
      <c r="Q74" s="10"/>
      <c r="R74" s="10"/>
      <c r="S74" s="10">
        <v>784000000</v>
      </c>
      <c r="T74" s="10"/>
      <c r="U74" s="10">
        <v>35059000000</v>
      </c>
      <c r="V74" s="10">
        <v>1542000000</v>
      </c>
      <c r="W74" s="10">
        <v>1542000000</v>
      </c>
      <c r="X74" s="10"/>
      <c r="Y74" s="10"/>
      <c r="Z74" s="10">
        <v>-13000000</v>
      </c>
      <c r="AA74" s="10">
        <v>-6541000000</v>
      </c>
      <c r="AB74" s="10">
        <v>-6541000000</v>
      </c>
      <c r="AC74" s="10">
        <v>-6528000000</v>
      </c>
      <c r="AD74" s="10">
        <v>-6541000000</v>
      </c>
      <c r="AE74" s="10">
        <v>-6541000000</v>
      </c>
      <c r="AF74" s="10">
        <v>-6528000000</v>
      </c>
      <c r="AG74" s="10">
        <v>-1542000000</v>
      </c>
      <c r="AH74" s="10">
        <v>-1542000000</v>
      </c>
      <c r="AI74" s="10">
        <v>18246000000</v>
      </c>
      <c r="AJ74" s="10">
        <v>3804840000</v>
      </c>
      <c r="AK74" s="10">
        <v>27992000000</v>
      </c>
      <c r="AL74" s="10">
        <v>7067000000</v>
      </c>
      <c r="AM74" s="10">
        <v>45832000000</v>
      </c>
      <c r="AN74" s="10"/>
      <c r="AO74" s="10">
        <v>-11944000000</v>
      </c>
      <c r="AP74" s="10">
        <v>1152000000</v>
      </c>
      <c r="AQ74" s="10"/>
      <c r="AR74" s="10"/>
      <c r="AS74" s="10">
        <v>-6419000000</v>
      </c>
      <c r="AT74" s="10">
        <v>10730000000</v>
      </c>
      <c r="AU74" s="10">
        <v>10027000000</v>
      </c>
      <c r="AV74" s="10">
        <v>10314000000</v>
      </c>
      <c r="AW74" s="10"/>
      <c r="AX74" s="10">
        <v>8371000000</v>
      </c>
      <c r="AY74" s="10">
        <v>-13880000000</v>
      </c>
      <c r="AZ74" s="10">
        <v>-2750160000</v>
      </c>
      <c r="BA74" s="10">
        <v>109000000</v>
      </c>
      <c r="BB74" s="10">
        <v>0.21</v>
      </c>
      <c r="BC74" s="10">
        <v>39442000000</v>
      </c>
      <c r="BD74" s="10"/>
      <c r="BE74" s="10">
        <v>46509000000</v>
      </c>
      <c r="BF74" s="10">
        <v>-13096000000</v>
      </c>
      <c r="BG74" s="10">
        <v>-13096000000</v>
      </c>
      <c r="BH74" s="10"/>
      <c r="BI74" s="10"/>
      <c r="BK74" s="41"/>
      <c r="BL74" s="10"/>
      <c r="BM74" s="10"/>
      <c r="BN74" s="10"/>
      <c r="BO74" s="10">
        <v>9307000000</v>
      </c>
      <c r="BP74" s="10">
        <v>9307000000</v>
      </c>
      <c r="BQ74" s="10">
        <v>13000000</v>
      </c>
      <c r="BR74" s="10"/>
      <c r="BT74" s="41"/>
      <c r="BU74" s="10">
        <v>14729000000</v>
      </c>
      <c r="BV74" s="10"/>
      <c r="BW74" s="10"/>
      <c r="BX74" s="41">
        <v>2024</v>
      </c>
      <c r="BY74" s="10"/>
      <c r="BZ74" s="10"/>
      <c r="CA74" s="10"/>
      <c r="CB74" t="s">
        <v>662</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34D6-7A27-41A5-855B-EE21BCCCE347}">
  <sheetPr>
    <tabColor theme="7" tint="0.79998168889431442"/>
  </sheetPr>
  <dimension ref="A1:EA45"/>
  <sheetViews>
    <sheetView showGridLines="0" zoomScaleNormal="100" workbookViewId="0">
      <selection activeCell="F1" sqref="F1"/>
    </sheetView>
  </sheetViews>
  <sheetFormatPr defaultRowHeight="14.5" x14ac:dyDescent="0.35"/>
  <cols>
    <col min="1" max="1" width="13.453125" bestFit="1" customWidth="1"/>
    <col min="2" max="2" width="10.90625" bestFit="1" customWidth="1"/>
    <col min="3" max="3" width="6.81640625" bestFit="1" customWidth="1"/>
    <col min="4" max="4" width="12.54296875" bestFit="1" customWidth="1"/>
    <col min="5" max="5" width="14.54296875" bestFit="1" customWidth="1"/>
    <col min="6" max="6" width="18.6328125" style="10" bestFit="1" customWidth="1"/>
    <col min="7" max="7" width="21" style="10" bestFit="1" customWidth="1"/>
    <col min="8" max="8" width="26.26953125" style="10" bestFit="1" customWidth="1"/>
    <col min="9" max="9" width="24.36328125" style="10" bestFit="1" customWidth="1"/>
    <col min="10" max="10" width="40.1796875" style="10" bestFit="1" customWidth="1"/>
    <col min="11" max="11" width="26.36328125" style="10" bestFit="1" customWidth="1"/>
    <col min="12" max="12" width="26.26953125" style="10" bestFit="1" customWidth="1"/>
    <col min="13" max="13" width="27.81640625" style="10" bestFit="1" customWidth="1"/>
    <col min="14" max="14" width="24.54296875" style="10" bestFit="1" customWidth="1"/>
    <col min="15" max="15" width="15.54296875" style="10" bestFit="1" customWidth="1"/>
    <col min="16" max="16" width="25.6328125" style="10" bestFit="1" customWidth="1"/>
    <col min="17" max="17" width="45.36328125" style="10" bestFit="1" customWidth="1"/>
    <col min="18" max="18" width="16.6328125" style="10" bestFit="1" customWidth="1"/>
    <col min="19" max="19" width="22" style="10" bestFit="1" customWidth="1"/>
    <col min="20" max="20" width="24.26953125" style="10" bestFit="1" customWidth="1"/>
    <col min="21" max="21" width="25.54296875" style="10" bestFit="1" customWidth="1"/>
    <col min="22" max="22" width="16.26953125" style="10" bestFit="1" customWidth="1"/>
    <col min="23" max="23" width="30.26953125" style="10" bestFit="1" customWidth="1"/>
    <col min="24" max="24" width="14.90625" style="10" bestFit="1" customWidth="1"/>
    <col min="25" max="25" width="37.90625" style="10" bestFit="1" customWidth="1"/>
    <col min="26" max="26" width="18.6328125" style="10" bestFit="1" customWidth="1"/>
    <col min="27" max="27" width="19.54296875" style="10" bestFit="1" customWidth="1"/>
    <col min="28" max="28" width="40.08984375" style="10" bestFit="1" customWidth="1"/>
    <col min="29" max="29" width="15.54296875" style="10" bestFit="1" customWidth="1"/>
    <col min="30" max="30" width="33" style="10" hidden="1" customWidth="1"/>
    <col min="31" max="31" width="24.6328125" style="10" hidden="1" customWidth="1"/>
    <col min="32" max="32" width="18.1796875" style="10" hidden="1" customWidth="1"/>
    <col min="33" max="33" width="25.90625" style="10" bestFit="1" customWidth="1"/>
    <col min="34" max="34" width="20.1796875" style="10" bestFit="1" customWidth="1"/>
    <col min="35" max="35" width="17.6328125" style="10" bestFit="1" customWidth="1"/>
    <col min="36" max="36" width="18.1796875" style="10" hidden="1" customWidth="1"/>
    <col min="37" max="37" width="27.1796875" style="10" hidden="1" customWidth="1"/>
    <col min="38" max="38" width="26.26953125" style="10" bestFit="1" customWidth="1"/>
    <col min="39" max="39" width="24.26953125" style="10" bestFit="1" customWidth="1"/>
    <col min="40" max="40" width="13.54296875" style="10" bestFit="1" customWidth="1"/>
    <col min="41" max="41" width="32.1796875" style="10" bestFit="1" customWidth="1"/>
    <col min="42" max="42" width="16.81640625" style="10" bestFit="1" customWidth="1"/>
    <col min="43" max="43" width="39.81640625" style="10" bestFit="1" customWidth="1"/>
    <col min="44" max="44" width="27.81640625" style="10" bestFit="1" customWidth="1"/>
    <col min="45" max="45" width="21.36328125" style="10" bestFit="1" customWidth="1"/>
    <col min="46" max="46" width="30.54296875" style="10" bestFit="1" customWidth="1"/>
    <col min="47" max="47" width="18.26953125" style="10" bestFit="1" customWidth="1"/>
    <col min="48" max="49" width="15.54296875" style="10" bestFit="1" customWidth="1"/>
    <col min="50" max="50" width="19.90625" style="10" bestFit="1" customWidth="1"/>
    <col min="51" max="51" width="29.81640625" style="10" bestFit="1" customWidth="1"/>
    <col min="52" max="52" width="34.6328125" style="10" bestFit="1" customWidth="1"/>
    <col min="53" max="53" width="28.36328125" style="10" bestFit="1" customWidth="1"/>
    <col min="54" max="54" width="24.36328125" style="10" bestFit="1" customWidth="1"/>
    <col min="55" max="55" width="21.26953125" style="10" bestFit="1" customWidth="1"/>
    <col min="56" max="56" width="25.453125" style="10" bestFit="1" customWidth="1"/>
    <col min="57" max="57" width="23.7265625" style="10" bestFit="1" customWidth="1"/>
    <col min="58" max="58" width="25.54296875" style="10" bestFit="1" customWidth="1"/>
    <col min="59" max="59" width="23.1796875" style="10" bestFit="1" customWidth="1"/>
    <col min="60" max="60" width="24.81640625" style="10" bestFit="1" customWidth="1"/>
    <col min="61" max="61" width="27.1796875" style="10" bestFit="1" customWidth="1"/>
    <col min="62" max="62" width="15.90625" style="10" bestFit="1" customWidth="1"/>
    <col min="63" max="63" width="18.08984375" style="10" bestFit="1" customWidth="1"/>
    <col min="64" max="64" width="19" style="10" bestFit="1" customWidth="1"/>
    <col min="65" max="65" width="28.90625" style="10" bestFit="1" customWidth="1"/>
    <col min="66" max="66" width="14.54296875" style="10" bestFit="1" customWidth="1"/>
    <col min="67" max="67" width="29.90625" style="10" bestFit="1" customWidth="1"/>
    <col min="68" max="68" width="50" style="10" bestFit="1" customWidth="1"/>
    <col min="69" max="69" width="37.26953125" style="10" bestFit="1" customWidth="1"/>
    <col min="70" max="70" width="16.26953125" style="10" bestFit="1" customWidth="1"/>
    <col min="71" max="71" width="13.08984375" style="10" bestFit="1" customWidth="1"/>
    <col min="72" max="72" width="14.54296875" style="10" bestFit="1" customWidth="1"/>
    <col min="73" max="73" width="16.90625" style="10" bestFit="1" customWidth="1"/>
    <col min="74" max="74" width="19" style="10" bestFit="1" customWidth="1"/>
    <col min="75" max="75" width="14.453125" style="10" bestFit="1" customWidth="1"/>
    <col min="76" max="76" width="20.6328125" style="10" bestFit="1" customWidth="1"/>
    <col min="77" max="77" width="20.54296875" style="10" bestFit="1" customWidth="1"/>
    <col min="78" max="78" width="15.54296875" style="10" bestFit="1" customWidth="1"/>
    <col min="79" max="79" width="20.26953125" style="10" bestFit="1" customWidth="1"/>
    <col min="80" max="80" width="15.54296875" style="10" bestFit="1" customWidth="1"/>
    <col min="81" max="81" width="32.90625" style="10" bestFit="1" customWidth="1"/>
    <col min="82" max="82" width="33.6328125" style="10" bestFit="1" customWidth="1"/>
    <col min="83" max="83" width="24.1796875" style="10" bestFit="1" customWidth="1"/>
    <col min="84" max="84" width="43.81640625" style="10" bestFit="1" customWidth="1"/>
    <col min="85" max="85" width="18.1796875" style="10" bestFit="1" customWidth="1"/>
    <col min="86" max="86" width="35" style="10" bestFit="1" customWidth="1"/>
    <col min="87" max="87" width="17.36328125" style="10" bestFit="1" customWidth="1"/>
    <col min="88" max="88" width="26.26953125" style="10" bestFit="1" customWidth="1"/>
    <col min="89" max="89" width="25.7265625" style="10" bestFit="1" customWidth="1"/>
    <col min="90" max="90" width="19.54296875" style="10" bestFit="1" customWidth="1"/>
    <col min="91" max="91" width="16.7265625" style="10" bestFit="1" customWidth="1"/>
    <col min="92" max="92" width="14.54296875" style="10" bestFit="1" customWidth="1"/>
    <col min="93" max="93" width="25.54296875" style="10" bestFit="1" customWidth="1"/>
    <col min="94" max="94" width="27.453125" style="10" bestFit="1" customWidth="1"/>
    <col min="95" max="95" width="32.26953125" style="10" bestFit="1" customWidth="1"/>
    <col min="96" max="96" width="53.36328125" style="10" bestFit="1" customWidth="1"/>
    <col min="97" max="97" width="15.90625" style="10" bestFit="1" customWidth="1"/>
    <col min="98" max="98" width="17.08984375" style="10" bestFit="1" customWidth="1"/>
    <col min="99" max="99" width="18.08984375" style="10" bestFit="1" customWidth="1"/>
    <col min="100" max="100" width="15.7265625" style="10" bestFit="1" customWidth="1"/>
    <col min="101" max="101" width="23.08984375" style="10" bestFit="1" customWidth="1"/>
    <col min="102" max="102" width="29.26953125" style="10" bestFit="1" customWidth="1"/>
    <col min="103" max="103" width="19.36328125" style="10" bestFit="1" customWidth="1"/>
    <col min="104" max="104" width="22.453125" style="10" bestFit="1" customWidth="1"/>
    <col min="105" max="105" width="19.26953125" style="10" bestFit="1" customWidth="1"/>
    <col min="106" max="106" width="38.7265625" style="10" bestFit="1" customWidth="1"/>
    <col min="107" max="107" width="16.81640625" style="10" bestFit="1" customWidth="1"/>
    <col min="108" max="108" width="30.81640625" style="10" bestFit="1" customWidth="1"/>
    <col min="109" max="109" width="14.81640625" style="10" bestFit="1" customWidth="1"/>
    <col min="110" max="110" width="27.08984375" style="10" bestFit="1" customWidth="1"/>
    <col min="111" max="111" width="25" style="10" bestFit="1" customWidth="1"/>
    <col min="112" max="112" width="17" style="10" bestFit="1" customWidth="1"/>
    <col min="113" max="113" width="24.26953125" style="10" bestFit="1" customWidth="1"/>
    <col min="114" max="114" width="16.26953125" style="10" bestFit="1" customWidth="1"/>
    <col min="115" max="115" width="20.81640625" style="10" bestFit="1" customWidth="1"/>
    <col min="116" max="116" width="23.81640625" style="10" bestFit="1" customWidth="1"/>
    <col min="117" max="117" width="31.08984375" style="10" bestFit="1" customWidth="1"/>
    <col min="118" max="118" width="18.81640625" style="10" bestFit="1" customWidth="1"/>
    <col min="119" max="119" width="19.81640625" style="10" bestFit="1" customWidth="1"/>
    <col min="120" max="120" width="18" style="10" bestFit="1" customWidth="1"/>
    <col min="121" max="121" width="23.90625" style="10" bestFit="1" customWidth="1"/>
    <col min="122" max="122" width="27.54296875" style="10" bestFit="1" customWidth="1"/>
    <col min="123" max="123" width="17.08984375" style="10" bestFit="1" customWidth="1"/>
    <col min="124" max="124" width="46.81640625" style="10" bestFit="1" customWidth="1"/>
    <col min="125" max="125" width="32.08984375" style="10" bestFit="1" customWidth="1"/>
    <col min="126" max="126" width="10.6328125" style="10" bestFit="1" customWidth="1"/>
    <col min="127" max="127" width="29.08984375" style="10" bestFit="1" customWidth="1"/>
    <col min="128" max="128" width="26.36328125" bestFit="1" customWidth="1"/>
    <col min="129" max="129" width="21.36328125" bestFit="1" customWidth="1"/>
    <col min="130" max="130" width="34.36328125" bestFit="1" customWidth="1"/>
    <col min="131" max="131" width="8.08984375" bestFit="1" customWidth="1"/>
    <col min="132" max="132" width="32.08984375" bestFit="1" customWidth="1"/>
    <col min="133" max="133" width="29.08984375" bestFit="1" customWidth="1"/>
    <col min="134" max="134" width="26.36328125" bestFit="1" customWidth="1"/>
    <col min="135" max="135" width="21.36328125" bestFit="1" customWidth="1"/>
    <col min="136" max="136" width="34.36328125" bestFit="1" customWidth="1"/>
    <col min="137" max="137" width="8.08984375" customWidth="1"/>
    <col min="138" max="138" width="26.36328125" bestFit="1" customWidth="1"/>
    <col min="139" max="139" width="21.36328125" customWidth="1"/>
    <col min="140" max="140" width="34.36328125" bestFit="1" customWidth="1"/>
    <col min="141" max="141" width="8.08984375" bestFit="1" customWidth="1"/>
    <col min="142" max="142" width="34.36328125" bestFit="1" customWidth="1"/>
    <col min="143" max="143" width="8.08984375" bestFit="1" customWidth="1"/>
    <col min="144" max="144" width="26.36328125" bestFit="1" customWidth="1"/>
    <col min="145" max="145" width="21.36328125" bestFit="1" customWidth="1"/>
    <col min="146" max="146" width="34.36328125" bestFit="1" customWidth="1"/>
    <col min="147" max="147" width="8.08984375" customWidth="1"/>
    <col min="148" max="148" width="26.36328125" bestFit="1" customWidth="1"/>
    <col min="149" max="149" width="21.36328125" bestFit="1" customWidth="1"/>
    <col min="150" max="150" width="34.36328125" bestFit="1" customWidth="1"/>
    <col min="151" max="151" width="8.08984375" bestFit="1" customWidth="1"/>
    <col min="152" max="152" width="26.36328125" bestFit="1" customWidth="1"/>
    <col min="153" max="153" width="21.36328125" bestFit="1" customWidth="1"/>
    <col min="154" max="154" width="34.36328125" customWidth="1"/>
    <col min="155" max="156" width="8.08984375" bestFit="1" customWidth="1"/>
    <col min="157" max="157" width="21.36328125" bestFit="1" customWidth="1"/>
    <col min="158" max="158" width="34.36328125" bestFit="1" customWidth="1"/>
    <col min="159" max="159" width="8.08984375" bestFit="1" customWidth="1"/>
    <col min="160" max="160" width="21.36328125" bestFit="1" customWidth="1"/>
    <col min="161" max="161" width="34.36328125" bestFit="1" customWidth="1"/>
    <col min="162" max="162" width="8.08984375" bestFit="1" customWidth="1"/>
    <col min="163" max="163" width="21.36328125" customWidth="1"/>
    <col min="164" max="164" width="34.36328125" bestFit="1" customWidth="1"/>
    <col min="165" max="165" width="8.08984375" bestFit="1" customWidth="1"/>
    <col min="166" max="166" width="34.36328125" bestFit="1" customWidth="1"/>
    <col min="167" max="167" width="8.08984375" bestFit="1" customWidth="1"/>
    <col min="168" max="168" width="26.36328125" bestFit="1" customWidth="1"/>
    <col min="169" max="169" width="21.36328125" bestFit="1" customWidth="1"/>
    <col min="170" max="170" width="34.36328125" bestFit="1" customWidth="1"/>
    <col min="171" max="171" width="8.08984375" bestFit="1" customWidth="1"/>
    <col min="172" max="172" width="35.54296875" bestFit="1" customWidth="1"/>
    <col min="173" max="173" width="8.26953125" bestFit="1" customWidth="1"/>
    <col min="174" max="174" width="35.54296875" bestFit="1" customWidth="1"/>
    <col min="175" max="175" width="8.26953125" customWidth="1"/>
  </cols>
  <sheetData>
    <row r="1" spans="1:131" x14ac:dyDescent="0.35">
      <c r="A1" t="s">
        <v>139</v>
      </c>
      <c r="B1" t="s">
        <v>140</v>
      </c>
      <c r="C1" t="s">
        <v>476</v>
      </c>
      <c r="D1" t="s">
        <v>141</v>
      </c>
      <c r="E1" t="s">
        <v>142</v>
      </c>
      <c r="F1" s="10" t="s">
        <v>215</v>
      </c>
      <c r="G1" s="10" t="s">
        <v>216</v>
      </c>
      <c r="H1" s="10" t="s">
        <v>217</v>
      </c>
      <c r="I1" s="10" t="s">
        <v>218</v>
      </c>
      <c r="J1" s="10" t="s">
        <v>219</v>
      </c>
      <c r="K1" s="10" t="s">
        <v>220</v>
      </c>
      <c r="L1" s="10" t="s">
        <v>221</v>
      </c>
      <c r="M1" s="65" t="s">
        <v>222</v>
      </c>
      <c r="N1" s="10" t="s">
        <v>223</v>
      </c>
      <c r="O1" s="65" t="s">
        <v>224</v>
      </c>
      <c r="P1" s="10" t="s">
        <v>225</v>
      </c>
      <c r="Q1" s="65" t="s">
        <v>226</v>
      </c>
      <c r="R1" s="10" t="s">
        <v>227</v>
      </c>
      <c r="S1" s="65" t="s">
        <v>228</v>
      </c>
      <c r="T1" s="65" t="s">
        <v>229</v>
      </c>
      <c r="U1" s="10" t="s">
        <v>230</v>
      </c>
      <c r="V1" s="10" t="s">
        <v>231</v>
      </c>
      <c r="W1" s="10" t="s">
        <v>232</v>
      </c>
      <c r="X1" s="10" t="s">
        <v>233</v>
      </c>
      <c r="Y1" s="10" t="s">
        <v>234</v>
      </c>
      <c r="Z1" s="10" t="s">
        <v>235</v>
      </c>
      <c r="AA1" s="10" t="s">
        <v>236</v>
      </c>
      <c r="AB1" s="10" t="s">
        <v>237</v>
      </c>
      <c r="AC1" s="65" t="s">
        <v>238</v>
      </c>
      <c r="AD1" s="10" t="s">
        <v>239</v>
      </c>
      <c r="AE1" s="10" t="s">
        <v>240</v>
      </c>
      <c r="AF1" s="10" t="s">
        <v>241</v>
      </c>
      <c r="AG1" s="10" t="s">
        <v>242</v>
      </c>
      <c r="AH1" s="10" t="s">
        <v>243</v>
      </c>
      <c r="AI1" s="10" t="s">
        <v>244</v>
      </c>
      <c r="AJ1" s="65" t="s">
        <v>245</v>
      </c>
      <c r="AK1" s="10" t="s">
        <v>246</v>
      </c>
      <c r="AL1" s="10" t="s">
        <v>247</v>
      </c>
      <c r="AM1" s="65" t="s">
        <v>248</v>
      </c>
      <c r="AN1" s="10" t="s">
        <v>249</v>
      </c>
      <c r="AO1" s="107" t="s">
        <v>250</v>
      </c>
      <c r="AP1" s="107" t="s">
        <v>251</v>
      </c>
      <c r="AQ1" s="65" t="s">
        <v>252</v>
      </c>
      <c r="AR1" s="10" t="s">
        <v>253</v>
      </c>
      <c r="AS1" s="10" t="s">
        <v>254</v>
      </c>
      <c r="AT1" s="10" t="s">
        <v>255</v>
      </c>
      <c r="AU1" s="10" t="s">
        <v>256</v>
      </c>
      <c r="AV1" s="65" t="s">
        <v>257</v>
      </c>
      <c r="AW1" s="65" t="s">
        <v>258</v>
      </c>
      <c r="AX1" s="65" t="s">
        <v>259</v>
      </c>
      <c r="AY1" s="10" t="s">
        <v>260</v>
      </c>
      <c r="AZ1" s="10" t="s">
        <v>261</v>
      </c>
      <c r="BA1" s="10" t="s">
        <v>262</v>
      </c>
      <c r="BB1" s="65" t="s">
        <v>263</v>
      </c>
      <c r="BC1" s="10" t="s">
        <v>264</v>
      </c>
      <c r="BD1" s="65" t="s">
        <v>265</v>
      </c>
      <c r="BE1" s="10" t="s">
        <v>266</v>
      </c>
      <c r="BF1" s="65" t="s">
        <v>267</v>
      </c>
      <c r="BG1" s="65" t="s">
        <v>268</v>
      </c>
      <c r="BH1" s="10" t="s">
        <v>269</v>
      </c>
      <c r="BI1" s="10" t="s">
        <v>270</v>
      </c>
      <c r="BJ1" s="10" t="s">
        <v>271</v>
      </c>
      <c r="BK1" s="65" t="s">
        <v>272</v>
      </c>
      <c r="BL1" s="10" t="s">
        <v>273</v>
      </c>
      <c r="BM1" s="10" t="s">
        <v>274</v>
      </c>
      <c r="BN1" s="65" t="s">
        <v>275</v>
      </c>
      <c r="BO1" s="65" t="s">
        <v>276</v>
      </c>
      <c r="BP1" s="10" t="s">
        <v>277</v>
      </c>
      <c r="BQ1" s="10" t="s">
        <v>278</v>
      </c>
      <c r="BR1" s="65" t="s">
        <v>279</v>
      </c>
      <c r="BS1" s="10" t="s">
        <v>280</v>
      </c>
      <c r="BT1" s="65" t="s">
        <v>281</v>
      </c>
      <c r="BU1" s="10" t="s">
        <v>282</v>
      </c>
      <c r="BV1" s="10" t="s">
        <v>283</v>
      </c>
      <c r="BW1" s="65" t="s">
        <v>284</v>
      </c>
      <c r="BX1" s="65" t="s">
        <v>285</v>
      </c>
      <c r="BY1" s="65" t="s">
        <v>286</v>
      </c>
      <c r="BZ1" s="10" t="s">
        <v>287</v>
      </c>
      <c r="CA1" s="65" t="s">
        <v>288</v>
      </c>
      <c r="CB1" s="10" t="s">
        <v>289</v>
      </c>
      <c r="CC1" s="10" t="s">
        <v>290</v>
      </c>
      <c r="CD1" s="104" t="s">
        <v>291</v>
      </c>
      <c r="CE1" s="65" t="s">
        <v>292</v>
      </c>
      <c r="CF1" s="65" t="s">
        <v>293</v>
      </c>
      <c r="CG1" s="10" t="s">
        <v>294</v>
      </c>
      <c r="CH1" s="10" t="s">
        <v>295</v>
      </c>
      <c r="CI1" s="10" t="s">
        <v>296</v>
      </c>
      <c r="CJ1" s="10" t="s">
        <v>297</v>
      </c>
      <c r="CK1" s="10" t="s">
        <v>298</v>
      </c>
      <c r="CL1" s="65" t="s">
        <v>299</v>
      </c>
      <c r="CM1" s="10" t="s">
        <v>300</v>
      </c>
      <c r="CN1" s="10" t="s">
        <v>39</v>
      </c>
      <c r="CO1" t="s">
        <v>640</v>
      </c>
      <c r="CP1" s="10" t="s">
        <v>301</v>
      </c>
      <c r="CQ1" s="10" t="s">
        <v>302</v>
      </c>
      <c r="CR1" s="65" t="s">
        <v>303</v>
      </c>
      <c r="CS1" s="10" t="s">
        <v>304</v>
      </c>
      <c r="CT1" s="10" t="s">
        <v>305</v>
      </c>
      <c r="CU1" s="10" t="s">
        <v>306</v>
      </c>
      <c r="CV1" s="10" t="s">
        <v>307</v>
      </c>
      <c r="CW1" s="10" t="s">
        <v>308</v>
      </c>
      <c r="CX1" s="10" t="s">
        <v>309</v>
      </c>
      <c r="CY1" s="10" t="s">
        <v>310</v>
      </c>
      <c r="CZ1" s="10" t="s">
        <v>311</v>
      </c>
      <c r="DA1" s="10" t="s">
        <v>312</v>
      </c>
      <c r="DB1" s="10" t="s">
        <v>313</v>
      </c>
      <c r="DC1" t="s">
        <v>612</v>
      </c>
      <c r="DD1" s="10" t="s">
        <v>314</v>
      </c>
      <c r="DE1" s="10" t="s">
        <v>315</v>
      </c>
      <c r="DF1" s="10" t="s">
        <v>316</v>
      </c>
      <c r="DG1" s="10" t="s">
        <v>317</v>
      </c>
      <c r="DH1" s="10" t="s">
        <v>318</v>
      </c>
      <c r="DI1" s="65" t="s">
        <v>319</v>
      </c>
      <c r="DJ1" s="10" t="s">
        <v>320</v>
      </c>
      <c r="DK1" s="10" t="s">
        <v>321</v>
      </c>
      <c r="DL1" s="10" t="s">
        <v>322</v>
      </c>
      <c r="DM1" s="10" t="s">
        <v>323</v>
      </c>
      <c r="DN1" s="65" t="s">
        <v>324</v>
      </c>
      <c r="DO1" s="10" t="s">
        <v>325</v>
      </c>
      <c r="DP1" s="10" t="s">
        <v>326</v>
      </c>
      <c r="DQ1" s="10" t="s">
        <v>327</v>
      </c>
      <c r="DR1" s="10" t="s">
        <v>328</v>
      </c>
      <c r="DS1" s="10" t="s">
        <v>329</v>
      </c>
      <c r="DT1" s="10" t="s">
        <v>330</v>
      </c>
      <c r="DU1" s="10" t="s">
        <v>331</v>
      </c>
      <c r="DV1" t="s">
        <v>628</v>
      </c>
      <c r="DW1" s="10" t="s">
        <v>332</v>
      </c>
      <c r="DX1" s="10" t="s">
        <v>333</v>
      </c>
      <c r="DY1" s="10" t="s">
        <v>334</v>
      </c>
      <c r="DZ1" s="65" t="s">
        <v>335</v>
      </c>
      <c r="EA1" t="s">
        <v>211</v>
      </c>
    </row>
    <row r="2" spans="1:131" x14ac:dyDescent="0.35">
      <c r="A2" t="s">
        <v>645</v>
      </c>
      <c r="B2" s="22">
        <v>44561</v>
      </c>
      <c r="C2">
        <v>2021</v>
      </c>
      <c r="D2" t="s">
        <v>212</v>
      </c>
      <c r="E2" t="s">
        <v>213</v>
      </c>
      <c r="F2" s="10">
        <v>464000000</v>
      </c>
      <c r="G2" s="10">
        <v>757000000</v>
      </c>
      <c r="H2" s="10">
        <v>-438000000</v>
      </c>
      <c r="M2" s="10">
        <v>202000000</v>
      </c>
      <c r="N2" s="10">
        <v>135000000</v>
      </c>
      <c r="O2" s="10">
        <v>4084000000</v>
      </c>
      <c r="R2" s="10">
        <v>4084000000</v>
      </c>
      <c r="S2" s="10">
        <v>3197000000</v>
      </c>
      <c r="U2" s="10">
        <v>227000000</v>
      </c>
      <c r="V2" s="10">
        <v>1205000000</v>
      </c>
      <c r="W2" s="10">
        <v>34000000</v>
      </c>
      <c r="Y2" s="10">
        <v>34000000</v>
      </c>
      <c r="Z2" s="10">
        <v>1121000000</v>
      </c>
      <c r="AB2" s="10">
        <v>-887000000</v>
      </c>
      <c r="AC2" s="10">
        <v>2502000000</v>
      </c>
      <c r="AD2" s="10">
        <v>3035000000</v>
      </c>
      <c r="AF2" s="10">
        <v>698000000</v>
      </c>
      <c r="AJ2" s="10">
        <v>3197000000</v>
      </c>
      <c r="AM2" s="10">
        <v>16000000</v>
      </c>
      <c r="AO2" s="10">
        <v>101000000</v>
      </c>
      <c r="AQ2" s="10">
        <v>101000000</v>
      </c>
      <c r="AT2" s="10">
        <v>447000000</v>
      </c>
      <c r="AU2" s="10">
        <v>4000000</v>
      </c>
      <c r="AW2" s="10">
        <v>260000000</v>
      </c>
      <c r="AX2" s="10">
        <v>162000000</v>
      </c>
      <c r="AY2" s="10">
        <v>13000000</v>
      </c>
      <c r="BB2" s="10">
        <v>246061744</v>
      </c>
      <c r="BC2" s="10">
        <v>126000000</v>
      </c>
      <c r="BE2" s="10">
        <v>158000000</v>
      </c>
      <c r="BF2" s="10">
        <v>-887000000</v>
      </c>
      <c r="BG2" s="10">
        <v>533000000</v>
      </c>
      <c r="BH2" s="10">
        <v>340000000</v>
      </c>
      <c r="BI2" s="10">
        <v>21000000</v>
      </c>
      <c r="BK2" s="10">
        <v>33000000</v>
      </c>
      <c r="BN2" s="10">
        <v>522000000</v>
      </c>
      <c r="BO2" s="10">
        <v>749000000</v>
      </c>
      <c r="BP2" s="10">
        <v>5000000</v>
      </c>
      <c r="BS2" s="10">
        <v>0</v>
      </c>
      <c r="BT2" s="10">
        <v>757000000</v>
      </c>
      <c r="BW2" s="10">
        <v>246061744</v>
      </c>
      <c r="BX2" s="10">
        <v>3197000000</v>
      </c>
      <c r="BY2" s="10">
        <v>162000000</v>
      </c>
      <c r="BZ2" s="10">
        <v>4840000000</v>
      </c>
      <c r="CA2" s="10">
        <v>3197000000</v>
      </c>
      <c r="CB2" s="10">
        <v>135000000</v>
      </c>
      <c r="CC2" s="10">
        <v>3201000000</v>
      </c>
      <c r="CD2" s="10">
        <v>1639000000</v>
      </c>
      <c r="CE2" s="10">
        <v>3635000000</v>
      </c>
      <c r="CF2" s="10">
        <v>518000000</v>
      </c>
      <c r="CG2" s="10">
        <v>58000000</v>
      </c>
      <c r="CH2" s="10">
        <v>265000000</v>
      </c>
      <c r="CI2" s="10">
        <v>84000000</v>
      </c>
      <c r="CJ2" s="10">
        <v>175000000</v>
      </c>
      <c r="CK2" s="10">
        <v>175000000</v>
      </c>
      <c r="CL2" s="10">
        <v>54000000</v>
      </c>
      <c r="CM2" s="10">
        <v>150000000</v>
      </c>
      <c r="CN2" s="10">
        <v>322000000</v>
      </c>
      <c r="CO2"/>
      <c r="CR2" s="10">
        <v>54000000</v>
      </c>
      <c r="CS2" s="10">
        <v>124000000</v>
      </c>
      <c r="CT2" s="10">
        <v>48000000</v>
      </c>
      <c r="CX2" s="10">
        <v>13000000</v>
      </c>
      <c r="DC2"/>
      <c r="DV2" s="41">
        <v>2021</v>
      </c>
      <c r="DW2" s="10">
        <v>64000000</v>
      </c>
      <c r="DX2" s="10"/>
      <c r="DY2" s="10"/>
      <c r="DZ2" s="10"/>
      <c r="EA2" t="s">
        <v>646</v>
      </c>
    </row>
    <row r="3" spans="1:131" x14ac:dyDescent="0.35">
      <c r="A3" t="s">
        <v>645</v>
      </c>
      <c r="B3" s="22">
        <v>44926</v>
      </c>
      <c r="C3">
        <v>2022</v>
      </c>
      <c r="D3" t="s">
        <v>212</v>
      </c>
      <c r="E3" t="s">
        <v>213</v>
      </c>
      <c r="F3" s="10">
        <v>440000000</v>
      </c>
      <c r="G3" s="10">
        <v>816000000</v>
      </c>
      <c r="H3" s="10">
        <v>-460000000</v>
      </c>
      <c r="I3" s="10">
        <v>0</v>
      </c>
      <c r="J3" s="10">
        <v>-34000000</v>
      </c>
      <c r="M3" s="10">
        <v>199000000</v>
      </c>
      <c r="N3" s="10">
        <v>123000000</v>
      </c>
      <c r="O3" s="10">
        <v>4189000000</v>
      </c>
      <c r="P3" s="10">
        <v>0</v>
      </c>
      <c r="Q3" s="10">
        <v>0</v>
      </c>
      <c r="R3" s="10">
        <v>4189000000</v>
      </c>
      <c r="S3" s="10">
        <v>3235000000</v>
      </c>
      <c r="U3" s="10">
        <v>211000000</v>
      </c>
      <c r="V3" s="10">
        <v>1280000000</v>
      </c>
      <c r="W3" s="10">
        <v>32000000</v>
      </c>
      <c r="Y3" s="10">
        <v>32000000</v>
      </c>
      <c r="Z3" s="10">
        <v>1123000000</v>
      </c>
      <c r="AB3" s="10">
        <v>-954000000</v>
      </c>
      <c r="AC3" s="10">
        <v>2476000000</v>
      </c>
      <c r="AD3" s="10">
        <v>2955000000</v>
      </c>
      <c r="AE3" s="10">
        <v>850000000</v>
      </c>
      <c r="AF3" s="10">
        <v>707000000</v>
      </c>
      <c r="AJ3" s="10">
        <v>3235000000</v>
      </c>
      <c r="AM3" s="10">
        <v>15000000</v>
      </c>
      <c r="AO3" s="10">
        <v>91000000</v>
      </c>
      <c r="AQ3" s="10">
        <v>91000000</v>
      </c>
      <c r="AT3" s="10">
        <v>458000000</v>
      </c>
      <c r="AU3" s="10">
        <v>5000000</v>
      </c>
      <c r="AW3" s="10">
        <v>247000000</v>
      </c>
      <c r="AX3" s="10">
        <v>280000000</v>
      </c>
      <c r="AY3" s="10">
        <v>14000000</v>
      </c>
      <c r="BB3" s="10">
        <v>246061744</v>
      </c>
      <c r="BC3" s="10">
        <v>119000000</v>
      </c>
      <c r="BE3" s="10">
        <v>177000000</v>
      </c>
      <c r="BF3" s="10">
        <v>-954000000</v>
      </c>
      <c r="BG3" s="10">
        <v>479000000</v>
      </c>
      <c r="BH3" s="10">
        <v>343000000</v>
      </c>
      <c r="BI3" s="10">
        <v>23000000</v>
      </c>
      <c r="BK3" s="10">
        <v>35000000</v>
      </c>
      <c r="BN3" s="10">
        <v>506000000</v>
      </c>
      <c r="BO3" s="10">
        <v>717000000</v>
      </c>
      <c r="BP3" s="10">
        <v>5000000</v>
      </c>
      <c r="BS3" s="10">
        <v>0</v>
      </c>
      <c r="BT3" s="10">
        <v>816000000</v>
      </c>
      <c r="BV3" s="10">
        <v>0</v>
      </c>
      <c r="BW3" s="10">
        <v>246061744</v>
      </c>
      <c r="BX3" s="10">
        <v>3235000000</v>
      </c>
      <c r="BY3" s="10">
        <v>280000000</v>
      </c>
      <c r="BZ3" s="10">
        <v>4825000000</v>
      </c>
      <c r="CA3" s="10">
        <v>3235000000</v>
      </c>
      <c r="CB3" s="10">
        <v>123000000</v>
      </c>
      <c r="CC3" s="10">
        <v>3240000000</v>
      </c>
      <c r="CD3" s="10">
        <v>1585000000</v>
      </c>
      <c r="CE3" s="10">
        <v>3545000000</v>
      </c>
      <c r="CF3" s="10">
        <v>462000000</v>
      </c>
      <c r="CG3" s="10">
        <v>66000000</v>
      </c>
      <c r="CH3" s="10">
        <v>264000000</v>
      </c>
      <c r="CI3" s="10">
        <v>157000000</v>
      </c>
      <c r="CJ3" s="10">
        <v>192000000</v>
      </c>
      <c r="CK3" s="10">
        <v>192000000</v>
      </c>
      <c r="CL3" s="10">
        <v>13000000</v>
      </c>
      <c r="CM3" s="10">
        <v>145000000</v>
      </c>
      <c r="CN3" s="10">
        <v>345000000</v>
      </c>
      <c r="CO3"/>
      <c r="CR3" s="10">
        <v>13000000</v>
      </c>
      <c r="CS3" s="10">
        <v>149000000</v>
      </c>
      <c r="CT3" s="10">
        <v>51000000</v>
      </c>
      <c r="CX3" s="10">
        <v>14000000</v>
      </c>
      <c r="DC3"/>
      <c r="DH3" s="10">
        <v>0</v>
      </c>
      <c r="DV3" s="41">
        <v>2022</v>
      </c>
      <c r="DW3" s="10">
        <v>57000000</v>
      </c>
      <c r="DX3" s="10"/>
      <c r="DY3" s="10"/>
      <c r="DZ3" s="10"/>
      <c r="EA3" t="s">
        <v>646</v>
      </c>
    </row>
    <row r="4" spans="1:131" x14ac:dyDescent="0.35">
      <c r="A4" t="s">
        <v>645</v>
      </c>
      <c r="B4" s="22">
        <v>45291</v>
      </c>
      <c r="C4">
        <v>2023</v>
      </c>
      <c r="D4" t="s">
        <v>212</v>
      </c>
      <c r="E4" t="s">
        <v>213</v>
      </c>
      <c r="F4" s="10">
        <v>431000000</v>
      </c>
      <c r="G4" s="10">
        <v>826000000</v>
      </c>
      <c r="H4" s="10">
        <v>-472000000</v>
      </c>
      <c r="I4" s="10">
        <v>2157000000</v>
      </c>
      <c r="J4" s="10">
        <v>-36000000</v>
      </c>
      <c r="M4" s="10">
        <v>202000000</v>
      </c>
      <c r="N4" s="10">
        <v>148000000</v>
      </c>
      <c r="O4" s="10">
        <v>2000000</v>
      </c>
      <c r="P4" s="10">
        <v>762000000</v>
      </c>
      <c r="Q4" s="10">
        <v>762000000</v>
      </c>
      <c r="R4" s="10">
        <v>2000000</v>
      </c>
      <c r="S4" s="10">
        <v>1383000000</v>
      </c>
      <c r="U4" s="10">
        <v>184000000</v>
      </c>
      <c r="V4" s="10">
        <v>2073000000</v>
      </c>
      <c r="W4" s="10">
        <v>33000000</v>
      </c>
      <c r="Y4" s="10">
        <v>33000000</v>
      </c>
      <c r="Z4" s="10">
        <v>1265000000</v>
      </c>
      <c r="AB4" s="10">
        <v>-954000000</v>
      </c>
      <c r="AC4" s="10">
        <v>2533000000</v>
      </c>
      <c r="AD4" s="10">
        <v>2960000000</v>
      </c>
      <c r="AE4" s="10">
        <v>862000000</v>
      </c>
      <c r="AF4" s="10">
        <v>734000000</v>
      </c>
      <c r="AJ4" s="10">
        <v>4012000000</v>
      </c>
      <c r="AM4" s="10">
        <v>15000000</v>
      </c>
      <c r="AO4" s="10">
        <v>115000000</v>
      </c>
      <c r="AP4" s="10">
        <v>2629000000</v>
      </c>
      <c r="AQ4" s="10">
        <v>2744000000</v>
      </c>
      <c r="AT4" s="10">
        <v>491000000</v>
      </c>
      <c r="AU4" s="10">
        <v>6000000</v>
      </c>
      <c r="AV4" s="10">
        <v>1867000000</v>
      </c>
      <c r="AW4" s="10">
        <v>262000000</v>
      </c>
      <c r="AX4" s="10">
        <v>-1577000000</v>
      </c>
      <c r="AY4" s="10">
        <v>15000000</v>
      </c>
      <c r="BB4" s="10">
        <v>246400000</v>
      </c>
      <c r="BC4" s="10">
        <v>188000000</v>
      </c>
      <c r="BE4" s="10">
        <v>264000000</v>
      </c>
      <c r="BF4" s="10">
        <v>-954000000</v>
      </c>
      <c r="BG4" s="10">
        <v>427000000</v>
      </c>
      <c r="BH4" s="10">
        <v>398000000</v>
      </c>
      <c r="BI4" s="10">
        <v>21000000</v>
      </c>
      <c r="BK4" s="10">
        <v>26000000</v>
      </c>
      <c r="BN4" s="10">
        <v>570000000</v>
      </c>
      <c r="BO4" s="10">
        <v>754000000</v>
      </c>
      <c r="BP4" s="10">
        <v>6000000</v>
      </c>
      <c r="BS4" s="10">
        <v>0</v>
      </c>
      <c r="BT4" s="10">
        <v>826000000</v>
      </c>
      <c r="BV4" s="10">
        <v>178000000</v>
      </c>
      <c r="BW4" s="10">
        <v>246400000</v>
      </c>
      <c r="BX4" s="10">
        <v>1383000000</v>
      </c>
      <c r="BY4" s="10">
        <v>-1577000000</v>
      </c>
      <c r="BZ4" s="10">
        <v>5693000000</v>
      </c>
      <c r="CA4" s="10">
        <v>4012000000</v>
      </c>
      <c r="CB4" s="10">
        <v>2777000000</v>
      </c>
      <c r="CC4" s="10">
        <v>1389000000</v>
      </c>
      <c r="CD4" s="10">
        <v>4304000000</v>
      </c>
      <c r="CE4" s="10">
        <v>3620000000</v>
      </c>
      <c r="CF4" s="10">
        <v>3039000000</v>
      </c>
      <c r="CG4" s="10">
        <v>139000000</v>
      </c>
      <c r="CH4" s="10">
        <v>185000000</v>
      </c>
      <c r="CI4" s="10">
        <v>808000000</v>
      </c>
      <c r="CJ4" s="10">
        <v>208000000</v>
      </c>
      <c r="CK4" s="10">
        <v>208000000</v>
      </c>
      <c r="CL4" s="10">
        <v>30000000</v>
      </c>
      <c r="CM4" s="10">
        <v>126000000</v>
      </c>
      <c r="CN4" s="10">
        <v>297000000</v>
      </c>
      <c r="CO4"/>
      <c r="CR4" s="10">
        <v>30000000</v>
      </c>
      <c r="CS4" s="10">
        <v>129000000</v>
      </c>
      <c r="CT4" s="10">
        <v>42000000</v>
      </c>
      <c r="CX4" s="10">
        <v>15000000</v>
      </c>
      <c r="DC4"/>
      <c r="DH4" s="10">
        <v>0</v>
      </c>
      <c r="DI4" s="10">
        <v>0</v>
      </c>
      <c r="DV4" s="41">
        <v>2023</v>
      </c>
      <c r="DW4" s="10">
        <v>44000000</v>
      </c>
      <c r="DX4" s="10"/>
      <c r="DY4" s="10"/>
      <c r="DZ4" s="10"/>
      <c r="EA4" t="s">
        <v>646</v>
      </c>
    </row>
    <row r="5" spans="1:131" x14ac:dyDescent="0.35">
      <c r="A5" t="s">
        <v>647</v>
      </c>
      <c r="B5" s="22">
        <v>43861</v>
      </c>
      <c r="C5">
        <v>2020</v>
      </c>
      <c r="D5" t="s">
        <v>212</v>
      </c>
      <c r="E5" t="s">
        <v>213</v>
      </c>
      <c r="AY5" s="10">
        <v>12961000000</v>
      </c>
      <c r="AZ5" s="10">
        <v>12961000000</v>
      </c>
      <c r="BP5" s="10">
        <v>4469000000</v>
      </c>
      <c r="BR5" s="10">
        <v>1622000000</v>
      </c>
      <c r="CO5"/>
      <c r="DC5"/>
      <c r="DK5" s="10">
        <v>0</v>
      </c>
      <c r="DV5" s="41">
        <v>2020</v>
      </c>
      <c r="DX5" s="10"/>
      <c r="DY5" s="10"/>
      <c r="DZ5" s="10"/>
      <c r="EA5" t="s">
        <v>648</v>
      </c>
    </row>
    <row r="6" spans="1:131" x14ac:dyDescent="0.35">
      <c r="A6" t="s">
        <v>647</v>
      </c>
      <c r="B6" s="22">
        <v>44227</v>
      </c>
      <c r="C6">
        <v>2021</v>
      </c>
      <c r="D6" t="s">
        <v>212</v>
      </c>
      <c r="E6" t="s">
        <v>213</v>
      </c>
      <c r="F6" s="10">
        <v>49141000000</v>
      </c>
      <c r="G6" s="10">
        <v>6516000000</v>
      </c>
      <c r="H6" s="10">
        <v>-88370000000</v>
      </c>
      <c r="I6" s="10">
        <v>3646000000</v>
      </c>
      <c r="M6" s="10">
        <v>97582000000</v>
      </c>
      <c r="N6" s="10">
        <v>18713000000</v>
      </c>
      <c r="O6" s="10">
        <v>282000000</v>
      </c>
      <c r="P6" s="10">
        <v>17741000000</v>
      </c>
      <c r="Q6" s="10">
        <v>17741000000</v>
      </c>
      <c r="R6" s="10">
        <v>282000000</v>
      </c>
      <c r="S6" s="10">
        <v>80925000000</v>
      </c>
      <c r="T6" s="10">
        <v>4741000000</v>
      </c>
      <c r="U6" s="10">
        <v>19594000000</v>
      </c>
      <c r="V6" s="10">
        <v>90067000000</v>
      </c>
      <c r="W6" s="10">
        <v>1957000000</v>
      </c>
      <c r="X6" s="10">
        <v>3339000000</v>
      </c>
      <c r="Y6" s="10">
        <v>5296000000</v>
      </c>
      <c r="Z6" s="10">
        <v>92645000000</v>
      </c>
      <c r="AB6" s="10">
        <v>-11766000000</v>
      </c>
      <c r="AC6" s="10">
        <v>28983000000</v>
      </c>
      <c r="AD6" s="10">
        <v>28983000000</v>
      </c>
      <c r="AF6" s="10">
        <v>198218000000</v>
      </c>
      <c r="AH6" s="10">
        <v>242000000</v>
      </c>
      <c r="AJ6" s="10">
        <v>125458000000</v>
      </c>
      <c r="AM6" s="10">
        <v>19308000000</v>
      </c>
      <c r="AO6" s="10">
        <v>16756000000</v>
      </c>
      <c r="AP6" s="10">
        <v>41194000000</v>
      </c>
      <c r="AQ6" s="10">
        <v>57950000000</v>
      </c>
      <c r="AT6" s="10">
        <v>58940000000</v>
      </c>
      <c r="AU6" s="10">
        <v>6606000000</v>
      </c>
      <c r="AV6" s="10">
        <v>26792000000</v>
      </c>
      <c r="AW6" s="10">
        <v>109848000000</v>
      </c>
      <c r="AX6" s="10">
        <v>51942000000</v>
      </c>
      <c r="AY6" s="10">
        <v>14370000000</v>
      </c>
      <c r="AZ6" s="10">
        <v>14370000000</v>
      </c>
      <c r="BB6" s="10">
        <v>8463000000</v>
      </c>
      <c r="BC6" s="10">
        <v>20861000000</v>
      </c>
      <c r="BD6" s="10">
        <v>3339000000</v>
      </c>
      <c r="BE6" s="10">
        <v>12734000000</v>
      </c>
      <c r="BF6" s="10">
        <v>992000000</v>
      </c>
      <c r="BH6" s="10">
        <v>23598000000</v>
      </c>
      <c r="BI6" s="10">
        <v>14370000000</v>
      </c>
      <c r="BK6" s="10">
        <v>17647000000</v>
      </c>
      <c r="BN6" s="10">
        <v>52711000000</v>
      </c>
      <c r="BO6" s="10">
        <v>72305000000</v>
      </c>
      <c r="BP6" s="10">
        <v>4698000000</v>
      </c>
      <c r="BR6" s="10">
        <v>20861000000</v>
      </c>
      <c r="BS6" s="10">
        <v>0</v>
      </c>
      <c r="BT6" s="10">
        <v>6516000000</v>
      </c>
      <c r="BV6" s="10">
        <v>88763000000</v>
      </c>
      <c r="BW6" s="10">
        <v>8463000000</v>
      </c>
      <c r="BX6" s="10">
        <v>80925000000</v>
      </c>
      <c r="BY6" s="10">
        <v>51942000000</v>
      </c>
      <c r="BZ6" s="10">
        <v>252496000000</v>
      </c>
      <c r="CA6" s="10">
        <v>122119000000</v>
      </c>
      <c r="CB6" s="10">
        <v>63246000000</v>
      </c>
      <c r="CC6" s="10">
        <v>87531000000</v>
      </c>
      <c r="CD6" s="10">
        <v>164965000000</v>
      </c>
      <c r="CE6" s="10">
        <v>162429000000</v>
      </c>
      <c r="CF6" s="10">
        <v>72320000000</v>
      </c>
      <c r="CG6" s="10">
        <v>3570000000</v>
      </c>
      <c r="CI6" s="10">
        <v>-2578000000</v>
      </c>
      <c r="CJ6" s="10">
        <v>2310000000</v>
      </c>
      <c r="CK6" s="10">
        <v>2310000000</v>
      </c>
      <c r="CN6" s="10">
        <v>44949000000</v>
      </c>
      <c r="CO6"/>
      <c r="DB6" s="10">
        <v>-10772000000</v>
      </c>
      <c r="DC6"/>
      <c r="DF6" s="10">
        <v>-1986000000</v>
      </c>
      <c r="DK6" s="10">
        <v>0</v>
      </c>
      <c r="DV6" s="41">
        <v>2021</v>
      </c>
      <c r="DX6" s="10"/>
      <c r="DY6" s="10"/>
      <c r="DZ6" s="10"/>
      <c r="EA6" t="s">
        <v>648</v>
      </c>
    </row>
    <row r="7" spans="1:131" x14ac:dyDescent="0.35">
      <c r="A7" t="s">
        <v>647</v>
      </c>
      <c r="B7" s="22">
        <v>44592</v>
      </c>
      <c r="C7">
        <v>2022</v>
      </c>
      <c r="D7" t="s">
        <v>212</v>
      </c>
      <c r="E7" t="s">
        <v>213</v>
      </c>
      <c r="F7" s="10">
        <v>55261000000</v>
      </c>
      <c r="G7" s="10">
        <v>8280000000</v>
      </c>
      <c r="H7" s="10">
        <v>-94809000000</v>
      </c>
      <c r="I7" s="10">
        <v>4839000000</v>
      </c>
      <c r="M7" s="10">
        <v>100376000000</v>
      </c>
      <c r="N7" s="10">
        <v>19246000000</v>
      </c>
      <c r="O7" s="10">
        <v>276000000</v>
      </c>
      <c r="P7" s="10">
        <v>14760000000</v>
      </c>
      <c r="Q7" s="10">
        <v>14760000000</v>
      </c>
      <c r="R7" s="10">
        <v>276000000</v>
      </c>
      <c r="S7" s="10">
        <v>83253000000</v>
      </c>
      <c r="T7" s="10">
        <v>7199000000</v>
      </c>
      <c r="U7" s="10">
        <v>20254000000</v>
      </c>
      <c r="V7" s="10">
        <v>81070000000</v>
      </c>
      <c r="W7" s="10">
        <v>1994000000</v>
      </c>
      <c r="X7" s="10">
        <v>3213000000</v>
      </c>
      <c r="Y7" s="10">
        <v>5207000000</v>
      </c>
      <c r="Z7" s="10">
        <v>87379000000</v>
      </c>
      <c r="AB7" s="10">
        <v>-8766000000</v>
      </c>
      <c r="AC7" s="10">
        <v>29014000000</v>
      </c>
      <c r="AD7" s="10">
        <v>29014000000</v>
      </c>
      <c r="AF7" s="10">
        <v>207433000000</v>
      </c>
      <c r="AH7" s="10">
        <v>851000000</v>
      </c>
      <c r="AJ7" s="10">
        <v>121330000000</v>
      </c>
      <c r="AM7" s="10">
        <v>19204000000</v>
      </c>
      <c r="AO7" s="10">
        <v>17252000000</v>
      </c>
      <c r="AP7" s="10">
        <v>34864000000</v>
      </c>
      <c r="AQ7" s="10">
        <v>52116000000</v>
      </c>
      <c r="AT7" s="10">
        <v>62545000000</v>
      </c>
      <c r="AU7" s="10">
        <v>8638000000</v>
      </c>
      <c r="AV7" s="10">
        <v>23317000000</v>
      </c>
      <c r="AW7" s="10">
        <v>112624000000</v>
      </c>
      <c r="AX7" s="10">
        <v>54239000000</v>
      </c>
      <c r="AY7" s="10">
        <v>13474000000</v>
      </c>
      <c r="AZ7" s="10">
        <v>13474000000</v>
      </c>
      <c r="BB7" s="10">
        <v>8283000000</v>
      </c>
      <c r="BC7" s="10">
        <v>1519000000</v>
      </c>
      <c r="BD7" s="10">
        <v>3213000000</v>
      </c>
      <c r="BE7" s="10">
        <v>21000000</v>
      </c>
      <c r="BF7" s="10">
        <v>-654000000</v>
      </c>
      <c r="BH7" s="10">
        <v>22152000000</v>
      </c>
      <c r="BI7" s="10">
        <v>13474000000</v>
      </c>
      <c r="BK7" s="10">
        <v>18109000000</v>
      </c>
      <c r="BN7" s="10">
        <v>59359000000</v>
      </c>
      <c r="BO7" s="10">
        <v>79613000000</v>
      </c>
      <c r="BR7" s="10">
        <v>1519000000</v>
      </c>
      <c r="BS7" s="10">
        <v>0</v>
      </c>
      <c r="BT7" s="10">
        <v>8280000000</v>
      </c>
      <c r="BV7" s="10">
        <v>86904000000</v>
      </c>
      <c r="BW7" s="10">
        <v>8283000000</v>
      </c>
      <c r="BX7" s="10">
        <v>83253000000</v>
      </c>
      <c r="BY7" s="10">
        <v>54239000000</v>
      </c>
      <c r="BZ7" s="10">
        <v>244860000000</v>
      </c>
      <c r="CA7" s="10">
        <v>118117000000</v>
      </c>
      <c r="CB7" s="10">
        <v>57323000000</v>
      </c>
      <c r="CC7" s="10">
        <v>91891000000</v>
      </c>
      <c r="CD7" s="10">
        <v>152969000000</v>
      </c>
      <c r="CE7" s="10">
        <v>163790000000</v>
      </c>
      <c r="CF7" s="10">
        <v>65590000000</v>
      </c>
      <c r="CG7" s="10">
        <v>4098000000</v>
      </c>
      <c r="CI7" s="10">
        <v>-6309000000</v>
      </c>
      <c r="CJ7" s="10">
        <v>2559000000</v>
      </c>
      <c r="CK7" s="10">
        <v>2559000000</v>
      </c>
      <c r="CN7" s="10">
        <v>56511000000</v>
      </c>
      <c r="CO7"/>
      <c r="DB7" s="10">
        <v>-8100000000</v>
      </c>
      <c r="DC7"/>
      <c r="DF7" s="10">
        <v>-12000000</v>
      </c>
      <c r="DV7" s="41">
        <v>2022</v>
      </c>
      <c r="DX7" s="10"/>
      <c r="DY7" s="10"/>
      <c r="DZ7" s="10"/>
      <c r="EA7" t="s">
        <v>648</v>
      </c>
    </row>
    <row r="8" spans="1:131" x14ac:dyDescent="0.35">
      <c r="A8" t="s">
        <v>647</v>
      </c>
      <c r="B8" s="22">
        <v>44957</v>
      </c>
      <c r="C8">
        <v>2023</v>
      </c>
      <c r="D8" t="s">
        <v>212</v>
      </c>
      <c r="E8" t="s">
        <v>213</v>
      </c>
      <c r="F8" s="10">
        <v>53742000000</v>
      </c>
      <c r="G8" s="10">
        <v>7933000000</v>
      </c>
      <c r="H8" s="10">
        <v>-101610000000</v>
      </c>
      <c r="I8" s="10">
        <v>4430000000</v>
      </c>
      <c r="M8" s="10">
        <v>104554000000</v>
      </c>
      <c r="N8" s="10">
        <v>19711000000</v>
      </c>
      <c r="O8" s="10">
        <v>808000000</v>
      </c>
      <c r="P8" s="10">
        <v>8625000000</v>
      </c>
      <c r="Q8" s="10">
        <v>8625000000</v>
      </c>
      <c r="R8" s="10">
        <v>808000000</v>
      </c>
      <c r="S8" s="10">
        <v>76693000000</v>
      </c>
      <c r="T8" s="10">
        <v>10802000000</v>
      </c>
      <c r="U8" s="10">
        <v>25213000000</v>
      </c>
      <c r="V8" s="10">
        <v>75655000000</v>
      </c>
      <c r="W8" s="10">
        <v>2040000000</v>
      </c>
      <c r="X8" s="10">
        <v>4563000000</v>
      </c>
      <c r="Y8" s="10">
        <v>6603000000</v>
      </c>
      <c r="Z8" s="10">
        <v>92198000000</v>
      </c>
      <c r="AB8" s="10">
        <v>-11680000000</v>
      </c>
      <c r="AC8" s="10">
        <v>28174000000</v>
      </c>
      <c r="AD8" s="10">
        <v>28174000000</v>
      </c>
      <c r="AF8" s="10">
        <v>220844000000</v>
      </c>
      <c r="AH8" s="10">
        <v>727000000</v>
      </c>
      <c r="AJ8" s="10">
        <v>115905000000</v>
      </c>
      <c r="AM8" s="10">
        <v>19317000000</v>
      </c>
      <c r="AO8" s="10">
        <v>17671000000</v>
      </c>
      <c r="AP8" s="10">
        <v>34649000000</v>
      </c>
      <c r="AQ8" s="10">
        <v>52320000000</v>
      </c>
      <c r="AT8" s="10">
        <v>67697000000</v>
      </c>
      <c r="AU8" s="10">
        <v>7298000000</v>
      </c>
      <c r="AV8" s="10">
        <v>30587000000</v>
      </c>
      <c r="AW8" s="10">
        <v>119234000000</v>
      </c>
      <c r="AX8" s="10">
        <v>48519000000</v>
      </c>
      <c r="AY8" s="10">
        <v>14688000000</v>
      </c>
      <c r="AZ8" s="10">
        <v>14688000000</v>
      </c>
      <c r="BB8" s="10">
        <v>8100000000</v>
      </c>
      <c r="BC8" s="10">
        <v>2521000000</v>
      </c>
      <c r="BD8" s="10">
        <v>4563000000</v>
      </c>
      <c r="BF8" s="10">
        <v>-857000000</v>
      </c>
      <c r="BH8" s="10">
        <v>20134000000</v>
      </c>
      <c r="BI8" s="10">
        <v>14688000000</v>
      </c>
      <c r="BK8" s="10">
        <v>18474000000</v>
      </c>
      <c r="BN8" s="10">
        <v>57894000000</v>
      </c>
      <c r="BO8" s="10">
        <v>83107000000</v>
      </c>
      <c r="BS8" s="10">
        <v>0</v>
      </c>
      <c r="BT8" s="10">
        <v>7933000000</v>
      </c>
      <c r="BV8" s="10">
        <v>83135000000</v>
      </c>
      <c r="BW8" s="10">
        <v>8100000000</v>
      </c>
      <c r="BX8" s="10">
        <v>76693000000</v>
      </c>
      <c r="BY8" s="10">
        <v>48519000000</v>
      </c>
      <c r="BZ8" s="10">
        <v>243197000000</v>
      </c>
      <c r="CA8" s="10">
        <v>111342000000</v>
      </c>
      <c r="CB8" s="10">
        <v>58923000000</v>
      </c>
      <c r="CC8" s="10">
        <v>83991000000</v>
      </c>
      <c r="CD8" s="10">
        <v>159206000000</v>
      </c>
      <c r="CE8" s="10">
        <v>167542000000</v>
      </c>
      <c r="CF8" s="10">
        <v>67008000000</v>
      </c>
      <c r="CG8" s="10">
        <v>4152000000</v>
      </c>
      <c r="CI8" s="10">
        <v>-16543000000</v>
      </c>
      <c r="CJ8" s="10">
        <v>2488000000</v>
      </c>
      <c r="CK8" s="10">
        <v>2488000000</v>
      </c>
      <c r="CN8" s="10">
        <v>56576000000</v>
      </c>
      <c r="CO8"/>
      <c r="DB8" s="10">
        <v>-10816000000</v>
      </c>
      <c r="DC8"/>
      <c r="DF8" s="10">
        <v>-7000000</v>
      </c>
      <c r="DV8" s="41">
        <v>2023</v>
      </c>
      <c r="DX8" s="10"/>
      <c r="DY8" s="10"/>
      <c r="DZ8" s="10"/>
      <c r="EA8" t="s">
        <v>648</v>
      </c>
    </row>
    <row r="9" spans="1:131" x14ac:dyDescent="0.35">
      <c r="A9" t="s">
        <v>647</v>
      </c>
      <c r="B9" s="22">
        <v>45322</v>
      </c>
      <c r="C9">
        <v>2024</v>
      </c>
      <c r="D9" t="s">
        <v>212</v>
      </c>
      <c r="E9" t="s">
        <v>213</v>
      </c>
      <c r="F9" s="10">
        <v>56812000000</v>
      </c>
      <c r="G9" s="10">
        <v>8796000000</v>
      </c>
      <c r="H9" s="10">
        <v>-109049000000</v>
      </c>
      <c r="I9" s="10">
        <v>4544000000</v>
      </c>
      <c r="M9" s="10">
        <v>111767000000</v>
      </c>
      <c r="N9" s="10">
        <v>20864000000</v>
      </c>
      <c r="O9" s="10">
        <v>805000000</v>
      </c>
      <c r="P9" s="10">
        <v>9867000000</v>
      </c>
      <c r="Q9" s="10">
        <v>9867000000</v>
      </c>
      <c r="R9" s="10">
        <v>805000000</v>
      </c>
      <c r="S9" s="10">
        <v>83861000000</v>
      </c>
      <c r="T9" s="10">
        <v>13390000000</v>
      </c>
      <c r="U9" s="10">
        <v>22636000000</v>
      </c>
      <c r="V9" s="10">
        <v>76877000000</v>
      </c>
      <c r="W9" s="10">
        <v>2212000000</v>
      </c>
      <c r="X9" s="10">
        <v>4325000000</v>
      </c>
      <c r="Y9" s="10">
        <v>6537000000</v>
      </c>
      <c r="Z9" s="10">
        <v>92415000000</v>
      </c>
      <c r="AB9" s="10">
        <v>-11302000000</v>
      </c>
      <c r="AC9" s="10">
        <v>28113000000</v>
      </c>
      <c r="AD9" s="10">
        <v>28113000000</v>
      </c>
      <c r="AF9" s="10">
        <v>239387000000</v>
      </c>
      <c r="AH9" s="10">
        <v>307000000</v>
      </c>
      <c r="AJ9" s="10">
        <v>124318000000</v>
      </c>
      <c r="AM9" s="10">
        <v>19562000000</v>
      </c>
      <c r="AO9" s="10">
        <v>18652000000</v>
      </c>
      <c r="AP9" s="10">
        <v>36132000000</v>
      </c>
      <c r="AQ9" s="10">
        <v>54784000000</v>
      </c>
      <c r="AT9" s="10">
        <v>75140000000</v>
      </c>
      <c r="AU9" s="10">
        <v>6710000000</v>
      </c>
      <c r="AV9" s="10">
        <v>30590000000</v>
      </c>
      <c r="AW9" s="10">
        <v>130338000000</v>
      </c>
      <c r="AX9" s="10">
        <v>55748000000</v>
      </c>
      <c r="BB9" s="10">
        <v>8054000001</v>
      </c>
      <c r="BC9" s="10">
        <v>3322000000</v>
      </c>
      <c r="BD9" s="10">
        <v>4325000000</v>
      </c>
      <c r="BF9" s="10">
        <v>-801000000</v>
      </c>
      <c r="BH9" s="10">
        <v>17071000000</v>
      </c>
      <c r="BI9" s="10">
        <v>14629000000</v>
      </c>
      <c r="BK9" s="10">
        <v>19528000000</v>
      </c>
      <c r="BN9" s="10">
        <v>60578000000</v>
      </c>
      <c r="BO9" s="10">
        <v>83214000000</v>
      </c>
      <c r="BS9" s="10">
        <v>0</v>
      </c>
      <c r="BT9" s="10">
        <v>8796000000</v>
      </c>
      <c r="BV9" s="10">
        <v>89814000000</v>
      </c>
      <c r="BW9" s="10">
        <v>8054000001</v>
      </c>
      <c r="BX9" s="10">
        <v>83861000000</v>
      </c>
      <c r="BY9" s="10">
        <v>55748000000</v>
      </c>
      <c r="BZ9" s="10">
        <v>252399000000</v>
      </c>
      <c r="CA9" s="10">
        <v>119993000000</v>
      </c>
      <c r="CB9" s="10">
        <v>61321000000</v>
      </c>
      <c r="CC9" s="10">
        <v>90571000000</v>
      </c>
      <c r="CD9" s="10">
        <v>161828000000</v>
      </c>
      <c r="CE9" s="10">
        <v>175522000000</v>
      </c>
      <c r="CF9" s="10">
        <v>69413000000</v>
      </c>
      <c r="CG9" s="10">
        <v>3766000000</v>
      </c>
      <c r="CI9" s="10">
        <v>-15538000000</v>
      </c>
      <c r="CJ9" s="10">
        <v>2664000000</v>
      </c>
      <c r="CK9" s="10">
        <v>2664000000</v>
      </c>
      <c r="CN9" s="10">
        <v>54892000000</v>
      </c>
      <c r="CO9"/>
      <c r="DB9" s="10">
        <v>-10483000000</v>
      </c>
      <c r="DC9"/>
      <c r="DF9" s="10">
        <v>-18000000</v>
      </c>
      <c r="DV9" s="41">
        <v>2024</v>
      </c>
      <c r="DX9" s="10"/>
      <c r="DY9" s="10"/>
      <c r="DZ9" s="10"/>
      <c r="EA9" t="s">
        <v>648</v>
      </c>
    </row>
    <row r="10" spans="1:131" x14ac:dyDescent="0.35">
      <c r="A10" t="s">
        <v>649</v>
      </c>
      <c r="B10" s="22">
        <v>44377</v>
      </c>
      <c r="C10">
        <v>2021</v>
      </c>
      <c r="D10" t="s">
        <v>212</v>
      </c>
      <c r="E10" t="s">
        <v>213</v>
      </c>
      <c r="F10" s="10">
        <v>15163000000</v>
      </c>
      <c r="G10" s="10">
        <v>38043000000</v>
      </c>
      <c r="H10" s="10">
        <v>-51351000000</v>
      </c>
      <c r="J10" s="10">
        <v>-751000000</v>
      </c>
      <c r="M10" s="10">
        <v>43928000000</v>
      </c>
      <c r="N10" s="10">
        <v>9629000000</v>
      </c>
      <c r="O10" s="10">
        <v>83111000000</v>
      </c>
      <c r="P10" s="10">
        <v>14224000000</v>
      </c>
      <c r="Q10" s="10">
        <v>130256000000</v>
      </c>
      <c r="R10" s="10">
        <v>83111000000</v>
      </c>
      <c r="S10" s="10">
        <v>141988000000</v>
      </c>
      <c r="V10" s="10">
        <v>184406000000</v>
      </c>
      <c r="X10" s="10">
        <v>8072000000</v>
      </c>
      <c r="Y10" s="10">
        <v>8072000000</v>
      </c>
      <c r="Z10" s="10">
        <v>88657000000</v>
      </c>
      <c r="AB10" s="10">
        <v>1822000000</v>
      </c>
      <c r="AC10" s="10">
        <v>49711000000</v>
      </c>
      <c r="AD10" s="10">
        <v>57511000000</v>
      </c>
      <c r="AE10" s="10">
        <v>38794000000</v>
      </c>
      <c r="AF10" s="10">
        <v>122154000000</v>
      </c>
      <c r="AH10" s="10">
        <v>2174000000</v>
      </c>
      <c r="AJ10" s="10">
        <v>200134000000</v>
      </c>
      <c r="AL10" s="10">
        <v>5984000000</v>
      </c>
      <c r="AM10" s="10">
        <v>3660000000</v>
      </c>
      <c r="AN10" s="10">
        <v>6884000000</v>
      </c>
      <c r="AO10" s="10">
        <v>9629000000</v>
      </c>
      <c r="AP10" s="10">
        <v>50074000000</v>
      </c>
      <c r="AQ10" s="10">
        <v>59703000000</v>
      </c>
      <c r="AR10" s="10">
        <v>5984000000</v>
      </c>
      <c r="AT10" s="10">
        <v>56594000000</v>
      </c>
      <c r="AV10" s="10">
        <v>43922000000</v>
      </c>
      <c r="AW10" s="10">
        <v>70803000000</v>
      </c>
      <c r="AX10" s="10">
        <v>84477000000</v>
      </c>
      <c r="AY10" s="10">
        <v>2814000000</v>
      </c>
      <c r="AZ10" s="10">
        <v>198000000</v>
      </c>
      <c r="BB10" s="10">
        <v>7519000000</v>
      </c>
      <c r="BC10" s="10">
        <v>13393000000</v>
      </c>
      <c r="BE10" s="10">
        <v>11666000000</v>
      </c>
      <c r="BF10" s="10">
        <v>1822000000</v>
      </c>
      <c r="BG10" s="10">
        <v>7800000000</v>
      </c>
      <c r="BH10" s="10">
        <v>15075000000</v>
      </c>
      <c r="BI10" s="10">
        <v>13427000000</v>
      </c>
      <c r="BK10" s="10">
        <v>11088000000</v>
      </c>
      <c r="BM10" s="10">
        <v>116032000000</v>
      </c>
      <c r="BN10" s="10">
        <v>17337000000</v>
      </c>
      <c r="BO10" s="10">
        <v>17337000000</v>
      </c>
      <c r="BP10" s="10">
        <v>10057000000</v>
      </c>
      <c r="BS10" s="10">
        <v>0</v>
      </c>
      <c r="BT10" s="10">
        <v>38043000000</v>
      </c>
      <c r="BV10" s="10">
        <v>57055000000</v>
      </c>
      <c r="BW10" s="10">
        <v>7519000000</v>
      </c>
      <c r="BX10" s="10">
        <v>141988000000</v>
      </c>
      <c r="BY10" s="10">
        <v>84477000000</v>
      </c>
      <c r="BZ10" s="10">
        <v>333779000000</v>
      </c>
      <c r="CA10" s="10">
        <v>192062000000</v>
      </c>
      <c r="CB10" s="10">
        <v>67775000000</v>
      </c>
      <c r="CC10" s="10">
        <v>141988000000</v>
      </c>
      <c r="CD10" s="10">
        <v>191791000000</v>
      </c>
      <c r="CE10" s="10">
        <v>149373000000</v>
      </c>
      <c r="CF10" s="10">
        <v>103134000000</v>
      </c>
      <c r="CG10" s="10">
        <v>2174000000</v>
      </c>
      <c r="CH10" s="10">
        <v>27190000000</v>
      </c>
      <c r="CI10" s="10">
        <v>95749000000</v>
      </c>
      <c r="CJ10" s="10">
        <v>41525000000</v>
      </c>
      <c r="CK10" s="10">
        <v>41525000000</v>
      </c>
      <c r="CM10" s="10">
        <v>1367000000</v>
      </c>
      <c r="CN10" s="10">
        <v>2636000000</v>
      </c>
      <c r="CO10"/>
      <c r="CS10" s="10">
        <v>1190000000</v>
      </c>
      <c r="CT10" s="10">
        <v>79000000</v>
      </c>
      <c r="CU10" s="10">
        <v>6952000000</v>
      </c>
      <c r="CV10" s="10">
        <v>7272000000</v>
      </c>
      <c r="CW10" s="10">
        <v>78000000</v>
      </c>
      <c r="CX10" s="10">
        <v>2616000000</v>
      </c>
      <c r="DC10"/>
      <c r="DV10" s="41">
        <v>2021</v>
      </c>
      <c r="DX10" s="10"/>
      <c r="DY10" s="10"/>
      <c r="DZ10" s="10"/>
      <c r="EA10" t="s">
        <v>650</v>
      </c>
    </row>
    <row r="11" spans="1:131" x14ac:dyDescent="0.35">
      <c r="A11" t="s">
        <v>649</v>
      </c>
      <c r="B11" s="22">
        <v>44742</v>
      </c>
      <c r="C11">
        <v>2022</v>
      </c>
      <c r="D11" t="s">
        <v>212</v>
      </c>
      <c r="E11" t="s">
        <v>213</v>
      </c>
      <c r="F11" s="10">
        <v>19000000000</v>
      </c>
      <c r="G11" s="10">
        <v>44261000000</v>
      </c>
      <c r="H11" s="10">
        <v>-59660000000</v>
      </c>
      <c r="J11" s="10">
        <v>-633000000</v>
      </c>
      <c r="M11" s="10">
        <v>55014000000</v>
      </c>
      <c r="N11" s="10">
        <v>11489000000</v>
      </c>
      <c r="O11" s="10">
        <v>86939000000</v>
      </c>
      <c r="P11" s="10">
        <v>13931000000</v>
      </c>
      <c r="Q11" s="10">
        <v>104749000000</v>
      </c>
      <c r="R11" s="10">
        <v>86939000000</v>
      </c>
      <c r="S11" s="10">
        <v>166542000000</v>
      </c>
      <c r="V11" s="10">
        <v>169684000000</v>
      </c>
      <c r="X11" s="10">
        <v>2749000000</v>
      </c>
      <c r="Y11" s="10">
        <v>2749000000</v>
      </c>
      <c r="Z11" s="10">
        <v>95082000000</v>
      </c>
      <c r="AB11" s="10">
        <v>-4678000000</v>
      </c>
      <c r="AC11" s="10">
        <v>67524000000</v>
      </c>
      <c r="AD11" s="10">
        <v>78822000000</v>
      </c>
      <c r="AE11" s="10">
        <v>44894000000</v>
      </c>
      <c r="AF11" s="10">
        <v>147206000000</v>
      </c>
      <c r="AH11" s="10">
        <v>4067000000</v>
      </c>
      <c r="AJ11" s="10">
        <v>216323000000</v>
      </c>
      <c r="AL11" s="10">
        <v>6891000000</v>
      </c>
      <c r="AM11" s="10">
        <v>4734000000</v>
      </c>
      <c r="AN11" s="10">
        <v>7819000000</v>
      </c>
      <c r="AO11" s="10">
        <v>11489000000</v>
      </c>
      <c r="AP11" s="10">
        <v>47032000000</v>
      </c>
      <c r="AQ11" s="10">
        <v>58521000000</v>
      </c>
      <c r="AR11" s="10">
        <v>6891000000</v>
      </c>
      <c r="AT11" s="10">
        <v>66491000000</v>
      </c>
      <c r="AV11" s="10">
        <v>35850000000</v>
      </c>
      <c r="AW11" s="10">
        <v>87546000000</v>
      </c>
      <c r="AX11" s="10">
        <v>87720000000</v>
      </c>
      <c r="AY11" s="10">
        <v>3100000000</v>
      </c>
      <c r="AZ11" s="10">
        <v>230000000</v>
      </c>
      <c r="BB11" s="10">
        <v>7464000000</v>
      </c>
      <c r="BC11" s="10">
        <v>16924000000</v>
      </c>
      <c r="BE11" s="10">
        <v>13067000000</v>
      </c>
      <c r="BF11" s="10">
        <v>-4678000000</v>
      </c>
      <c r="BG11" s="10">
        <v>11298000000</v>
      </c>
      <c r="BH11" s="10">
        <v>21897000000</v>
      </c>
      <c r="BI11" s="10">
        <v>15526000000</v>
      </c>
      <c r="BK11" s="10">
        <v>13148000000</v>
      </c>
      <c r="BM11" s="10">
        <v>90818000000</v>
      </c>
      <c r="BN11" s="10">
        <v>23067000000</v>
      </c>
      <c r="BO11" s="10">
        <v>23067000000</v>
      </c>
      <c r="BP11" s="10">
        <v>10661000000</v>
      </c>
      <c r="BS11" s="10">
        <v>0</v>
      </c>
      <c r="BT11" s="10">
        <v>44261000000</v>
      </c>
      <c r="BV11" s="10">
        <v>84281000000</v>
      </c>
      <c r="BW11" s="10">
        <v>7464000000</v>
      </c>
      <c r="BX11" s="10">
        <v>166542000000</v>
      </c>
      <c r="BY11" s="10">
        <v>87720000000</v>
      </c>
      <c r="BZ11" s="10">
        <v>364840000000</v>
      </c>
      <c r="CA11" s="10">
        <v>213574000000</v>
      </c>
      <c r="CB11" s="10">
        <v>61270000000</v>
      </c>
      <c r="CC11" s="10">
        <v>166542000000</v>
      </c>
      <c r="CD11" s="10">
        <v>198298000000</v>
      </c>
      <c r="CE11" s="10">
        <v>195156000000</v>
      </c>
      <c r="CF11" s="10">
        <v>103216000000</v>
      </c>
      <c r="CG11" s="10">
        <v>4067000000</v>
      </c>
      <c r="CH11" s="10">
        <v>26069000000</v>
      </c>
      <c r="CI11" s="10">
        <v>74602000000</v>
      </c>
      <c r="CJ11" s="10">
        <v>45538000000</v>
      </c>
      <c r="CK11" s="10">
        <v>45538000000</v>
      </c>
      <c r="CM11" s="10">
        <v>2516000000</v>
      </c>
      <c r="CN11" s="10">
        <v>3742000000</v>
      </c>
      <c r="CO11"/>
      <c r="CS11" s="10">
        <v>1144000000</v>
      </c>
      <c r="CT11" s="10">
        <v>82000000</v>
      </c>
      <c r="CU11" s="10">
        <v>5673000000</v>
      </c>
      <c r="CV11" s="10">
        <v>8258000000</v>
      </c>
      <c r="CW11" s="10">
        <v>8000000</v>
      </c>
      <c r="CX11" s="10">
        <v>2870000000</v>
      </c>
      <c r="DC11"/>
      <c r="DV11" s="41">
        <v>2022</v>
      </c>
      <c r="DX11" s="10"/>
      <c r="DY11" s="10"/>
      <c r="DZ11" s="10"/>
      <c r="EA11" t="s">
        <v>650</v>
      </c>
    </row>
    <row r="12" spans="1:131" x14ac:dyDescent="0.35">
      <c r="A12" t="s">
        <v>649</v>
      </c>
      <c r="B12" s="22">
        <v>45107</v>
      </c>
      <c r="C12">
        <v>2023</v>
      </c>
      <c r="D12" t="s">
        <v>212</v>
      </c>
      <c r="E12" t="s">
        <v>213</v>
      </c>
      <c r="F12" s="10">
        <v>18095000000</v>
      </c>
      <c r="G12" s="10">
        <v>48688000000</v>
      </c>
      <c r="H12" s="10">
        <v>-68251000000</v>
      </c>
      <c r="J12" s="10">
        <v>-650000000</v>
      </c>
      <c r="M12" s="10">
        <v>68465000000</v>
      </c>
      <c r="N12" s="10">
        <v>12728000000</v>
      </c>
      <c r="O12" s="10">
        <v>93718000000</v>
      </c>
      <c r="P12" s="10">
        <v>34704000000</v>
      </c>
      <c r="Q12" s="10">
        <v>111256000000</v>
      </c>
      <c r="R12" s="10">
        <v>93718000000</v>
      </c>
      <c r="S12" s="10">
        <v>206223000000</v>
      </c>
      <c r="V12" s="10">
        <v>184257000000</v>
      </c>
      <c r="X12" s="10">
        <v>5247000000</v>
      </c>
      <c r="Y12" s="10">
        <v>5247000000</v>
      </c>
      <c r="Z12" s="10">
        <v>104149000000</v>
      </c>
      <c r="AB12" s="10">
        <v>-6343000000</v>
      </c>
      <c r="AC12" s="10">
        <v>67886000000</v>
      </c>
      <c r="AD12" s="10">
        <v>77252000000</v>
      </c>
      <c r="AE12" s="10">
        <v>49338000000</v>
      </c>
      <c r="AF12" s="10">
        <v>178238000000</v>
      </c>
      <c r="AH12" s="10">
        <v>4152000000</v>
      </c>
      <c r="AJ12" s="10">
        <v>253460000000</v>
      </c>
      <c r="AL12" s="10">
        <v>9879000000</v>
      </c>
      <c r="AM12" s="10">
        <v>5683000000</v>
      </c>
      <c r="AN12" s="10">
        <v>8537000000</v>
      </c>
      <c r="AO12" s="10">
        <v>12728000000</v>
      </c>
      <c r="AP12" s="10">
        <v>41990000000</v>
      </c>
      <c r="AQ12" s="10">
        <v>54718000000</v>
      </c>
      <c r="AR12" s="10">
        <v>9879000000</v>
      </c>
      <c r="AT12" s="10">
        <v>81207000000</v>
      </c>
      <c r="AV12" s="10">
        <v>12533000000</v>
      </c>
      <c r="AW12" s="10">
        <v>109987000000</v>
      </c>
      <c r="AX12" s="10">
        <v>128971000000</v>
      </c>
      <c r="AY12" s="10">
        <v>3345000000</v>
      </c>
      <c r="AZ12" s="10">
        <v>433000000</v>
      </c>
      <c r="BB12" s="10">
        <v>7432000000</v>
      </c>
      <c r="BC12" s="10">
        <v>21807000000</v>
      </c>
      <c r="BE12" s="10">
        <v>14745000000</v>
      </c>
      <c r="BF12" s="10">
        <v>-6343000000</v>
      </c>
      <c r="BG12" s="10">
        <v>9366000000</v>
      </c>
      <c r="BH12" s="10">
        <v>30601000000</v>
      </c>
      <c r="BI12" s="10">
        <v>17981000000</v>
      </c>
      <c r="BK12" s="10">
        <v>14346000000</v>
      </c>
      <c r="BM12" s="10">
        <v>76552000000</v>
      </c>
      <c r="BN12" s="10">
        <v>22247000000</v>
      </c>
      <c r="BO12" s="10">
        <v>22247000000</v>
      </c>
      <c r="BP12" s="10">
        <v>11009000000</v>
      </c>
      <c r="BS12" s="10">
        <v>0</v>
      </c>
      <c r="BT12" s="10">
        <v>48688000000</v>
      </c>
      <c r="BV12" s="10">
        <v>118848000000</v>
      </c>
      <c r="BW12" s="10">
        <v>7432000000</v>
      </c>
      <c r="BX12" s="10">
        <v>206223000000</v>
      </c>
      <c r="BY12" s="10">
        <v>128971000000</v>
      </c>
      <c r="BZ12" s="10">
        <v>411976000000</v>
      </c>
      <c r="CA12" s="10">
        <v>248213000000</v>
      </c>
      <c r="CB12" s="10">
        <v>59965000000</v>
      </c>
      <c r="CC12" s="10">
        <v>206223000000</v>
      </c>
      <c r="CD12" s="10">
        <v>205753000000</v>
      </c>
      <c r="CE12" s="10">
        <v>227719000000</v>
      </c>
      <c r="CF12" s="10">
        <v>101604000000</v>
      </c>
      <c r="CG12" s="10">
        <v>4152000000</v>
      </c>
      <c r="CH12" s="10">
        <v>25560000000</v>
      </c>
      <c r="CI12" s="10">
        <v>80108000000</v>
      </c>
      <c r="CJ12" s="10">
        <v>50901000000</v>
      </c>
      <c r="CK12" s="10">
        <v>50901000000</v>
      </c>
      <c r="CM12" s="10">
        <v>1768000000</v>
      </c>
      <c r="CN12" s="10">
        <v>2500000000</v>
      </c>
      <c r="CO12"/>
      <c r="CS12" s="10">
        <v>709000000</v>
      </c>
      <c r="CT12" s="10">
        <v>23000000</v>
      </c>
      <c r="CU12" s="10">
        <v>26226000000</v>
      </c>
      <c r="CV12" s="10">
        <v>8478000000</v>
      </c>
      <c r="CW12" s="10">
        <v>6000000</v>
      </c>
      <c r="CX12" s="10">
        <v>2912000000</v>
      </c>
      <c r="DC12"/>
      <c r="DV12" s="41">
        <v>2023</v>
      </c>
      <c r="DX12" s="10"/>
      <c r="DY12" s="10"/>
      <c r="DZ12" s="10"/>
      <c r="EA12" t="s">
        <v>650</v>
      </c>
    </row>
    <row r="13" spans="1:131" x14ac:dyDescent="0.35">
      <c r="A13" t="s">
        <v>649</v>
      </c>
      <c r="B13" s="22">
        <v>45473</v>
      </c>
      <c r="C13">
        <v>2024</v>
      </c>
      <c r="D13" t="s">
        <v>212</v>
      </c>
      <c r="E13" t="s">
        <v>213</v>
      </c>
      <c r="F13" s="10">
        <v>21996000000</v>
      </c>
      <c r="G13" s="10">
        <v>56924000000</v>
      </c>
      <c r="H13" s="10">
        <v>-76421000000</v>
      </c>
      <c r="J13" s="10">
        <v>-830000000</v>
      </c>
      <c r="M13" s="10">
        <v>93943000000</v>
      </c>
      <c r="N13" s="10">
        <v>15497000000</v>
      </c>
      <c r="O13" s="10">
        <v>100923000000</v>
      </c>
      <c r="P13" s="10">
        <v>18315000000</v>
      </c>
      <c r="Q13" s="10">
        <v>75531000000</v>
      </c>
      <c r="R13" s="10">
        <v>100923000000</v>
      </c>
      <c r="S13" s="10">
        <v>268477000000</v>
      </c>
      <c r="V13" s="10">
        <v>159734000000</v>
      </c>
      <c r="X13" s="10">
        <v>8942000000</v>
      </c>
      <c r="Y13" s="10">
        <v>8942000000</v>
      </c>
      <c r="Z13" s="10">
        <v>125286000000</v>
      </c>
      <c r="AB13" s="10">
        <v>-5590000000</v>
      </c>
      <c r="AC13" s="10">
        <v>119220000000</v>
      </c>
      <c r="AD13" s="10">
        <v>146817000000</v>
      </c>
      <c r="AE13" s="10">
        <v>57754000000</v>
      </c>
      <c r="AF13" s="10">
        <v>230973000000</v>
      </c>
      <c r="AH13" s="10">
        <v>5017000000</v>
      </c>
      <c r="AJ13" s="10">
        <v>320107000000</v>
      </c>
      <c r="AL13" s="10">
        <v>14600000000</v>
      </c>
      <c r="AM13" s="10">
        <v>8163000000</v>
      </c>
      <c r="AN13" s="10">
        <v>9594000000</v>
      </c>
      <c r="AO13" s="10">
        <v>15497000000</v>
      </c>
      <c r="AP13" s="10">
        <v>42688000000</v>
      </c>
      <c r="AQ13" s="10">
        <v>58185000000</v>
      </c>
      <c r="AR13" s="10">
        <v>14600000000</v>
      </c>
      <c r="AT13" s="10">
        <v>100312000000</v>
      </c>
      <c r="AV13" s="10">
        <v>33315000000</v>
      </c>
      <c r="AW13" s="10">
        <v>154552000000</v>
      </c>
      <c r="AX13" s="10">
        <v>121660000000</v>
      </c>
      <c r="AY13" s="10">
        <v>5220000000</v>
      </c>
      <c r="AZ13" s="10">
        <v>2618000000</v>
      </c>
      <c r="BB13" s="10">
        <v>7434000000</v>
      </c>
      <c r="BC13" s="10">
        <v>26021000000</v>
      </c>
      <c r="BE13" s="10">
        <v>19185000000</v>
      </c>
      <c r="BF13" s="10">
        <v>-5590000000</v>
      </c>
      <c r="BG13" s="10">
        <v>27597000000</v>
      </c>
      <c r="BH13" s="10">
        <v>36460000000</v>
      </c>
      <c r="BI13" s="10">
        <v>27064000000</v>
      </c>
      <c r="BK13" s="10">
        <v>18961000000</v>
      </c>
      <c r="BM13" s="10">
        <v>57216000000</v>
      </c>
      <c r="BN13" s="10">
        <v>27013000000</v>
      </c>
      <c r="BO13" s="10">
        <v>27013000000</v>
      </c>
      <c r="BP13" s="10">
        <v>12564000000</v>
      </c>
      <c r="BS13" s="10">
        <v>0</v>
      </c>
      <c r="BT13" s="10">
        <v>56924000000</v>
      </c>
      <c r="BV13" s="10">
        <v>173144000000</v>
      </c>
      <c r="BW13" s="10">
        <v>7434000000</v>
      </c>
      <c r="BX13" s="10">
        <v>268477000000</v>
      </c>
      <c r="BY13" s="10">
        <v>121660000000</v>
      </c>
      <c r="BZ13" s="10">
        <v>512163000000</v>
      </c>
      <c r="CA13" s="10">
        <v>311165000000</v>
      </c>
      <c r="CB13" s="10">
        <v>67127000000</v>
      </c>
      <c r="CC13" s="10">
        <v>268477000000</v>
      </c>
      <c r="CD13" s="10">
        <v>243686000000</v>
      </c>
      <c r="CE13" s="10">
        <v>352429000000</v>
      </c>
      <c r="CF13" s="10">
        <v>118400000000</v>
      </c>
      <c r="CG13" s="10">
        <v>5017000000</v>
      </c>
      <c r="CH13" s="10">
        <v>27931000000</v>
      </c>
      <c r="CI13" s="10">
        <v>34448000000</v>
      </c>
      <c r="CJ13" s="10">
        <v>57582000000</v>
      </c>
      <c r="CK13" s="10">
        <v>57582000000</v>
      </c>
      <c r="CM13" s="10">
        <v>845000000</v>
      </c>
      <c r="CN13" s="10">
        <v>1246000000</v>
      </c>
      <c r="CO13"/>
      <c r="CS13" s="10">
        <v>394000000</v>
      </c>
      <c r="CT13" s="10">
        <v>7000000</v>
      </c>
      <c r="CU13" s="10">
        <v>6744000000</v>
      </c>
      <c r="CV13" s="10">
        <v>11571000000</v>
      </c>
      <c r="CW13" s="10">
        <v>12000000</v>
      </c>
      <c r="CX13" s="10">
        <v>2602000000</v>
      </c>
      <c r="DC13"/>
      <c r="DV13" s="41">
        <v>2024</v>
      </c>
      <c r="DX13" s="10"/>
      <c r="DY13" s="10"/>
      <c r="DZ13" s="10"/>
      <c r="EA13" t="s">
        <v>650</v>
      </c>
    </row>
    <row r="14" spans="1:131" x14ac:dyDescent="0.35">
      <c r="A14" t="s">
        <v>651</v>
      </c>
      <c r="B14" s="22">
        <v>43830</v>
      </c>
      <c r="C14">
        <v>2019</v>
      </c>
      <c r="D14" t="s">
        <v>212</v>
      </c>
      <c r="E14" t="s">
        <v>213</v>
      </c>
      <c r="BC14" s="10">
        <v>1000000</v>
      </c>
      <c r="BI14" s="10">
        <v>1000000</v>
      </c>
      <c r="BK14" s="10">
        <v>2029000000</v>
      </c>
      <c r="CK14" s="10">
        <v>21000000</v>
      </c>
      <c r="CO14"/>
      <c r="CY14" s="10">
        <v>1599000000</v>
      </c>
      <c r="DC14"/>
      <c r="DV14" s="41">
        <v>2019</v>
      </c>
      <c r="DX14" s="10">
        <v>219000000</v>
      </c>
      <c r="DY14" s="10"/>
      <c r="DZ14" s="10"/>
      <c r="EA14" t="s">
        <v>652</v>
      </c>
    </row>
    <row r="15" spans="1:131" x14ac:dyDescent="0.35">
      <c r="A15" t="s">
        <v>651</v>
      </c>
      <c r="B15" s="22">
        <v>44196</v>
      </c>
      <c r="C15">
        <v>2020</v>
      </c>
      <c r="D15" t="s">
        <v>212</v>
      </c>
      <c r="E15" t="s">
        <v>213</v>
      </c>
      <c r="F15" s="10">
        <v>15898000000</v>
      </c>
      <c r="G15" s="10">
        <v>3284000000</v>
      </c>
      <c r="H15" s="10">
        <v>-24802000000</v>
      </c>
      <c r="I15" s="10">
        <v>17620000000</v>
      </c>
      <c r="K15" s="10">
        <v>74000000</v>
      </c>
      <c r="N15" s="10">
        <v>2234000000</v>
      </c>
      <c r="O15" s="10">
        <v>1736000000</v>
      </c>
      <c r="P15" s="10">
        <v>15252000000</v>
      </c>
      <c r="Q15" s="10">
        <v>15648000000</v>
      </c>
      <c r="R15" s="10">
        <v>1736000000</v>
      </c>
      <c r="S15" s="10">
        <v>68024000000</v>
      </c>
      <c r="T15" s="10">
        <v>1780000000</v>
      </c>
      <c r="U15" s="10">
        <v>1625000000</v>
      </c>
      <c r="V15" s="10">
        <v>26519000000</v>
      </c>
      <c r="W15" s="10">
        <v>397000000</v>
      </c>
      <c r="X15" s="10">
        <v>2689000000</v>
      </c>
      <c r="Y15" s="10">
        <v>3086000000</v>
      </c>
      <c r="Z15" s="10">
        <v>32352000000</v>
      </c>
      <c r="AA15" s="10">
        <v>219000000</v>
      </c>
      <c r="AB15" s="10">
        <v>17798000000</v>
      </c>
      <c r="AC15" s="10">
        <v>120971000000</v>
      </c>
      <c r="AD15" s="10">
        <v>162498000000</v>
      </c>
      <c r="AF15" s="10">
        <v>51221000000</v>
      </c>
      <c r="AH15" s="10">
        <v>1036000000</v>
      </c>
      <c r="AI15" s="10">
        <v>1625000000</v>
      </c>
      <c r="AJ15" s="10">
        <v>164355000000</v>
      </c>
      <c r="AK15" s="10">
        <v>137000000</v>
      </c>
      <c r="AL15" s="10">
        <v>6280000000</v>
      </c>
      <c r="AM15" s="10">
        <v>12237000000</v>
      </c>
      <c r="AN15" s="10">
        <v>1726000000</v>
      </c>
      <c r="AO15" s="10">
        <v>1837000000</v>
      </c>
      <c r="AP15" s="10">
        <v>93642000000</v>
      </c>
      <c r="AQ15" s="10">
        <v>95479000000</v>
      </c>
      <c r="AR15" s="10">
        <v>6143000000</v>
      </c>
      <c r="AS15" s="10">
        <v>544000000</v>
      </c>
      <c r="AT15" s="10">
        <v>35478000000</v>
      </c>
      <c r="AU15" s="10">
        <v>10327000000</v>
      </c>
      <c r="AV15" s="10">
        <v>81079000000</v>
      </c>
      <c r="AW15" s="10">
        <v>26419000000</v>
      </c>
      <c r="AX15" s="10">
        <v>-94474000000</v>
      </c>
      <c r="AY15" s="10">
        <v>13709000000</v>
      </c>
      <c r="AZ15" s="10">
        <v>12627000000</v>
      </c>
      <c r="BA15" s="10">
        <v>25000000</v>
      </c>
      <c r="BB15" s="10">
        <v>1972249406</v>
      </c>
      <c r="BC15" s="10">
        <v>-1000000</v>
      </c>
      <c r="BD15" s="10">
        <v>1162000000</v>
      </c>
      <c r="BE15" s="10">
        <v>5045000000</v>
      </c>
      <c r="BG15" s="10">
        <v>41527000000</v>
      </c>
      <c r="BH15" s="10">
        <v>184000000</v>
      </c>
      <c r="BI15" s="10">
        <v>-2000000</v>
      </c>
      <c r="BJ15" s="10">
        <v>2059000000</v>
      </c>
      <c r="BL15" s="10">
        <v>522000000</v>
      </c>
      <c r="BM15" s="10">
        <v>396000000</v>
      </c>
      <c r="BN15" s="10">
        <v>22049000000</v>
      </c>
      <c r="BO15" s="10">
        <v>23674000000</v>
      </c>
      <c r="BR15" s="10">
        <v>446000000</v>
      </c>
      <c r="BS15" s="10">
        <v>0</v>
      </c>
      <c r="BT15" s="10">
        <v>5134000000</v>
      </c>
      <c r="BV15" s="10">
        <v>30870000000</v>
      </c>
      <c r="BW15" s="10">
        <v>2019241973</v>
      </c>
      <c r="BX15" s="10">
        <v>68024000000</v>
      </c>
      <c r="BY15" s="10">
        <v>-94474000000</v>
      </c>
      <c r="BZ15" s="10">
        <v>226410000000</v>
      </c>
      <c r="CA15" s="10">
        <v>161666000000</v>
      </c>
      <c r="CB15" s="10">
        <v>98565000000</v>
      </c>
      <c r="CC15" s="10">
        <v>78351000000</v>
      </c>
      <c r="CD15" s="10">
        <v>148059000000</v>
      </c>
      <c r="CE15" s="10">
        <v>199891000000</v>
      </c>
      <c r="CF15" s="10">
        <v>115707000000</v>
      </c>
      <c r="CG15" s="10">
        <v>3665000000</v>
      </c>
      <c r="CH15" s="10">
        <v>1248000000</v>
      </c>
      <c r="CI15" s="10">
        <v>-5833000000</v>
      </c>
      <c r="CJ15" s="10">
        <v>328000000</v>
      </c>
      <c r="CK15" s="10">
        <v>27000000</v>
      </c>
      <c r="CL15" s="10">
        <v>2970000000</v>
      </c>
      <c r="CM15" s="10">
        <v>1453000000</v>
      </c>
      <c r="CN15" s="10">
        <v>4391000000</v>
      </c>
      <c r="CO15">
        <v>4000000</v>
      </c>
      <c r="CP15" s="10">
        <v>2019000000</v>
      </c>
      <c r="CQ15" s="10">
        <v>2019000000</v>
      </c>
      <c r="CS15" s="10">
        <v>2499000000</v>
      </c>
      <c r="CT15" s="10">
        <v>439000000</v>
      </c>
      <c r="CU15" s="10">
        <v>10119000000</v>
      </c>
      <c r="CV15" s="10">
        <v>5133000000</v>
      </c>
      <c r="CW15" s="10">
        <v>827000000</v>
      </c>
      <c r="CY15" s="10">
        <v>1522000000</v>
      </c>
      <c r="DA15" s="10">
        <v>427000000</v>
      </c>
      <c r="DC15">
        <v>117000000</v>
      </c>
      <c r="DE15" s="10">
        <v>5000000</v>
      </c>
      <c r="DI15" s="10">
        <v>46992567</v>
      </c>
      <c r="DL15" s="10">
        <v>6000000</v>
      </c>
      <c r="DM15" s="10">
        <v>2322000000</v>
      </c>
      <c r="DP15" s="10">
        <v>1207000000</v>
      </c>
      <c r="DR15" s="10">
        <v>1759000000</v>
      </c>
      <c r="DS15" s="10">
        <v>138000000</v>
      </c>
      <c r="DV15" s="41">
        <v>2020</v>
      </c>
      <c r="DX15" s="10">
        <v>184000000</v>
      </c>
      <c r="DY15" s="10"/>
      <c r="DZ15" s="10"/>
      <c r="EA15" t="s">
        <v>652</v>
      </c>
    </row>
    <row r="16" spans="1:131" x14ac:dyDescent="0.35">
      <c r="A16" t="s">
        <v>651</v>
      </c>
      <c r="B16" s="22">
        <v>44561</v>
      </c>
      <c r="C16">
        <v>2021</v>
      </c>
      <c r="D16" t="s">
        <v>212</v>
      </c>
      <c r="E16" t="s">
        <v>213</v>
      </c>
      <c r="F16" s="10">
        <v>17810000000</v>
      </c>
      <c r="G16" s="10">
        <v>3465000000</v>
      </c>
      <c r="H16" s="10">
        <v>-26284000000</v>
      </c>
      <c r="I16" s="10">
        <v>17620000000</v>
      </c>
      <c r="K16" s="10">
        <v>30000000</v>
      </c>
      <c r="N16" s="10">
        <v>2277000000</v>
      </c>
      <c r="O16" s="10">
        <v>1736000000</v>
      </c>
      <c r="P16" s="10">
        <v>12097000000</v>
      </c>
      <c r="Q16" s="10">
        <v>12471000000</v>
      </c>
      <c r="R16" s="10">
        <v>1736000000</v>
      </c>
      <c r="S16" s="10">
        <v>68669000000</v>
      </c>
      <c r="T16" s="10">
        <v>2462000000</v>
      </c>
      <c r="U16" s="10">
        <v>1501000000</v>
      </c>
      <c r="V16" s="10">
        <v>23949000000</v>
      </c>
      <c r="W16" s="10">
        <v>447000000</v>
      </c>
      <c r="X16" s="10">
        <v>1014000000</v>
      </c>
      <c r="Y16" s="10">
        <v>1461000000</v>
      </c>
      <c r="Z16" s="10">
        <v>34184000000</v>
      </c>
      <c r="AA16" s="10">
        <v>169000000</v>
      </c>
      <c r="AB16" s="10">
        <v>15431000000</v>
      </c>
      <c r="AC16" s="10">
        <v>115796000000</v>
      </c>
      <c r="AD16" s="10">
        <v>156226000000</v>
      </c>
      <c r="AF16" s="10">
        <v>52961000000</v>
      </c>
      <c r="AH16" s="10">
        <v>1334000000</v>
      </c>
      <c r="AI16" s="10">
        <v>1501000000</v>
      </c>
      <c r="AJ16" s="10">
        <v>155222000000</v>
      </c>
      <c r="AK16" s="10">
        <v>161000000</v>
      </c>
      <c r="AL16" s="10">
        <v>6035000000</v>
      </c>
      <c r="AM16" s="10">
        <v>12374000000</v>
      </c>
      <c r="AN16" s="10">
        <v>1696000000</v>
      </c>
      <c r="AO16" s="10">
        <v>1830000000</v>
      </c>
      <c r="AP16" s="10">
        <v>85539000000</v>
      </c>
      <c r="AQ16" s="10">
        <v>87369000000</v>
      </c>
      <c r="AR16" s="10">
        <v>5874000000</v>
      </c>
      <c r="AS16" s="10">
        <v>436000000</v>
      </c>
      <c r="AT16" s="10">
        <v>36429000000</v>
      </c>
      <c r="AU16" s="10">
        <v>10671000000</v>
      </c>
      <c r="AV16" s="10">
        <v>74456000000</v>
      </c>
      <c r="AW16" s="10">
        <v>26677000000</v>
      </c>
      <c r="AX16" s="10">
        <v>-87557000000</v>
      </c>
      <c r="AY16" s="10">
        <v>12866000000</v>
      </c>
      <c r="AZ16" s="10">
        <v>12204000000</v>
      </c>
      <c r="BA16" s="10">
        <v>17000000</v>
      </c>
      <c r="BB16" s="10">
        <v>1981024587</v>
      </c>
      <c r="BC16" s="10">
        <v>1000000</v>
      </c>
      <c r="BD16" s="10">
        <v>961000000</v>
      </c>
      <c r="BE16" s="10">
        <v>5787000000</v>
      </c>
      <c r="BG16" s="10">
        <v>40430000000</v>
      </c>
      <c r="BH16" s="10">
        <v>169000000</v>
      </c>
      <c r="BJ16" s="10">
        <v>3119000000</v>
      </c>
      <c r="BL16" s="10">
        <v>521000000</v>
      </c>
      <c r="BM16" s="10">
        <v>374000000</v>
      </c>
      <c r="BN16" s="10">
        <v>25075000000</v>
      </c>
      <c r="BO16" s="10">
        <v>26576000000</v>
      </c>
      <c r="BR16" s="10">
        <v>465000000</v>
      </c>
      <c r="BS16" s="10">
        <v>0</v>
      </c>
      <c r="BT16" s="10">
        <v>5077000000</v>
      </c>
      <c r="BV16" s="10">
        <v>33882000000</v>
      </c>
      <c r="BW16" s="10">
        <v>2019241973</v>
      </c>
      <c r="BX16" s="10">
        <v>68669000000</v>
      </c>
      <c r="BY16" s="10">
        <v>-87557000000</v>
      </c>
      <c r="BZ16" s="10">
        <v>217627000000</v>
      </c>
      <c r="CA16" s="10">
        <v>154208000000</v>
      </c>
      <c r="CB16" s="10">
        <v>88830000000</v>
      </c>
      <c r="CC16" s="10">
        <v>79340000000</v>
      </c>
      <c r="CD16" s="10">
        <v>138287000000</v>
      </c>
      <c r="CE16" s="10">
        <v>193678000000</v>
      </c>
      <c r="CF16" s="10">
        <v>104103000000</v>
      </c>
      <c r="CG16" s="10">
        <v>3791000000</v>
      </c>
      <c r="CH16" s="10">
        <v>1071000000</v>
      </c>
      <c r="CI16" s="10">
        <v>-10235000000</v>
      </c>
      <c r="CJ16" s="10">
        <v>191000000</v>
      </c>
      <c r="CK16" s="10">
        <v>51000000</v>
      </c>
      <c r="CL16" s="10">
        <v>2261000000</v>
      </c>
      <c r="CM16" s="10">
        <v>1761000000</v>
      </c>
      <c r="CN16" s="10">
        <v>5284000000</v>
      </c>
      <c r="CO16">
        <v>18000000</v>
      </c>
      <c r="CP16" s="10">
        <v>1969000000</v>
      </c>
      <c r="CQ16" s="10">
        <v>1969000000</v>
      </c>
      <c r="CS16" s="10">
        <v>3072000000</v>
      </c>
      <c r="CT16" s="10">
        <v>451000000</v>
      </c>
      <c r="CU16" s="10">
        <v>7592000000</v>
      </c>
      <c r="CV16" s="10">
        <v>4505000000</v>
      </c>
      <c r="CW16" s="10">
        <v>621000000</v>
      </c>
      <c r="CY16" s="10">
        <v>0</v>
      </c>
      <c r="DA16" s="10">
        <v>355000000</v>
      </c>
      <c r="DC16">
        <v>99000000</v>
      </c>
      <c r="DD16" s="10">
        <v>5874000000</v>
      </c>
      <c r="DE16" s="10">
        <v>53000000</v>
      </c>
      <c r="DI16" s="10">
        <v>38217386</v>
      </c>
      <c r="DL16" s="10">
        <v>5000000</v>
      </c>
      <c r="DM16" s="10">
        <v>2532000000</v>
      </c>
      <c r="DP16" s="10">
        <v>974000000</v>
      </c>
      <c r="DR16" s="10">
        <v>100000000</v>
      </c>
      <c r="DS16" s="10">
        <v>48000000</v>
      </c>
      <c r="DV16" s="41">
        <v>2021</v>
      </c>
      <c r="DX16" s="10">
        <v>168000000</v>
      </c>
      <c r="DY16" s="10"/>
      <c r="DZ16" s="10"/>
      <c r="EA16" t="s">
        <v>652</v>
      </c>
    </row>
    <row r="17" spans="1:131" x14ac:dyDescent="0.35">
      <c r="A17" t="s">
        <v>651</v>
      </c>
      <c r="B17" s="22">
        <v>44926</v>
      </c>
      <c r="C17">
        <v>2022</v>
      </c>
      <c r="D17" t="s">
        <v>212</v>
      </c>
      <c r="E17" t="s">
        <v>213</v>
      </c>
      <c r="F17" s="10">
        <v>18589000000</v>
      </c>
      <c r="G17" s="10">
        <v>3637000000</v>
      </c>
      <c r="H17" s="10">
        <v>-28024000000</v>
      </c>
      <c r="I17" s="10">
        <v>17620000000</v>
      </c>
      <c r="K17" s="10">
        <v>30000000</v>
      </c>
      <c r="L17" s="10">
        <v>149000000</v>
      </c>
      <c r="N17" s="10">
        <v>2492000000</v>
      </c>
      <c r="O17" s="10">
        <v>1736000000</v>
      </c>
      <c r="P17" s="10">
        <v>9973000000</v>
      </c>
      <c r="Q17" s="10">
        <v>10070000000</v>
      </c>
      <c r="R17" s="10">
        <v>1736000000</v>
      </c>
      <c r="S17" s="10">
        <v>73398000000</v>
      </c>
      <c r="T17" s="10">
        <v>2205000000</v>
      </c>
      <c r="U17" s="10">
        <v>1428000000</v>
      </c>
      <c r="V17" s="10">
        <v>23186000000</v>
      </c>
      <c r="W17" s="10">
        <v>529000000</v>
      </c>
      <c r="X17" s="10">
        <v>582000000</v>
      </c>
      <c r="Y17" s="10">
        <v>1111000000</v>
      </c>
      <c r="Z17" s="10">
        <v>34383000000</v>
      </c>
      <c r="AA17" s="10">
        <v>176000000</v>
      </c>
      <c r="AB17" s="10">
        <v>18924000000</v>
      </c>
      <c r="AC17" s="10">
        <v>113010000000</v>
      </c>
      <c r="AD17" s="10">
        <v>153220000000</v>
      </c>
      <c r="AF17" s="10">
        <v>54695000000</v>
      </c>
      <c r="AG17" s="10">
        <v>26000000</v>
      </c>
      <c r="AH17" s="10">
        <v>1438000000</v>
      </c>
      <c r="AI17" s="10">
        <v>1428000000</v>
      </c>
      <c r="AJ17" s="10">
        <v>150897000000</v>
      </c>
      <c r="AK17" s="10">
        <v>175000000</v>
      </c>
      <c r="AL17" s="10">
        <v>4831000000</v>
      </c>
      <c r="AM17" s="10">
        <v>12591000000</v>
      </c>
      <c r="AN17" s="10">
        <v>1640000000</v>
      </c>
      <c r="AO17" s="10">
        <v>1963000000</v>
      </c>
      <c r="AP17" s="10">
        <v>76917000000</v>
      </c>
      <c r="AQ17" s="10">
        <v>78880000000</v>
      </c>
      <c r="AR17" s="10">
        <v>4656000000</v>
      </c>
      <c r="AS17" s="10">
        <v>396000000</v>
      </c>
      <c r="AT17" s="10">
        <v>37473000000</v>
      </c>
      <c r="AU17" s="10">
        <v>10880000000</v>
      </c>
      <c r="AV17" s="10">
        <v>67526000000</v>
      </c>
      <c r="AW17" s="10">
        <v>26671000000</v>
      </c>
      <c r="AX17" s="10">
        <v>-79822000000</v>
      </c>
      <c r="AY17" s="10">
        <v>12282000000</v>
      </c>
      <c r="AZ17" s="10">
        <v>11818000000</v>
      </c>
      <c r="BA17" s="10">
        <v>10000000</v>
      </c>
      <c r="BB17" s="10">
        <v>1983786137</v>
      </c>
      <c r="BC17" s="10">
        <v>-1000000</v>
      </c>
      <c r="BD17" s="10">
        <v>399000000</v>
      </c>
      <c r="BE17" s="10">
        <v>5310000000</v>
      </c>
      <c r="BF17" s="10">
        <v>18924000000</v>
      </c>
      <c r="BG17" s="10">
        <v>40210000000</v>
      </c>
      <c r="BH17" s="10">
        <v>187000000</v>
      </c>
      <c r="BJ17" s="10">
        <v>2894000000</v>
      </c>
      <c r="BK17" s="10">
        <v>786000000</v>
      </c>
      <c r="BL17" s="10">
        <v>702000000</v>
      </c>
      <c r="BM17" s="10">
        <v>97000000</v>
      </c>
      <c r="BN17" s="10">
        <v>26045000000</v>
      </c>
      <c r="BO17" s="10">
        <v>27473000000</v>
      </c>
      <c r="BR17" s="10">
        <v>497000000</v>
      </c>
      <c r="BS17" s="10">
        <v>0</v>
      </c>
      <c r="BT17" s="10">
        <v>5734000000</v>
      </c>
      <c r="BV17" s="10">
        <v>38823000000</v>
      </c>
      <c r="BW17" s="10">
        <v>2019241973</v>
      </c>
      <c r="BX17" s="10">
        <v>73398000000</v>
      </c>
      <c r="BY17" s="10">
        <v>-79822000000</v>
      </c>
      <c r="BZ17" s="10">
        <v>212943000000</v>
      </c>
      <c r="CA17" s="10">
        <v>150315000000</v>
      </c>
      <c r="CB17" s="10">
        <v>79991000000</v>
      </c>
      <c r="CC17" s="10">
        <v>84278000000</v>
      </c>
      <c r="CD17" s="10">
        <v>128665000000</v>
      </c>
      <c r="CE17" s="10">
        <v>189757000000</v>
      </c>
      <c r="CF17" s="10">
        <v>94282000000</v>
      </c>
      <c r="CG17" s="10">
        <v>4206000000</v>
      </c>
      <c r="CH17" s="10">
        <v>1006000000</v>
      </c>
      <c r="CI17" s="10">
        <v>-11197000000</v>
      </c>
      <c r="CJ17" s="10">
        <v>313000000</v>
      </c>
      <c r="CL17" s="10">
        <v>1534000000</v>
      </c>
      <c r="CM17" s="10">
        <v>2145000000</v>
      </c>
      <c r="CN17" s="10">
        <v>6525000000</v>
      </c>
      <c r="CO17">
        <v>67000000</v>
      </c>
      <c r="CP17" s="10">
        <v>2300000000</v>
      </c>
      <c r="CQ17" s="10">
        <v>2300000000</v>
      </c>
      <c r="CR17" s="10">
        <v>1534000000</v>
      </c>
      <c r="CS17" s="10">
        <v>3851000000</v>
      </c>
      <c r="CT17" s="10">
        <v>529000000</v>
      </c>
      <c r="CU17" s="10">
        <v>4685000000</v>
      </c>
      <c r="CV17" s="10">
        <v>5288000000</v>
      </c>
      <c r="CW17" s="10">
        <v>331000000</v>
      </c>
      <c r="DA17" s="10">
        <v>356000000</v>
      </c>
      <c r="DC17">
        <v>71000000</v>
      </c>
      <c r="DD17" s="10">
        <v>4656000000</v>
      </c>
      <c r="DE17" s="10">
        <v>183000000</v>
      </c>
      <c r="DI17" s="10">
        <v>35455836</v>
      </c>
      <c r="DJ17" s="10">
        <v>3706000000</v>
      </c>
      <c r="DL17" s="10">
        <v>11000000</v>
      </c>
      <c r="DM17" s="10">
        <v>2467000000</v>
      </c>
      <c r="DP17" s="10">
        <v>1257000000</v>
      </c>
      <c r="DR17" s="10">
        <v>184000000</v>
      </c>
      <c r="DS17" s="10">
        <v>60000000</v>
      </c>
      <c r="DV17" s="41">
        <v>2022</v>
      </c>
      <c r="DX17" s="10"/>
      <c r="DY17" s="10">
        <v>1000000</v>
      </c>
      <c r="DZ17" s="10"/>
      <c r="EA17" t="s">
        <v>652</v>
      </c>
    </row>
    <row r="18" spans="1:131" x14ac:dyDescent="0.35">
      <c r="A18" t="s">
        <v>651</v>
      </c>
      <c r="B18" s="22">
        <v>45291</v>
      </c>
      <c r="C18">
        <v>2023</v>
      </c>
      <c r="D18" t="s">
        <v>212</v>
      </c>
      <c r="E18" t="s">
        <v>213</v>
      </c>
      <c r="F18" s="10">
        <v>17729000000</v>
      </c>
      <c r="G18" s="10">
        <v>4347000000</v>
      </c>
      <c r="H18" s="10">
        <v>-30431000000</v>
      </c>
      <c r="I18" s="10">
        <v>17620000000</v>
      </c>
      <c r="K18" s="10">
        <v>34000000</v>
      </c>
      <c r="L18" s="10">
        <v>151000000</v>
      </c>
      <c r="N18" s="10">
        <v>2829000000</v>
      </c>
      <c r="O18" s="10">
        <v>1736000000</v>
      </c>
      <c r="P18" s="10">
        <v>10332000000</v>
      </c>
      <c r="Q18" s="10">
        <v>10399000000</v>
      </c>
      <c r="R18" s="10">
        <v>1736000000</v>
      </c>
      <c r="S18" s="10">
        <v>81848000000</v>
      </c>
      <c r="T18" s="10">
        <v>1669000000</v>
      </c>
      <c r="U18" s="10">
        <v>1407000000</v>
      </c>
      <c r="V18" s="10">
        <v>23367000000</v>
      </c>
      <c r="W18" s="10">
        <v>703000000</v>
      </c>
      <c r="X18" s="10">
        <v>3301000000</v>
      </c>
      <c r="Y18" s="10">
        <v>4004000000</v>
      </c>
      <c r="Z18" s="10">
        <v>37156000000</v>
      </c>
      <c r="AA18" s="10">
        <v>269000000</v>
      </c>
      <c r="AB18" s="10">
        <v>23741000000</v>
      </c>
      <c r="AC18" s="10">
        <v>117043000000</v>
      </c>
      <c r="AD18" s="10">
        <v>158329000000</v>
      </c>
      <c r="AF18" s="10">
        <v>57249000000</v>
      </c>
      <c r="AG18" s="10">
        <v>27000000</v>
      </c>
      <c r="AH18" s="10">
        <v>1583000000</v>
      </c>
      <c r="AI18" s="10">
        <v>1407000000</v>
      </c>
      <c r="AJ18" s="10">
        <v>157187000000</v>
      </c>
      <c r="AK18" s="10">
        <v>178000000</v>
      </c>
      <c r="AL18" s="10">
        <v>5050000000</v>
      </c>
      <c r="AM18" s="10">
        <v>13071000000</v>
      </c>
      <c r="AN18" s="10">
        <v>1753000000</v>
      </c>
      <c r="AO18" s="10">
        <v>2126000000</v>
      </c>
      <c r="AP18" s="10">
        <v>72038000000</v>
      </c>
      <c r="AQ18" s="10">
        <v>74164000000</v>
      </c>
      <c r="AR18" s="10">
        <v>4872000000</v>
      </c>
      <c r="AS18" s="10">
        <v>320000000</v>
      </c>
      <c r="AT18" s="10">
        <v>39783000000</v>
      </c>
      <c r="AU18" s="10">
        <v>10828000000</v>
      </c>
      <c r="AV18" s="10">
        <v>65007000000</v>
      </c>
      <c r="AW18" s="10">
        <v>26818000000</v>
      </c>
      <c r="AX18" s="10">
        <v>-76481000000</v>
      </c>
      <c r="AY18" s="10">
        <v>12182000000</v>
      </c>
      <c r="AZ18" s="10">
        <v>11874000000</v>
      </c>
      <c r="BA18" s="10">
        <v>2000000</v>
      </c>
      <c r="BB18" s="10">
        <v>1983827782</v>
      </c>
      <c r="BD18" s="10">
        <v>3102000000</v>
      </c>
      <c r="BE18" s="10">
        <v>5319000000</v>
      </c>
      <c r="BF18" s="10">
        <v>23741000000</v>
      </c>
      <c r="BG18" s="10">
        <v>41286000000</v>
      </c>
      <c r="BH18" s="10">
        <v>164000000</v>
      </c>
      <c r="BI18" s="10">
        <v>-1000000</v>
      </c>
      <c r="BJ18" s="10">
        <v>2879000000</v>
      </c>
      <c r="BK18" s="10">
        <v>973000000</v>
      </c>
      <c r="BL18" s="10">
        <v>609000000</v>
      </c>
      <c r="BM18" s="10">
        <v>67000000</v>
      </c>
      <c r="BN18" s="10">
        <v>25716000000</v>
      </c>
      <c r="BO18" s="10">
        <v>27123000000</v>
      </c>
      <c r="BR18" s="10">
        <v>594000000</v>
      </c>
      <c r="BS18" s="10">
        <v>0</v>
      </c>
      <c r="BT18" s="10">
        <v>6372000000</v>
      </c>
      <c r="BV18" s="10">
        <v>42215000000</v>
      </c>
      <c r="BW18" s="10">
        <v>2019241973</v>
      </c>
      <c r="BX18" s="10">
        <v>81848000000</v>
      </c>
      <c r="BY18" s="10">
        <v>-76481000000</v>
      </c>
      <c r="BZ18" s="10">
        <v>219340000000</v>
      </c>
      <c r="CA18" s="10">
        <v>153886000000</v>
      </c>
      <c r="CB18" s="10">
        <v>78168000000</v>
      </c>
      <c r="CC18" s="10">
        <v>92676000000</v>
      </c>
      <c r="CD18" s="10">
        <v>126664000000</v>
      </c>
      <c r="CE18" s="10">
        <v>195973000000</v>
      </c>
      <c r="CF18" s="10">
        <v>89508000000</v>
      </c>
      <c r="CG18" s="10">
        <v>4732000000</v>
      </c>
      <c r="CH18" s="10">
        <v>1019000000</v>
      </c>
      <c r="CI18" s="10">
        <v>-13789000000</v>
      </c>
      <c r="CJ18" s="10">
        <v>441000000</v>
      </c>
      <c r="CL18" s="10">
        <v>1673000000</v>
      </c>
      <c r="CM18" s="10">
        <v>1668000000</v>
      </c>
      <c r="CN18" s="10">
        <v>5463000000</v>
      </c>
      <c r="CO18">
        <v>45000000</v>
      </c>
      <c r="CP18" s="10">
        <v>2935000000</v>
      </c>
      <c r="CQ18" s="10">
        <v>2935000000</v>
      </c>
      <c r="CR18" s="10">
        <v>1673000000</v>
      </c>
      <c r="CS18" s="10">
        <v>3207000000</v>
      </c>
      <c r="CT18" s="10">
        <v>588000000</v>
      </c>
      <c r="CU18" s="10">
        <v>4201000000</v>
      </c>
      <c r="CV18" s="10">
        <v>6131000000</v>
      </c>
      <c r="CW18" s="10">
        <v>505000000</v>
      </c>
      <c r="DA18" s="10">
        <v>376000000</v>
      </c>
      <c r="DC18">
        <v>70000000</v>
      </c>
      <c r="DD18" s="10">
        <v>4872000000</v>
      </c>
      <c r="DE18" s="10">
        <v>199000000</v>
      </c>
      <c r="DI18" s="10">
        <v>35414191</v>
      </c>
      <c r="DJ18" s="10">
        <v>3465000000</v>
      </c>
      <c r="DL18" s="10">
        <v>12000000</v>
      </c>
      <c r="DM18" s="10">
        <v>2619000000</v>
      </c>
      <c r="DP18" s="10">
        <v>1301000000</v>
      </c>
      <c r="DR18" s="10">
        <v>151000000</v>
      </c>
      <c r="DS18" s="10">
        <v>44000000</v>
      </c>
      <c r="DV18" s="41">
        <v>2023</v>
      </c>
      <c r="DX18" s="10"/>
      <c r="DY18" s="10">
        <v>1000000</v>
      </c>
      <c r="DZ18" s="10"/>
      <c r="EA18" t="s">
        <v>652</v>
      </c>
    </row>
    <row r="19" spans="1:131" x14ac:dyDescent="0.35">
      <c r="A19" t="s">
        <v>653</v>
      </c>
      <c r="B19" s="22">
        <v>43830</v>
      </c>
      <c r="C19">
        <v>2019</v>
      </c>
      <c r="D19" t="s">
        <v>212</v>
      </c>
      <c r="E19" t="s">
        <v>213</v>
      </c>
      <c r="AU19" s="10">
        <v>44000000</v>
      </c>
      <c r="CG19" s="10">
        <v>2466000000</v>
      </c>
      <c r="CO19"/>
      <c r="DC19"/>
      <c r="DV19" s="41">
        <v>2019</v>
      </c>
      <c r="DX19" s="10"/>
      <c r="DY19" s="10"/>
      <c r="DZ19" s="10"/>
      <c r="EA19" t="s">
        <v>654</v>
      </c>
    </row>
    <row r="20" spans="1:131" x14ac:dyDescent="0.35">
      <c r="A20" t="s">
        <v>653</v>
      </c>
      <c r="B20" s="22">
        <v>44196</v>
      </c>
      <c r="C20">
        <v>2020</v>
      </c>
      <c r="D20" t="s">
        <v>212</v>
      </c>
      <c r="E20" t="s">
        <v>213</v>
      </c>
      <c r="F20" s="10">
        <v>880000000</v>
      </c>
      <c r="G20" s="10">
        <v>1978000000</v>
      </c>
      <c r="H20" s="10">
        <v>-10936000000</v>
      </c>
      <c r="I20" s="10">
        <v>221000000</v>
      </c>
      <c r="M20" s="10">
        <v>7425000000</v>
      </c>
      <c r="O20" s="10">
        <v>279000000</v>
      </c>
      <c r="P20" s="10">
        <v>3160000000</v>
      </c>
      <c r="Q20" s="10">
        <v>3160000000</v>
      </c>
      <c r="R20" s="10">
        <v>279000000</v>
      </c>
      <c r="S20" s="10">
        <v>6015000000</v>
      </c>
      <c r="T20" s="10">
        <v>1921000000</v>
      </c>
      <c r="U20" s="10">
        <v>3163000000</v>
      </c>
      <c r="V20" s="10">
        <v>19378000000</v>
      </c>
      <c r="X20" s="10">
        <v>500000000</v>
      </c>
      <c r="Y20" s="10">
        <v>500000000</v>
      </c>
      <c r="Z20" s="10">
        <v>13933000000</v>
      </c>
      <c r="AB20" s="10">
        <v>-16121000000</v>
      </c>
      <c r="AC20" s="10">
        <v>10806000000</v>
      </c>
      <c r="AD20" s="10">
        <v>13818000000</v>
      </c>
      <c r="AF20" s="10">
        <v>18149000000</v>
      </c>
      <c r="AJ20" s="10">
        <v>18184000000</v>
      </c>
      <c r="AM20" s="10">
        <v>142000000</v>
      </c>
      <c r="AP20" s="10">
        <v>11669000000</v>
      </c>
      <c r="AQ20" s="10">
        <v>11669000000</v>
      </c>
      <c r="AT20" s="10">
        <v>8661000000</v>
      </c>
      <c r="AU20" s="10">
        <v>23000000</v>
      </c>
      <c r="AV20" s="10">
        <v>9009000000</v>
      </c>
      <c r="AW20" s="10">
        <v>7213000000</v>
      </c>
      <c r="AX20" s="10">
        <v>-7803000000</v>
      </c>
      <c r="BB20" s="10">
        <v>279000000</v>
      </c>
      <c r="BC20" s="10">
        <v>1150000000</v>
      </c>
      <c r="BD20" s="10">
        <v>500000000</v>
      </c>
      <c r="BE20" s="10">
        <v>1845000000</v>
      </c>
      <c r="BF20" s="10">
        <v>-16121000000</v>
      </c>
      <c r="BG20" s="10">
        <v>3012000000</v>
      </c>
      <c r="BH20" s="10">
        <v>6826000000</v>
      </c>
      <c r="BI20" s="10">
        <v>6196000000</v>
      </c>
      <c r="BL20" s="10">
        <v>9545000000</v>
      </c>
      <c r="BN20" s="10">
        <v>880000000</v>
      </c>
      <c r="BO20" s="10">
        <v>4043000000</v>
      </c>
      <c r="BS20" s="10">
        <v>0</v>
      </c>
      <c r="BT20" s="10">
        <v>11523000000</v>
      </c>
      <c r="BV20" s="10">
        <v>21636000000</v>
      </c>
      <c r="BW20" s="10">
        <v>279000000</v>
      </c>
      <c r="BX20" s="10">
        <v>6015000000</v>
      </c>
      <c r="BY20" s="10">
        <v>-7803000000</v>
      </c>
      <c r="BZ20" s="10">
        <v>50710000000</v>
      </c>
      <c r="CA20" s="10">
        <v>17684000000</v>
      </c>
      <c r="CB20" s="10">
        <v>12169000000</v>
      </c>
      <c r="CC20" s="10">
        <v>6038000000</v>
      </c>
      <c r="CD20" s="10">
        <v>44672000000</v>
      </c>
      <c r="CE20" s="10">
        <v>31332000000</v>
      </c>
      <c r="CF20" s="10">
        <v>30739000000</v>
      </c>
      <c r="CG20" s="10">
        <v>3163000000</v>
      </c>
      <c r="CI20" s="10">
        <v>5445000000</v>
      </c>
      <c r="CJ20" s="10">
        <v>7545000000</v>
      </c>
      <c r="CK20" s="10">
        <v>7545000000</v>
      </c>
      <c r="CL20" s="10">
        <v>12874000000</v>
      </c>
      <c r="CM20" s="10">
        <v>240000000</v>
      </c>
      <c r="CN20" s="10">
        <v>3545000000</v>
      </c>
      <c r="CO20"/>
      <c r="CP20" s="10">
        <v>3475000000</v>
      </c>
      <c r="CQ20" s="10">
        <v>3475000000</v>
      </c>
      <c r="CR20" s="10">
        <v>12874000000</v>
      </c>
      <c r="CS20" s="10">
        <v>612000000</v>
      </c>
      <c r="CT20" s="10">
        <v>2693000000</v>
      </c>
      <c r="DC20"/>
      <c r="DV20" s="41">
        <v>2020</v>
      </c>
      <c r="DX20" s="10"/>
      <c r="DY20" s="10"/>
      <c r="DZ20" s="10"/>
      <c r="EA20" t="s">
        <v>654</v>
      </c>
    </row>
    <row r="21" spans="1:131" x14ac:dyDescent="0.35">
      <c r="A21" t="s">
        <v>653</v>
      </c>
      <c r="B21" s="22">
        <v>44561</v>
      </c>
      <c r="C21">
        <v>2021</v>
      </c>
      <c r="D21" t="s">
        <v>212</v>
      </c>
      <c r="E21" t="s">
        <v>213</v>
      </c>
      <c r="F21" s="10">
        <v>780000000</v>
      </c>
      <c r="G21" s="10">
        <v>1963000000</v>
      </c>
      <c r="H21" s="10">
        <v>-11503000000</v>
      </c>
      <c r="I21" s="10">
        <v>94000000</v>
      </c>
      <c r="M21" s="10">
        <v>8003000000</v>
      </c>
      <c r="O21" s="10">
        <v>271000000</v>
      </c>
      <c r="P21" s="10">
        <v>3604000000</v>
      </c>
      <c r="Q21" s="10">
        <v>3604000000</v>
      </c>
      <c r="R21" s="10">
        <v>271000000</v>
      </c>
      <c r="S21" s="10">
        <v>10959000000</v>
      </c>
      <c r="T21" s="10">
        <v>1900000000</v>
      </c>
      <c r="U21" s="10">
        <v>3108000000</v>
      </c>
      <c r="V21" s="10">
        <v>19815000000</v>
      </c>
      <c r="X21" s="10">
        <v>6000000</v>
      </c>
      <c r="Y21" s="10">
        <v>6000000</v>
      </c>
      <c r="Z21" s="10">
        <v>13997000000</v>
      </c>
      <c r="AB21" s="10">
        <v>-11006000000</v>
      </c>
      <c r="AC21" s="10">
        <v>10813000000</v>
      </c>
      <c r="AD21" s="10">
        <v>13519000000</v>
      </c>
      <c r="AF21" s="10">
        <v>19100000000</v>
      </c>
      <c r="AJ21" s="10">
        <v>22629000000</v>
      </c>
      <c r="AM21" s="10">
        <v>144000000</v>
      </c>
      <c r="AP21" s="10">
        <v>11670000000</v>
      </c>
      <c r="AQ21" s="10">
        <v>11670000000</v>
      </c>
      <c r="AT21" s="10">
        <v>9053000000</v>
      </c>
      <c r="AU21" s="10">
        <v>0</v>
      </c>
      <c r="AV21" s="10">
        <v>8066000000</v>
      </c>
      <c r="AW21" s="10">
        <v>7597000000</v>
      </c>
      <c r="AX21" s="10">
        <v>-2560000000</v>
      </c>
      <c r="BB21" s="10">
        <v>271000000</v>
      </c>
      <c r="BC21" s="10">
        <v>688000000</v>
      </c>
      <c r="BD21" s="10">
        <v>6000000</v>
      </c>
      <c r="BE21" s="10">
        <v>2002000000</v>
      </c>
      <c r="BF21" s="10">
        <v>-11006000000</v>
      </c>
      <c r="BG21" s="10">
        <v>2706000000</v>
      </c>
      <c r="BH21" s="10">
        <v>7652000000</v>
      </c>
      <c r="BI21" s="10">
        <v>5928000000</v>
      </c>
      <c r="BL21" s="10">
        <v>10579000000</v>
      </c>
      <c r="BN21" s="10">
        <v>780000000</v>
      </c>
      <c r="BO21" s="10">
        <v>3888000000</v>
      </c>
      <c r="BS21" s="10">
        <v>0</v>
      </c>
      <c r="BT21" s="10">
        <v>12542000000</v>
      </c>
      <c r="BV21" s="10">
        <v>21600000000</v>
      </c>
      <c r="BW21" s="10">
        <v>271000000</v>
      </c>
      <c r="BX21" s="10">
        <v>10959000000</v>
      </c>
      <c r="BY21" s="10">
        <v>-2560000000</v>
      </c>
      <c r="BZ21" s="10">
        <v>50873000000</v>
      </c>
      <c r="CA21" s="10">
        <v>22629000000</v>
      </c>
      <c r="CB21" s="10">
        <v>11670000000</v>
      </c>
      <c r="CC21" s="10">
        <v>10959000000</v>
      </c>
      <c r="CD21" s="10">
        <v>39914000000</v>
      </c>
      <c r="CE21" s="10">
        <v>31058000000</v>
      </c>
      <c r="CF21" s="10">
        <v>25917000000</v>
      </c>
      <c r="CG21" s="10">
        <v>3108000000</v>
      </c>
      <c r="CI21" s="10">
        <v>5818000000</v>
      </c>
      <c r="CJ21" s="10">
        <v>8107000000</v>
      </c>
      <c r="CK21" s="10">
        <v>8107000000</v>
      </c>
      <c r="CL21" s="10">
        <v>8319000000</v>
      </c>
      <c r="CM21" s="10">
        <v>194000000</v>
      </c>
      <c r="CN21" s="10">
        <v>2981000000</v>
      </c>
      <c r="CO21"/>
      <c r="CP21" s="10">
        <v>2290000000</v>
      </c>
      <c r="CQ21" s="10">
        <v>2290000000</v>
      </c>
      <c r="CR21" s="10">
        <v>8319000000</v>
      </c>
      <c r="CS21" s="10">
        <v>624000000</v>
      </c>
      <c r="CT21" s="10">
        <v>2163000000</v>
      </c>
      <c r="DC21"/>
      <c r="DV21" s="41">
        <v>2021</v>
      </c>
      <c r="DX21" s="10"/>
      <c r="DY21" s="10"/>
      <c r="DZ21" s="10"/>
      <c r="EA21" t="s">
        <v>654</v>
      </c>
    </row>
    <row r="22" spans="1:131" x14ac:dyDescent="0.35">
      <c r="A22" t="s">
        <v>653</v>
      </c>
      <c r="B22" s="22">
        <v>44926</v>
      </c>
      <c r="C22">
        <v>2022</v>
      </c>
      <c r="D22" t="s">
        <v>212</v>
      </c>
      <c r="E22" t="s">
        <v>213</v>
      </c>
      <c r="F22" s="10">
        <v>2117000000</v>
      </c>
      <c r="G22" s="10">
        <v>2505000000</v>
      </c>
      <c r="H22" s="10">
        <v>-12163000000</v>
      </c>
      <c r="I22" s="10">
        <v>92000000</v>
      </c>
      <c r="M22" s="10">
        <v>8555000000</v>
      </c>
      <c r="O22" s="10">
        <v>254000000</v>
      </c>
      <c r="P22" s="10">
        <v>2547000000</v>
      </c>
      <c r="Q22" s="10">
        <v>2547000000</v>
      </c>
      <c r="R22" s="10">
        <v>254000000</v>
      </c>
      <c r="S22" s="10">
        <v>9266000000</v>
      </c>
      <c r="T22" s="10">
        <v>2036000000</v>
      </c>
      <c r="U22" s="10">
        <v>3075000000</v>
      </c>
      <c r="V22" s="10">
        <v>20991000000</v>
      </c>
      <c r="X22" s="10">
        <v>118000000</v>
      </c>
      <c r="Y22" s="10">
        <v>118000000</v>
      </c>
      <c r="Z22" s="10">
        <v>15887000000</v>
      </c>
      <c r="AB22" s="10">
        <v>-8023000000</v>
      </c>
      <c r="AC22" s="10">
        <v>10780000000</v>
      </c>
      <c r="AD22" s="10">
        <v>13239000000</v>
      </c>
      <c r="AF22" s="10">
        <v>20138000000</v>
      </c>
      <c r="AJ22" s="10">
        <v>24813000000</v>
      </c>
      <c r="AM22" s="10">
        <v>147000000</v>
      </c>
      <c r="AP22" s="10">
        <v>15429000000</v>
      </c>
      <c r="AQ22" s="10">
        <v>15429000000</v>
      </c>
      <c r="AT22" s="10">
        <v>9400000000</v>
      </c>
      <c r="AV22" s="10">
        <v>13000000000</v>
      </c>
      <c r="AW22" s="10">
        <v>7975000000</v>
      </c>
      <c r="AX22" s="10">
        <v>-3973000000</v>
      </c>
      <c r="BB22" s="10">
        <v>254000000</v>
      </c>
      <c r="BC22" s="10">
        <v>533000000</v>
      </c>
      <c r="BD22" s="10">
        <v>118000000</v>
      </c>
      <c r="BE22" s="10">
        <v>2089000000</v>
      </c>
      <c r="BF22" s="10">
        <v>-8023000000</v>
      </c>
      <c r="BG22" s="10">
        <v>2459000000</v>
      </c>
      <c r="BH22" s="10">
        <v>6931000000</v>
      </c>
      <c r="BI22" s="10">
        <v>6826000000</v>
      </c>
      <c r="BL22" s="10">
        <v>12318000000</v>
      </c>
      <c r="BN22" s="10">
        <v>2117000000</v>
      </c>
      <c r="BO22" s="10">
        <v>5192000000</v>
      </c>
      <c r="BS22" s="10">
        <v>0</v>
      </c>
      <c r="BT22" s="10">
        <v>14823000000</v>
      </c>
      <c r="BV22" s="10">
        <v>16943000000</v>
      </c>
      <c r="BW22" s="10">
        <v>254000000</v>
      </c>
      <c r="BX22" s="10">
        <v>9266000000</v>
      </c>
      <c r="BY22" s="10">
        <v>-3973000000</v>
      </c>
      <c r="BZ22" s="10">
        <v>52880000000</v>
      </c>
      <c r="CA22" s="10">
        <v>24695000000</v>
      </c>
      <c r="CB22" s="10">
        <v>15547000000</v>
      </c>
      <c r="CC22" s="10">
        <v>9266000000</v>
      </c>
      <c r="CD22" s="10">
        <v>43614000000</v>
      </c>
      <c r="CE22" s="10">
        <v>31889000000</v>
      </c>
      <c r="CF22" s="10">
        <v>27727000000</v>
      </c>
      <c r="CI22" s="10">
        <v>5104000000</v>
      </c>
      <c r="CJ22" s="10">
        <v>8488000000</v>
      </c>
      <c r="CK22" s="10">
        <v>8488000000</v>
      </c>
      <c r="CL22" s="10">
        <v>5472000000</v>
      </c>
      <c r="CM22" s="10">
        <v>192000000</v>
      </c>
      <c r="CN22" s="10">
        <v>3088000000</v>
      </c>
      <c r="CO22"/>
      <c r="CP22" s="10">
        <v>3744000000</v>
      </c>
      <c r="CQ22" s="10">
        <v>3744000000</v>
      </c>
      <c r="CR22" s="10">
        <v>5472000000</v>
      </c>
      <c r="CS22" s="10">
        <v>599000000</v>
      </c>
      <c r="CT22" s="10">
        <v>2297000000</v>
      </c>
      <c r="DC22"/>
      <c r="DV22" s="41">
        <v>2022</v>
      </c>
      <c r="DX22" s="10"/>
      <c r="DY22" s="10"/>
      <c r="DZ22" s="10"/>
      <c r="EA22" t="s">
        <v>654</v>
      </c>
    </row>
    <row r="23" spans="1:131" x14ac:dyDescent="0.35">
      <c r="A23" t="s">
        <v>653</v>
      </c>
      <c r="B23" s="22">
        <v>45291</v>
      </c>
      <c r="C23">
        <v>2023</v>
      </c>
      <c r="D23" t="s">
        <v>212</v>
      </c>
      <c r="E23" t="s">
        <v>213</v>
      </c>
      <c r="F23" s="10">
        <v>2312000000</v>
      </c>
      <c r="G23" s="10">
        <v>2132000000</v>
      </c>
      <c r="H23" s="10">
        <v>-12812000000</v>
      </c>
      <c r="I23" s="10">
        <v>0</v>
      </c>
      <c r="M23" s="10">
        <v>9049000000</v>
      </c>
      <c r="O23" s="10">
        <v>240000000</v>
      </c>
      <c r="P23" s="10">
        <v>1442000000</v>
      </c>
      <c r="Q23" s="10">
        <v>1442000000</v>
      </c>
      <c r="R23" s="10">
        <v>240000000</v>
      </c>
      <c r="S23" s="10">
        <v>6835000000</v>
      </c>
      <c r="T23" s="10">
        <v>2081000000</v>
      </c>
      <c r="U23" s="10">
        <v>3133000000</v>
      </c>
      <c r="V23" s="10">
        <v>20521000000</v>
      </c>
      <c r="X23" s="10">
        <v>168000000</v>
      </c>
      <c r="Y23" s="10">
        <v>168000000</v>
      </c>
      <c r="Z23" s="10">
        <v>16937000000</v>
      </c>
      <c r="AB23" s="10">
        <v>-8803000000</v>
      </c>
      <c r="AC23" s="10">
        <v>10799000000</v>
      </c>
      <c r="AD23" s="10">
        <v>13011000000</v>
      </c>
      <c r="AF23" s="10">
        <v>21182000000</v>
      </c>
      <c r="AJ23" s="10">
        <v>24294000000</v>
      </c>
      <c r="AM23" s="10">
        <v>144000000</v>
      </c>
      <c r="AP23" s="10">
        <v>17291000000</v>
      </c>
      <c r="AQ23" s="10">
        <v>17291000000</v>
      </c>
      <c r="AT23" s="10">
        <v>9908000000</v>
      </c>
      <c r="AV23" s="10">
        <v>16017000000</v>
      </c>
      <c r="AW23" s="10">
        <v>8370000000</v>
      </c>
      <c r="AX23" s="10">
        <v>-6176000000</v>
      </c>
      <c r="BB23" s="10">
        <v>240000000</v>
      </c>
      <c r="BC23" s="10">
        <v>632000000</v>
      </c>
      <c r="BD23" s="10">
        <v>168000000</v>
      </c>
      <c r="BE23" s="10">
        <v>2134000000</v>
      </c>
      <c r="BF23" s="10">
        <v>-8803000000</v>
      </c>
      <c r="BG23" s="10">
        <v>2212000000</v>
      </c>
      <c r="BH23" s="10">
        <v>7601000000</v>
      </c>
      <c r="BI23" s="10">
        <v>5231000000</v>
      </c>
      <c r="BL23" s="10">
        <v>13183000000</v>
      </c>
      <c r="BN23" s="10">
        <v>2312000000</v>
      </c>
      <c r="BO23" s="10">
        <v>5445000000</v>
      </c>
      <c r="BS23" s="10">
        <v>0</v>
      </c>
      <c r="BT23" s="10">
        <v>15315000000</v>
      </c>
      <c r="BV23" s="10">
        <v>15398000000</v>
      </c>
      <c r="BW23" s="10">
        <v>242000000</v>
      </c>
      <c r="BX23" s="10">
        <v>6835000000</v>
      </c>
      <c r="BY23" s="10">
        <v>-6176000000</v>
      </c>
      <c r="BZ23" s="10">
        <v>52456000000</v>
      </c>
      <c r="CA23" s="10">
        <v>24126000000</v>
      </c>
      <c r="CB23" s="10">
        <v>17459000000</v>
      </c>
      <c r="CC23" s="10">
        <v>6835000000</v>
      </c>
      <c r="CD23" s="10">
        <v>45621000000</v>
      </c>
      <c r="CE23" s="10">
        <v>31935000000</v>
      </c>
      <c r="CF23" s="10">
        <v>28684000000</v>
      </c>
      <c r="CI23" s="10">
        <v>3584000000</v>
      </c>
      <c r="CJ23" s="10">
        <v>9190000000</v>
      </c>
      <c r="CK23" s="10">
        <v>9190000000</v>
      </c>
      <c r="CL23" s="10">
        <v>6162000000</v>
      </c>
      <c r="CM23" s="10">
        <v>188000000</v>
      </c>
      <c r="CN23" s="10">
        <v>3132000000</v>
      </c>
      <c r="CO23"/>
      <c r="CP23" s="10">
        <v>2953000000</v>
      </c>
      <c r="CQ23" s="10">
        <v>2953000000</v>
      </c>
      <c r="CR23" s="10">
        <v>6162000000</v>
      </c>
      <c r="CS23" s="10">
        <v>606000000</v>
      </c>
      <c r="CT23" s="10">
        <v>2338000000</v>
      </c>
      <c r="DC23"/>
      <c r="DI23" s="10">
        <v>2000000</v>
      </c>
      <c r="DV23" s="41">
        <v>2023</v>
      </c>
      <c r="DX23" s="10"/>
      <c r="DY23" s="10"/>
      <c r="DZ23" s="10"/>
      <c r="EA23" t="s">
        <v>654</v>
      </c>
    </row>
    <row r="24" spans="1:131" x14ac:dyDescent="0.35">
      <c r="A24" t="s">
        <v>655</v>
      </c>
      <c r="B24" s="22">
        <v>43830</v>
      </c>
      <c r="C24">
        <v>2019</v>
      </c>
      <c r="D24" t="s">
        <v>212</v>
      </c>
      <c r="E24" t="s">
        <v>213</v>
      </c>
      <c r="W24" s="10">
        <v>162000000</v>
      </c>
      <c r="BD24" s="10">
        <v>11672000000</v>
      </c>
      <c r="BR24" s="10">
        <v>1631000000</v>
      </c>
      <c r="CO24"/>
      <c r="DC24"/>
      <c r="DD24" s="10">
        <v>3695000000</v>
      </c>
      <c r="DE24" s="10">
        <v>4000000</v>
      </c>
      <c r="DV24" s="41">
        <v>2019</v>
      </c>
      <c r="DX24" s="10"/>
      <c r="DY24" s="10"/>
      <c r="DZ24" s="10"/>
      <c r="EA24" t="s">
        <v>656</v>
      </c>
    </row>
    <row r="25" spans="1:131" x14ac:dyDescent="0.35">
      <c r="A25" t="s">
        <v>655</v>
      </c>
      <c r="B25" s="22">
        <v>44196</v>
      </c>
      <c r="C25">
        <v>2020</v>
      </c>
      <c r="D25" t="s">
        <v>212</v>
      </c>
      <c r="E25" t="s">
        <v>213</v>
      </c>
      <c r="F25" s="10">
        <v>31836000000</v>
      </c>
      <c r="G25" s="10">
        <v>20215000000</v>
      </c>
      <c r="H25" s="10">
        <v>-200436000000</v>
      </c>
      <c r="I25" s="10">
        <v>130175000000</v>
      </c>
      <c r="J25" s="10">
        <v>-1221000000</v>
      </c>
      <c r="M25" s="10">
        <v>39418000000</v>
      </c>
      <c r="N25" s="10">
        <v>22202000000</v>
      </c>
      <c r="O25" s="10">
        <v>7621000000</v>
      </c>
      <c r="P25" s="10">
        <v>9740000000</v>
      </c>
      <c r="Q25" s="10">
        <v>9740000000</v>
      </c>
      <c r="R25" s="10">
        <v>7621000000</v>
      </c>
      <c r="S25" s="10">
        <v>161673000000</v>
      </c>
      <c r="T25" s="10">
        <v>4099000000</v>
      </c>
      <c r="U25" s="10">
        <v>8150000000</v>
      </c>
      <c r="V25" s="10">
        <v>52008000000</v>
      </c>
      <c r="W25" s="10">
        <v>189000000</v>
      </c>
      <c r="X25" s="10">
        <v>3470000000</v>
      </c>
      <c r="Y25" s="10">
        <v>3470000000</v>
      </c>
      <c r="Z25" s="10">
        <v>63438000000</v>
      </c>
      <c r="AB25" s="10">
        <v>4330000000</v>
      </c>
      <c r="AC25" s="10">
        <v>135259000000</v>
      </c>
      <c r="AD25" s="10">
        <v>281575000000</v>
      </c>
      <c r="AE25" s="10">
        <v>21436000000</v>
      </c>
      <c r="AF25" s="10">
        <v>352465000000</v>
      </c>
      <c r="AI25" s="10">
        <v>2454000000</v>
      </c>
      <c r="AJ25" s="10">
        <v>318918000000</v>
      </c>
      <c r="AL25" s="10">
        <v>1780000000</v>
      </c>
      <c r="AM25" s="10">
        <v>2571000000</v>
      </c>
      <c r="AO25" s="10">
        <v>22202000000</v>
      </c>
      <c r="AP25" s="10">
        <v>153775000000</v>
      </c>
      <c r="AQ25" s="10">
        <v>175977000000</v>
      </c>
      <c r="AR25" s="10">
        <v>1780000000</v>
      </c>
      <c r="AT25" s="10">
        <v>114463000000</v>
      </c>
      <c r="AU25" s="10">
        <v>17567000000</v>
      </c>
      <c r="AV25" s="10">
        <v>147505000000</v>
      </c>
      <c r="AW25" s="10">
        <v>152029000000</v>
      </c>
      <c r="AX25" s="10">
        <v>-119902000000</v>
      </c>
      <c r="AY25" s="10">
        <v>60472000000</v>
      </c>
      <c r="AZ25" s="10">
        <v>60472000000</v>
      </c>
      <c r="BB25" s="10">
        <v>7125922015</v>
      </c>
      <c r="BC25" s="10">
        <v>20231000000</v>
      </c>
      <c r="BD25" s="10">
        <v>3470000000</v>
      </c>
      <c r="BF25" s="10">
        <v>4330000000</v>
      </c>
      <c r="BG25" s="10">
        <v>146316000000</v>
      </c>
      <c r="BH25" s="10">
        <v>38369000000</v>
      </c>
      <c r="BI25" s="10">
        <v>28358000000</v>
      </c>
      <c r="BJ25" s="10">
        <v>7631000000</v>
      </c>
      <c r="BK25" s="10">
        <v>191914000000</v>
      </c>
      <c r="BN25" s="10">
        <v>44227000000</v>
      </c>
      <c r="BO25" s="10">
        <v>52377000000</v>
      </c>
      <c r="BP25" s="10">
        <v>1415000000</v>
      </c>
      <c r="BR25" s="10">
        <v>18358000000</v>
      </c>
      <c r="BS25" s="10">
        <v>0</v>
      </c>
      <c r="BT25" s="10">
        <v>20215000000</v>
      </c>
      <c r="BV25" s="10">
        <v>37457000000</v>
      </c>
      <c r="BW25" s="10">
        <v>7620748598</v>
      </c>
      <c r="BX25" s="10">
        <v>161673000000</v>
      </c>
      <c r="BY25" s="10">
        <v>-119902000000</v>
      </c>
      <c r="BZ25" s="10">
        <v>525761000000</v>
      </c>
      <c r="CA25" s="10">
        <v>315448000000</v>
      </c>
      <c r="CB25" s="10">
        <v>179447000000</v>
      </c>
      <c r="CC25" s="10">
        <v>179240000000</v>
      </c>
      <c r="CD25" s="10">
        <v>346521000000</v>
      </c>
      <c r="CE25" s="10">
        <v>473753000000</v>
      </c>
      <c r="CF25" s="10">
        <v>283083000000</v>
      </c>
      <c r="CG25" s="10">
        <v>1019000000</v>
      </c>
      <c r="CI25" s="10">
        <v>-11430000000</v>
      </c>
      <c r="CJ25" s="10">
        <v>6176000000</v>
      </c>
      <c r="CK25" s="10">
        <v>6176000000</v>
      </c>
      <c r="CL25" s="10">
        <v>18276000000</v>
      </c>
      <c r="CN25" s="10">
        <v>3695000000</v>
      </c>
      <c r="CO25"/>
      <c r="CR25" s="10">
        <v>18276000000</v>
      </c>
      <c r="CU25" s="10">
        <v>6898000000</v>
      </c>
      <c r="CV25" s="10">
        <v>2842000000</v>
      </c>
      <c r="CY25" s="10">
        <v>0</v>
      </c>
      <c r="DA25" s="10">
        <v>3741000000</v>
      </c>
      <c r="DC25"/>
      <c r="DD25" s="10">
        <v>1780000000</v>
      </c>
      <c r="DE25" s="10">
        <v>0</v>
      </c>
      <c r="DG25" s="10">
        <v>118000000</v>
      </c>
      <c r="DH25" s="10">
        <v>0</v>
      </c>
      <c r="DI25" s="10">
        <v>494826583</v>
      </c>
      <c r="DJ25" s="10">
        <v>17910000000</v>
      </c>
      <c r="DV25" s="41">
        <v>2020</v>
      </c>
      <c r="DX25" s="10"/>
      <c r="DY25" s="10"/>
      <c r="DZ25" s="10"/>
      <c r="EA25" t="s">
        <v>656</v>
      </c>
    </row>
    <row r="26" spans="1:131" x14ac:dyDescent="0.35">
      <c r="A26" t="s">
        <v>655</v>
      </c>
      <c r="B26" s="22">
        <v>44561</v>
      </c>
      <c r="C26">
        <v>2021</v>
      </c>
      <c r="D26" t="s">
        <v>212</v>
      </c>
      <c r="E26" t="s">
        <v>213</v>
      </c>
      <c r="F26" s="10">
        <v>29511000000</v>
      </c>
      <c r="G26" s="10">
        <v>12313000000</v>
      </c>
      <c r="H26" s="10">
        <v>-202964000000</v>
      </c>
      <c r="I26" s="10">
        <v>130112000000</v>
      </c>
      <c r="J26" s="10">
        <v>-658000000</v>
      </c>
      <c r="K26" s="10">
        <v>119776000000</v>
      </c>
      <c r="M26" s="10">
        <v>38204000000</v>
      </c>
      <c r="N26" s="10">
        <v>18956000000</v>
      </c>
      <c r="O26" s="10">
        <v>7621000000</v>
      </c>
      <c r="P26" s="10">
        <v>19223000000</v>
      </c>
      <c r="Q26" s="10">
        <v>19223000000</v>
      </c>
      <c r="R26" s="10">
        <v>7621000000</v>
      </c>
      <c r="S26" s="10">
        <v>166332000000</v>
      </c>
      <c r="T26" s="10">
        <v>5425000000</v>
      </c>
      <c r="U26" s="10">
        <v>4520000000</v>
      </c>
      <c r="V26" s="10">
        <v>170768000000</v>
      </c>
      <c r="X26" s="10">
        <v>25865000000</v>
      </c>
      <c r="Y26" s="10">
        <v>25865000000</v>
      </c>
      <c r="Z26" s="10">
        <v>106230000000</v>
      </c>
      <c r="AB26" s="10">
        <v>3529000000</v>
      </c>
      <c r="AC26" s="10">
        <v>92740000000</v>
      </c>
      <c r="AD26" s="10">
        <v>211961000000</v>
      </c>
      <c r="AE26" s="10">
        <v>12971000000</v>
      </c>
      <c r="AF26" s="10">
        <v>346437000000</v>
      </c>
      <c r="AI26" s="10">
        <v>2438000000</v>
      </c>
      <c r="AJ26" s="10">
        <v>343208000000</v>
      </c>
      <c r="AL26" s="10">
        <v>6168000000</v>
      </c>
      <c r="AM26" s="10">
        <v>1401000000</v>
      </c>
      <c r="AO26" s="10">
        <v>18956000000</v>
      </c>
      <c r="AP26" s="10">
        <v>151011000000</v>
      </c>
      <c r="AQ26" s="10">
        <v>169967000000</v>
      </c>
      <c r="AR26" s="10">
        <v>6168000000</v>
      </c>
      <c r="AT26" s="10">
        <v>113590000000</v>
      </c>
      <c r="AU26" s="10">
        <v>17523000000</v>
      </c>
      <c r="AV26" s="10">
        <v>157653000000</v>
      </c>
      <c r="AW26" s="10">
        <v>143473000000</v>
      </c>
      <c r="AX26" s="10">
        <v>-45629000000</v>
      </c>
      <c r="AY26" s="10">
        <v>53767000000</v>
      </c>
      <c r="AZ26" s="10">
        <v>53767000000</v>
      </c>
      <c r="BB26" s="10">
        <v>7141063893</v>
      </c>
      <c r="BC26" s="10">
        <v>16131000000</v>
      </c>
      <c r="BD26" s="10">
        <v>7934000000</v>
      </c>
      <c r="BE26" s="10">
        <v>33555000000</v>
      </c>
      <c r="BF26" s="10">
        <v>-1422000000</v>
      </c>
      <c r="BG26" s="10">
        <v>119221000000</v>
      </c>
      <c r="BH26" s="10">
        <v>19252000000</v>
      </c>
      <c r="BI26" s="10">
        <v>25243000000</v>
      </c>
      <c r="BJ26" s="10">
        <v>2682000000</v>
      </c>
      <c r="BK26" s="10">
        <v>187817000000</v>
      </c>
      <c r="BN26" s="10">
        <v>37090000000</v>
      </c>
      <c r="BO26" s="10">
        <v>41610000000</v>
      </c>
      <c r="BP26" s="10">
        <v>1234000000</v>
      </c>
      <c r="BR26" s="10">
        <v>17793000000</v>
      </c>
      <c r="BS26" s="10">
        <v>0</v>
      </c>
      <c r="BT26" s="10">
        <v>12313000000</v>
      </c>
      <c r="BV26" s="10">
        <v>42350000000</v>
      </c>
      <c r="BW26" s="10">
        <v>7620748598</v>
      </c>
      <c r="BX26" s="10">
        <v>166332000000</v>
      </c>
      <c r="BY26" s="10">
        <v>-45629000000</v>
      </c>
      <c r="BZ26" s="10">
        <v>551622000000</v>
      </c>
      <c r="CA26" s="10">
        <v>317343000000</v>
      </c>
      <c r="CB26" s="10">
        <v>195832000000</v>
      </c>
      <c r="CC26" s="10">
        <v>183855000000</v>
      </c>
      <c r="CD26" s="10">
        <v>367767000000</v>
      </c>
      <c r="CE26" s="10">
        <v>380854000000</v>
      </c>
      <c r="CF26" s="10">
        <v>261537000000</v>
      </c>
      <c r="CG26" s="10">
        <v>1148000000</v>
      </c>
      <c r="CI26" s="10">
        <v>64538000000</v>
      </c>
      <c r="CJ26" s="10">
        <v>3966000000</v>
      </c>
      <c r="CK26" s="10">
        <v>3966000000</v>
      </c>
      <c r="CL26" s="10">
        <v>12560000000</v>
      </c>
      <c r="CN26" s="10">
        <v>3325000000</v>
      </c>
      <c r="CO26"/>
      <c r="CR26" s="10">
        <v>12560000000</v>
      </c>
      <c r="CU26" s="10">
        <v>15965000000</v>
      </c>
      <c r="CV26" s="10">
        <v>5204000000</v>
      </c>
      <c r="CY26" s="10">
        <v>6586000000</v>
      </c>
      <c r="CZ26" s="10">
        <v>9179000000</v>
      </c>
      <c r="DA26" s="10">
        <v>3749000000</v>
      </c>
      <c r="DB26" s="10">
        <v>-1964000000</v>
      </c>
      <c r="DC26"/>
      <c r="DD26" s="10">
        <v>6168000000</v>
      </c>
      <c r="DE26" s="10">
        <v>10100000000</v>
      </c>
      <c r="DF26" s="10">
        <v>6870000000</v>
      </c>
      <c r="DG26" s="10">
        <v>118000000</v>
      </c>
      <c r="DH26" s="10">
        <v>0</v>
      </c>
      <c r="DI26" s="10">
        <v>479684705</v>
      </c>
      <c r="DJ26" s="10">
        <v>17280000000</v>
      </c>
      <c r="DK26" s="10">
        <v>45000000</v>
      </c>
      <c r="DV26" s="41">
        <v>2021</v>
      </c>
      <c r="DX26" s="10"/>
      <c r="DY26" s="10"/>
      <c r="DZ26" s="10"/>
      <c r="EA26" t="s">
        <v>656</v>
      </c>
    </row>
    <row r="27" spans="1:131" x14ac:dyDescent="0.35">
      <c r="A27" t="s">
        <v>655</v>
      </c>
      <c r="B27" s="22">
        <v>44926</v>
      </c>
      <c r="C27">
        <v>2022</v>
      </c>
      <c r="D27" t="s">
        <v>212</v>
      </c>
      <c r="E27" t="s">
        <v>213</v>
      </c>
      <c r="F27" s="10">
        <v>31101000000</v>
      </c>
      <c r="G27" s="10">
        <v>11466000000</v>
      </c>
      <c r="H27" s="10">
        <v>-202185000000</v>
      </c>
      <c r="I27" s="10">
        <v>123610000000</v>
      </c>
      <c r="J27" s="10">
        <v>-588000000</v>
      </c>
      <c r="K27" s="10">
        <v>0</v>
      </c>
      <c r="M27" s="10">
        <v>38751000000</v>
      </c>
      <c r="N27" s="10">
        <v>18659000000</v>
      </c>
      <c r="O27" s="10">
        <v>7621000000</v>
      </c>
      <c r="P27" s="10">
        <v>3701000000</v>
      </c>
      <c r="Q27" s="10">
        <v>3701000000</v>
      </c>
      <c r="R27" s="10">
        <v>7621000000</v>
      </c>
      <c r="S27" s="10">
        <v>97500000000</v>
      </c>
      <c r="T27" s="10">
        <v>7182000000</v>
      </c>
      <c r="U27" s="10">
        <v>3765000000</v>
      </c>
      <c r="V27" s="10">
        <v>33108000000</v>
      </c>
      <c r="X27" s="10">
        <v>7597000000</v>
      </c>
      <c r="Y27" s="10">
        <v>7597000000</v>
      </c>
      <c r="Z27" s="10">
        <v>56173000000</v>
      </c>
      <c r="AB27" s="10">
        <v>2766000000</v>
      </c>
      <c r="AC27" s="10">
        <v>67895000000</v>
      </c>
      <c r="AD27" s="10">
        <v>197341000000</v>
      </c>
      <c r="AE27" s="10">
        <v>12054000000</v>
      </c>
      <c r="AF27" s="10">
        <v>351444000000</v>
      </c>
      <c r="AI27" s="10">
        <v>2160000000</v>
      </c>
      <c r="AJ27" s="10">
        <v>233520000000</v>
      </c>
      <c r="AL27" s="10">
        <v>3533000000</v>
      </c>
      <c r="AM27" s="10">
        <v>1381000000</v>
      </c>
      <c r="AO27" s="10">
        <v>18659000000</v>
      </c>
      <c r="AP27" s="10">
        <v>128423000000</v>
      </c>
      <c r="AQ27" s="10">
        <v>147082000000</v>
      </c>
      <c r="AR27" s="10">
        <v>3533000000</v>
      </c>
      <c r="AT27" s="10">
        <v>116108000000</v>
      </c>
      <c r="AU27" s="10">
        <v>8957000000</v>
      </c>
      <c r="AV27" s="10">
        <v>132319000000</v>
      </c>
      <c r="AW27" s="10">
        <v>149259000000</v>
      </c>
      <c r="AX27" s="10">
        <v>-99841000000</v>
      </c>
      <c r="AY27" s="10">
        <v>57032000000</v>
      </c>
      <c r="AZ27" s="10">
        <v>57032000000</v>
      </c>
      <c r="BB27" s="10">
        <v>7128000000</v>
      </c>
      <c r="BC27" s="10">
        <v>14818000000</v>
      </c>
      <c r="BD27" s="10">
        <v>6601000000</v>
      </c>
      <c r="BE27" s="10">
        <v>2670000000</v>
      </c>
      <c r="BF27" s="10">
        <v>-1998000000</v>
      </c>
      <c r="BG27" s="10">
        <v>129446000000</v>
      </c>
      <c r="BH27" s="10">
        <v>19612000000</v>
      </c>
      <c r="BI27" s="10">
        <v>28849000000</v>
      </c>
      <c r="BJ27" s="10">
        <v>3137000000</v>
      </c>
      <c r="BK27" s="10">
        <v>188022000000</v>
      </c>
      <c r="BN27" s="10">
        <v>37050000000</v>
      </c>
      <c r="BO27" s="10">
        <v>40815000000</v>
      </c>
      <c r="BP27" s="10">
        <v>1173000000</v>
      </c>
      <c r="BS27" s="10">
        <v>0</v>
      </c>
      <c r="BT27" s="10">
        <v>11466000000</v>
      </c>
      <c r="BV27" s="10">
        <v>-19415000000</v>
      </c>
      <c r="BW27" s="10">
        <v>7621156816</v>
      </c>
      <c r="BX27" s="10">
        <v>97500000000</v>
      </c>
      <c r="BY27" s="10">
        <v>-99841000000</v>
      </c>
      <c r="BZ27" s="10">
        <v>402853000000</v>
      </c>
      <c r="CA27" s="10">
        <v>225923000000</v>
      </c>
      <c r="CB27" s="10">
        <v>154679000000</v>
      </c>
      <c r="CC27" s="10">
        <v>106457000000</v>
      </c>
      <c r="CD27" s="10">
        <v>296396000000</v>
      </c>
      <c r="CE27" s="10">
        <v>369745000000</v>
      </c>
      <c r="CF27" s="10">
        <v>240223000000</v>
      </c>
      <c r="CG27" s="10">
        <v>798000000</v>
      </c>
      <c r="CI27" s="10">
        <v>-23065000000</v>
      </c>
      <c r="CJ27" s="10">
        <v>3918000000</v>
      </c>
      <c r="CK27" s="10">
        <v>3918000000</v>
      </c>
      <c r="CL27" s="10">
        <v>7260000000</v>
      </c>
      <c r="CN27" s="10">
        <v>3123000000</v>
      </c>
      <c r="CO27"/>
      <c r="CR27" s="10">
        <v>7260000000</v>
      </c>
      <c r="CU27" s="10">
        <v>2835000000</v>
      </c>
      <c r="CV27" s="10">
        <v>866000000</v>
      </c>
      <c r="CY27" s="10">
        <v>866000000</v>
      </c>
      <c r="CZ27" s="10">
        <v>6731000000</v>
      </c>
      <c r="DA27" s="10">
        <v>2014000000</v>
      </c>
      <c r="DB27" s="10">
        <v>-1800000000</v>
      </c>
      <c r="DC27"/>
      <c r="DD27" s="10">
        <v>3533000000</v>
      </c>
      <c r="DE27" s="10">
        <v>0</v>
      </c>
      <c r="DF27" s="10">
        <v>6654000000</v>
      </c>
      <c r="DG27" s="10">
        <v>118000000</v>
      </c>
      <c r="DH27" s="10">
        <v>0</v>
      </c>
      <c r="DI27" s="10">
        <v>493156816</v>
      </c>
      <c r="DJ27" s="10">
        <v>17082000000</v>
      </c>
      <c r="DK27" s="10">
        <v>-90000000</v>
      </c>
      <c r="DV27" s="41">
        <v>2022</v>
      </c>
      <c r="DX27" s="10"/>
      <c r="DY27" s="10"/>
      <c r="DZ27" s="10"/>
      <c r="EA27" t="s">
        <v>656</v>
      </c>
    </row>
    <row r="28" spans="1:131" x14ac:dyDescent="0.35">
      <c r="A28" t="s">
        <v>655</v>
      </c>
      <c r="B28" s="22">
        <v>45291</v>
      </c>
      <c r="C28">
        <v>2023</v>
      </c>
      <c r="D28" t="s">
        <v>212</v>
      </c>
      <c r="E28" t="s">
        <v>213</v>
      </c>
      <c r="F28" s="10">
        <v>27309000000</v>
      </c>
      <c r="G28" s="10">
        <v>10289000000</v>
      </c>
      <c r="H28" s="10">
        <v>-211402000000</v>
      </c>
      <c r="I28" s="10">
        <v>114519000000</v>
      </c>
      <c r="J28" s="10">
        <v>-499000000</v>
      </c>
      <c r="M28" s="10">
        <v>39380000000</v>
      </c>
      <c r="N28" s="10">
        <v>17568000000</v>
      </c>
      <c r="O28" s="10">
        <v>7621000000</v>
      </c>
      <c r="P28" s="10">
        <v>6722000000</v>
      </c>
      <c r="Q28" s="10">
        <v>6722000000</v>
      </c>
      <c r="R28" s="10">
        <v>7621000000</v>
      </c>
      <c r="S28" s="10">
        <v>103297000000</v>
      </c>
      <c r="T28" s="10">
        <v>5640000000</v>
      </c>
      <c r="U28" s="10">
        <v>3885000000</v>
      </c>
      <c r="V28" s="10">
        <v>36458000000</v>
      </c>
      <c r="X28" s="10">
        <v>9477000000</v>
      </c>
      <c r="Y28" s="10">
        <v>9477000000</v>
      </c>
      <c r="Z28" s="10">
        <v>51127000000</v>
      </c>
      <c r="AB28" s="10">
        <v>2300000000</v>
      </c>
      <c r="AC28" s="10">
        <v>67854000000</v>
      </c>
      <c r="AD28" s="10">
        <v>200356000000</v>
      </c>
      <c r="AE28" s="10">
        <v>10788000000</v>
      </c>
      <c r="AF28" s="10">
        <v>360796000000</v>
      </c>
      <c r="AI28" s="10">
        <v>2187000000</v>
      </c>
      <c r="AJ28" s="10">
        <v>240628000000</v>
      </c>
      <c r="AL28" s="10">
        <v>1251000000</v>
      </c>
      <c r="AM28" s="10">
        <v>1377000000</v>
      </c>
      <c r="AO28" s="10">
        <v>17568000000</v>
      </c>
      <c r="AP28" s="10">
        <v>127854000000</v>
      </c>
      <c r="AQ28" s="10">
        <v>145422000000</v>
      </c>
      <c r="AR28" s="10">
        <v>1251000000</v>
      </c>
      <c r="AT28" s="10">
        <v>118006000000</v>
      </c>
      <c r="AU28" s="10">
        <v>16118000000</v>
      </c>
      <c r="AV28" s="10">
        <v>130609000000</v>
      </c>
      <c r="AW28" s="10">
        <v>149394000000</v>
      </c>
      <c r="AX28" s="10">
        <v>-97059000000</v>
      </c>
      <c r="AY28" s="10">
        <v>58666000000</v>
      </c>
      <c r="AZ28" s="10">
        <v>58666000000</v>
      </c>
      <c r="BB28" s="10">
        <v>7150063361</v>
      </c>
      <c r="BC28" s="10">
        <v>17270000000</v>
      </c>
      <c r="BF28" s="10">
        <v>-1029000000</v>
      </c>
      <c r="BG28" s="10">
        <v>132502000000</v>
      </c>
      <c r="BH28" s="10">
        <v>19601000000</v>
      </c>
      <c r="BI28" s="10">
        <v>23696000000</v>
      </c>
      <c r="BJ28" s="10">
        <v>3005000000</v>
      </c>
      <c r="BK28" s="10">
        <v>196393000000</v>
      </c>
      <c r="BN28" s="10">
        <v>33356000000</v>
      </c>
      <c r="BO28" s="10">
        <v>37241000000</v>
      </c>
      <c r="BP28" s="10">
        <v>631000000</v>
      </c>
      <c r="BS28" s="10">
        <v>0</v>
      </c>
      <c r="BT28" s="10">
        <v>10289000000</v>
      </c>
      <c r="BV28" s="10">
        <v>-5015000000</v>
      </c>
      <c r="BW28" s="10">
        <v>7620748598</v>
      </c>
      <c r="BX28" s="10">
        <v>103297000000</v>
      </c>
      <c r="BY28" s="10">
        <v>-97059000000</v>
      </c>
      <c r="BZ28" s="10">
        <v>407060000000</v>
      </c>
      <c r="CA28" s="10">
        <v>231151000000</v>
      </c>
      <c r="CB28" s="10">
        <v>154899000000</v>
      </c>
      <c r="CC28" s="10">
        <v>119415000000</v>
      </c>
      <c r="CD28" s="10">
        <v>287645000000</v>
      </c>
      <c r="CE28" s="10">
        <v>370602000000</v>
      </c>
      <c r="CF28" s="10">
        <v>236518000000</v>
      </c>
      <c r="CG28" s="10">
        <v>1022000000</v>
      </c>
      <c r="CI28" s="10">
        <v>-14669000000</v>
      </c>
      <c r="CJ28" s="10">
        <v>3778000000</v>
      </c>
      <c r="CK28" s="10">
        <v>3778000000</v>
      </c>
      <c r="CL28" s="10">
        <v>8734000000</v>
      </c>
      <c r="CN28" s="10">
        <v>2177000000</v>
      </c>
      <c r="CO28"/>
      <c r="CR28" s="10">
        <v>8734000000</v>
      </c>
      <c r="CU28" s="10">
        <v>5354000000</v>
      </c>
      <c r="CV28" s="10">
        <v>1368000000</v>
      </c>
      <c r="CY28" s="10">
        <v>2091000000</v>
      </c>
      <c r="CZ28" s="10">
        <v>7386000000</v>
      </c>
      <c r="DA28" s="10">
        <v>2020000000</v>
      </c>
      <c r="DB28" s="10">
        <v>-1337000000</v>
      </c>
      <c r="DC28"/>
      <c r="DF28" s="10">
        <v>4723000000</v>
      </c>
      <c r="DG28" s="10">
        <v>118000000</v>
      </c>
      <c r="DH28" s="10">
        <v>0</v>
      </c>
      <c r="DI28" s="10">
        <v>470685237</v>
      </c>
      <c r="DJ28" s="10">
        <v>16128000000</v>
      </c>
      <c r="DK28" s="10">
        <v>-57000000</v>
      </c>
      <c r="DV28" s="41">
        <v>2023</v>
      </c>
      <c r="DX28" s="10"/>
      <c r="DY28" s="10"/>
      <c r="DZ28" s="10"/>
      <c r="EA28" t="s">
        <v>656</v>
      </c>
    </row>
    <row r="29" spans="1:131" x14ac:dyDescent="0.35">
      <c r="A29" t="s">
        <v>657</v>
      </c>
      <c r="B29" s="22">
        <v>43830</v>
      </c>
      <c r="C29">
        <v>2019</v>
      </c>
      <c r="D29" t="s">
        <v>212</v>
      </c>
      <c r="E29" t="s">
        <v>213</v>
      </c>
      <c r="BE29" s="10">
        <v>14900000</v>
      </c>
      <c r="CO29"/>
      <c r="CW29" s="10">
        <v>3600000</v>
      </c>
      <c r="DC29"/>
      <c r="DV29" s="41">
        <v>2019</v>
      </c>
      <c r="DW29" s="10">
        <v>1703200000</v>
      </c>
      <c r="DX29" s="10"/>
      <c r="DY29" s="10"/>
      <c r="DZ29" s="10"/>
      <c r="EA29" t="s">
        <v>658</v>
      </c>
    </row>
    <row r="30" spans="1:131" x14ac:dyDescent="0.35">
      <c r="A30" t="s">
        <v>657</v>
      </c>
      <c r="B30" s="22">
        <v>44196</v>
      </c>
      <c r="C30">
        <v>2020</v>
      </c>
      <c r="D30" t="s">
        <v>212</v>
      </c>
      <c r="E30" t="s">
        <v>213</v>
      </c>
      <c r="F30" s="10">
        <v>779000000</v>
      </c>
      <c r="G30" s="10">
        <v>1091300000</v>
      </c>
      <c r="H30" s="10">
        <v>-9831600000</v>
      </c>
      <c r="I30" s="10">
        <v>2741400000</v>
      </c>
      <c r="J30" s="10">
        <v>-34700000</v>
      </c>
      <c r="M30" s="10">
        <v>1402500000</v>
      </c>
      <c r="N30" s="10">
        <v>240100000</v>
      </c>
      <c r="O30" s="10">
        <v>3200000</v>
      </c>
      <c r="P30" s="10">
        <v>38200000</v>
      </c>
      <c r="Q30" s="10">
        <v>38200000</v>
      </c>
      <c r="R30" s="10">
        <v>3200000</v>
      </c>
      <c r="S30" s="10">
        <v>8483900000</v>
      </c>
      <c r="T30" s="10">
        <v>411200000</v>
      </c>
      <c r="U30" s="10">
        <v>504200000</v>
      </c>
      <c r="V30" s="10">
        <v>1521800000</v>
      </c>
      <c r="W30" s="10">
        <v>33500000</v>
      </c>
      <c r="X30" s="10">
        <v>168100000</v>
      </c>
      <c r="Y30" s="10">
        <v>201600000</v>
      </c>
      <c r="Z30" s="10">
        <v>2282000000</v>
      </c>
      <c r="AA30" s="10">
        <v>316100000</v>
      </c>
      <c r="AB30" s="10">
        <v>-12400000</v>
      </c>
      <c r="AC30" s="10">
        <v>12046400000</v>
      </c>
      <c r="AD30" s="10">
        <v>12219500000</v>
      </c>
      <c r="AE30" s="10">
        <v>1126000000</v>
      </c>
      <c r="AF30" s="10">
        <v>18776600000</v>
      </c>
      <c r="AI30" s="10">
        <v>54600000</v>
      </c>
      <c r="AJ30" s="10">
        <v>17418100000</v>
      </c>
      <c r="AL30" s="10">
        <v>145400000</v>
      </c>
      <c r="AM30" s="10">
        <v>633400000</v>
      </c>
      <c r="AO30" s="10">
        <v>206600000</v>
      </c>
      <c r="AP30" s="10">
        <v>8766100000</v>
      </c>
      <c r="AQ30" s="10">
        <v>8972700000</v>
      </c>
      <c r="AS30" s="10">
        <v>2081500000</v>
      </c>
      <c r="AT30" s="10">
        <v>8119000000</v>
      </c>
      <c r="AU30" s="10">
        <v>4900000</v>
      </c>
      <c r="AV30" s="10">
        <v>8896000000</v>
      </c>
      <c r="AW30" s="10">
        <v>8945000000</v>
      </c>
      <c r="AX30" s="10">
        <v>-3735600000</v>
      </c>
      <c r="AY30" s="10">
        <v>1365400000</v>
      </c>
      <c r="AZ30" s="10">
        <v>1238800000</v>
      </c>
      <c r="BB30" s="10">
        <v>284300000</v>
      </c>
      <c r="BC30" s="10">
        <v>6700000</v>
      </c>
      <c r="BD30" s="10">
        <v>168100000</v>
      </c>
      <c r="BF30" s="10">
        <v>-12400000</v>
      </c>
      <c r="BG30" s="10">
        <v>173100000</v>
      </c>
      <c r="BH30" s="10">
        <v>178900000</v>
      </c>
      <c r="BI30" s="10">
        <v>112800000</v>
      </c>
      <c r="BK30" s="10">
        <v>8210500000</v>
      </c>
      <c r="BL30" s="10">
        <v>66300000</v>
      </c>
      <c r="BN30" s="10">
        <v>914500000</v>
      </c>
      <c r="BO30" s="10">
        <v>1418700000</v>
      </c>
      <c r="BR30" s="10">
        <v>89500000</v>
      </c>
      <c r="BS30" s="10">
        <v>0</v>
      </c>
      <c r="BT30" s="10">
        <v>1328300000</v>
      </c>
      <c r="BV30" s="10">
        <v>5751800000</v>
      </c>
      <c r="BW30" s="10">
        <v>318800000</v>
      </c>
      <c r="BX30" s="10">
        <v>8483900000</v>
      </c>
      <c r="BY30" s="10">
        <v>-3735600000</v>
      </c>
      <c r="BZ30" s="10">
        <v>23434000000</v>
      </c>
      <c r="CA30" s="10">
        <v>17250000000</v>
      </c>
      <c r="CB30" s="10">
        <v>9174300000</v>
      </c>
      <c r="CC30" s="10">
        <v>8488800000</v>
      </c>
      <c r="CD30" s="10">
        <v>14945200000</v>
      </c>
      <c r="CE30" s="10">
        <v>21912200000</v>
      </c>
      <c r="CF30" s="10">
        <v>12663200000</v>
      </c>
      <c r="CG30" s="10">
        <v>132300000</v>
      </c>
      <c r="CI30" s="10">
        <v>-760200000</v>
      </c>
      <c r="CJ30" s="10">
        <v>345600000</v>
      </c>
      <c r="CK30" s="10">
        <v>345600000</v>
      </c>
      <c r="CL30" s="10">
        <v>27800000</v>
      </c>
      <c r="CN30" s="10">
        <v>59100000</v>
      </c>
      <c r="CO30"/>
      <c r="CP30" s="10">
        <v>216800000</v>
      </c>
      <c r="CR30" s="10">
        <v>27800000</v>
      </c>
      <c r="CW30" s="10">
        <v>0</v>
      </c>
      <c r="DA30" s="10">
        <v>135500000</v>
      </c>
      <c r="DC30"/>
      <c r="DH30" s="10">
        <v>0</v>
      </c>
      <c r="DI30" s="10">
        <v>34500000</v>
      </c>
      <c r="DJ30" s="10">
        <v>100000</v>
      </c>
      <c r="DM30" s="10">
        <v>103300000</v>
      </c>
      <c r="DP30" s="10">
        <v>170700000</v>
      </c>
      <c r="DR30" s="10">
        <v>103000000</v>
      </c>
      <c r="DS30" s="10">
        <v>73800000</v>
      </c>
      <c r="DV30" s="41">
        <v>2020</v>
      </c>
      <c r="DW30" s="10">
        <v>1694700000</v>
      </c>
      <c r="DX30" s="10">
        <v>29500000</v>
      </c>
      <c r="DY30" s="10"/>
      <c r="DZ30" s="10"/>
      <c r="EA30" t="s">
        <v>658</v>
      </c>
    </row>
    <row r="31" spans="1:131" x14ac:dyDescent="0.35">
      <c r="A31" t="s">
        <v>657</v>
      </c>
      <c r="B31" s="22">
        <v>44561</v>
      </c>
      <c r="C31">
        <v>2021</v>
      </c>
      <c r="D31" t="s">
        <v>212</v>
      </c>
      <c r="E31" t="s">
        <v>213</v>
      </c>
      <c r="F31" s="10">
        <v>910000000</v>
      </c>
      <c r="G31" s="10">
        <v>1271400000</v>
      </c>
      <c r="H31" s="10">
        <v>-10549900000</v>
      </c>
      <c r="I31" s="10">
        <v>2789500000</v>
      </c>
      <c r="J31" s="10">
        <v>-38500000</v>
      </c>
      <c r="M31" s="10">
        <v>1508400000</v>
      </c>
      <c r="N31" s="10">
        <v>277200000</v>
      </c>
      <c r="O31" s="10">
        <v>3200000</v>
      </c>
      <c r="P31" s="10">
        <v>29000000</v>
      </c>
      <c r="Q31" s="10">
        <v>29000000</v>
      </c>
      <c r="R31" s="10">
        <v>3200000</v>
      </c>
      <c r="S31" s="10">
        <v>8978900000</v>
      </c>
      <c r="T31" s="10">
        <v>462200000</v>
      </c>
      <c r="U31" s="10">
        <v>583000000</v>
      </c>
      <c r="V31" s="10">
        <v>1710800000</v>
      </c>
      <c r="W31" s="10">
        <v>38200000</v>
      </c>
      <c r="X31" s="10">
        <v>8200000</v>
      </c>
      <c r="Y31" s="10">
        <v>46400000</v>
      </c>
      <c r="Z31" s="10">
        <v>2415600000</v>
      </c>
      <c r="AA31" s="10">
        <v>349000000</v>
      </c>
      <c r="AB31" s="10">
        <v>-14600000</v>
      </c>
      <c r="AC31" s="10">
        <v>12826000000</v>
      </c>
      <c r="AD31" s="10">
        <v>13085500000</v>
      </c>
      <c r="AE31" s="10">
        <v>1309900000</v>
      </c>
      <c r="AF31" s="10">
        <v>20037300000</v>
      </c>
      <c r="AI31" s="10">
        <v>62100000</v>
      </c>
      <c r="AJ31" s="10">
        <v>18533300000</v>
      </c>
      <c r="AL31" s="10">
        <v>127600000</v>
      </c>
      <c r="AM31" s="10">
        <v>694900000</v>
      </c>
      <c r="AO31" s="10">
        <v>239000000</v>
      </c>
      <c r="AP31" s="10">
        <v>9546200000</v>
      </c>
      <c r="AQ31" s="10">
        <v>9785200000</v>
      </c>
      <c r="AS31" s="10">
        <v>2224200000</v>
      </c>
      <c r="AT31" s="10">
        <v>8576900000</v>
      </c>
      <c r="AU31" s="10">
        <v>800000</v>
      </c>
      <c r="AV31" s="10">
        <v>9525400000</v>
      </c>
      <c r="AW31" s="10">
        <v>9487400000</v>
      </c>
      <c r="AX31" s="10">
        <v>-4106600000</v>
      </c>
      <c r="AY31" s="10">
        <v>1348900000</v>
      </c>
      <c r="AZ31" s="10">
        <v>1229500000</v>
      </c>
      <c r="BB31" s="10">
        <v>317200000</v>
      </c>
      <c r="BC31" s="10">
        <v>3000000</v>
      </c>
      <c r="BD31" s="10">
        <v>8200000</v>
      </c>
      <c r="BF31" s="10">
        <v>-14600000</v>
      </c>
      <c r="BG31" s="10">
        <v>259500000</v>
      </c>
      <c r="BH31" s="10">
        <v>163000000</v>
      </c>
      <c r="BI31" s="10">
        <v>126200000</v>
      </c>
      <c r="BK31" s="10">
        <v>8794900000</v>
      </c>
      <c r="BL31" s="10">
        <v>63200000</v>
      </c>
      <c r="BN31" s="10">
        <v>1055900000</v>
      </c>
      <c r="BO31" s="10">
        <v>1638900000</v>
      </c>
      <c r="BR31" s="10">
        <v>98200000</v>
      </c>
      <c r="BS31" s="10">
        <v>0</v>
      </c>
      <c r="BT31" s="10">
        <v>1508400000</v>
      </c>
      <c r="BV31" s="10">
        <v>6475600000</v>
      </c>
      <c r="BW31" s="10">
        <v>319600000</v>
      </c>
      <c r="BX31" s="10">
        <v>8978900000</v>
      </c>
      <c r="BY31" s="10">
        <v>-4106600000</v>
      </c>
      <c r="BZ31" s="10">
        <v>24955000000</v>
      </c>
      <c r="CA31" s="10">
        <v>18525100000</v>
      </c>
      <c r="CB31" s="10">
        <v>9831600000</v>
      </c>
      <c r="CC31" s="10">
        <v>8979700000</v>
      </c>
      <c r="CD31" s="10">
        <v>15975300000</v>
      </c>
      <c r="CE31" s="10">
        <v>23244200000</v>
      </c>
      <c r="CF31" s="10">
        <v>13559700000</v>
      </c>
      <c r="CG31" s="10">
        <v>143700000</v>
      </c>
      <c r="CI31" s="10">
        <v>-704800000</v>
      </c>
      <c r="CJ31" s="10">
        <v>381300000</v>
      </c>
      <c r="CK31" s="10">
        <v>381300000</v>
      </c>
      <c r="CL31" s="10">
        <v>24500000</v>
      </c>
      <c r="CN31" s="10">
        <v>72200000</v>
      </c>
      <c r="CO31"/>
      <c r="CP31" s="10">
        <v>218700000</v>
      </c>
      <c r="CR31" s="10">
        <v>24500000</v>
      </c>
      <c r="DA31" s="10">
        <v>145900000</v>
      </c>
      <c r="DC31"/>
      <c r="DH31" s="10">
        <v>0</v>
      </c>
      <c r="DI31" s="10">
        <v>2400000</v>
      </c>
      <c r="DJ31" s="10">
        <v>274800000</v>
      </c>
      <c r="DM31" s="10">
        <v>98900000</v>
      </c>
      <c r="DP31" s="10">
        <v>173800000</v>
      </c>
      <c r="DR31" s="10">
        <v>50700000</v>
      </c>
      <c r="DS31" s="10">
        <v>19700000</v>
      </c>
      <c r="DV31" s="41">
        <v>2021</v>
      </c>
      <c r="DX31" s="10">
        <v>43400000</v>
      </c>
      <c r="DY31" s="10"/>
      <c r="DZ31" s="10"/>
      <c r="EA31" t="s">
        <v>658</v>
      </c>
    </row>
    <row r="32" spans="1:131" x14ac:dyDescent="0.35">
      <c r="A32" t="s">
        <v>657</v>
      </c>
      <c r="B32" s="22">
        <v>44926</v>
      </c>
      <c r="C32">
        <v>2022</v>
      </c>
      <c r="D32" t="s">
        <v>212</v>
      </c>
      <c r="E32" t="s">
        <v>213</v>
      </c>
      <c r="F32" s="10">
        <v>1221800000</v>
      </c>
      <c r="G32" s="10">
        <v>1677200000</v>
      </c>
      <c r="H32" s="10">
        <v>-11496700000</v>
      </c>
      <c r="I32" s="10">
        <v>2843200000</v>
      </c>
      <c r="J32" s="10">
        <v>-51900000</v>
      </c>
      <c r="M32" s="10">
        <v>1704600000</v>
      </c>
      <c r="N32" s="10">
        <v>295900000</v>
      </c>
      <c r="O32" s="10">
        <v>3200000</v>
      </c>
      <c r="P32" s="10">
        <v>143400000</v>
      </c>
      <c r="Q32" s="10">
        <v>143400000</v>
      </c>
      <c r="R32" s="10">
        <v>3200000</v>
      </c>
      <c r="S32" s="10">
        <v>9686000000</v>
      </c>
      <c r="T32" s="10">
        <v>716900000</v>
      </c>
      <c r="U32" s="10">
        <v>702300000</v>
      </c>
      <c r="V32" s="10">
        <v>2357100000</v>
      </c>
      <c r="W32" s="10">
        <v>57900000</v>
      </c>
      <c r="X32" s="10">
        <v>456000000</v>
      </c>
      <c r="Y32" s="10">
        <v>513900000</v>
      </c>
      <c r="Z32" s="10">
        <v>3390700000</v>
      </c>
      <c r="AA32" s="10">
        <v>352100000</v>
      </c>
      <c r="AB32" s="10">
        <v>-12100000</v>
      </c>
      <c r="AC32" s="10">
        <v>14451500000</v>
      </c>
      <c r="AD32" s="10">
        <v>14798700000</v>
      </c>
      <c r="AE32" s="10">
        <v>1729100000</v>
      </c>
      <c r="AF32" s="10">
        <v>22515800000</v>
      </c>
      <c r="AI32" s="10">
        <v>79000000</v>
      </c>
      <c r="AJ32" s="10">
        <v>21471500000</v>
      </c>
      <c r="AL32" s="10">
        <v>281400000</v>
      </c>
      <c r="AM32" s="10">
        <v>779700000</v>
      </c>
      <c r="AO32" s="10">
        <v>238000000</v>
      </c>
      <c r="AP32" s="10">
        <v>11329500000</v>
      </c>
      <c r="AQ32" s="10">
        <v>11567500000</v>
      </c>
      <c r="AS32" s="10">
        <v>2540500000</v>
      </c>
      <c r="AT32" s="10">
        <v>9465300000</v>
      </c>
      <c r="AU32" s="10">
        <v>800000</v>
      </c>
      <c r="AV32" s="10">
        <v>11642100000</v>
      </c>
      <c r="AW32" s="10">
        <v>11019100000</v>
      </c>
      <c r="AX32" s="10">
        <v>-5112700000</v>
      </c>
      <c r="AY32" s="10">
        <v>1627400000</v>
      </c>
      <c r="AZ32" s="10">
        <v>1528800000</v>
      </c>
      <c r="BB32" s="10">
        <v>316100000</v>
      </c>
      <c r="BC32" s="10">
        <v>5500000</v>
      </c>
      <c r="BD32" s="10">
        <v>456000000</v>
      </c>
      <c r="BE32" s="10">
        <v>1200000</v>
      </c>
      <c r="BF32" s="10">
        <v>-12100000</v>
      </c>
      <c r="BG32" s="10">
        <v>347200000</v>
      </c>
      <c r="BH32" s="10">
        <v>148900000</v>
      </c>
      <c r="BI32" s="10">
        <v>120300000</v>
      </c>
      <c r="BK32" s="10">
        <v>9849300000</v>
      </c>
      <c r="BL32" s="10">
        <v>91700000</v>
      </c>
      <c r="BN32" s="10">
        <v>1378200000</v>
      </c>
      <c r="BO32" s="10">
        <v>2080500000</v>
      </c>
      <c r="BR32" s="10">
        <v>128700000</v>
      </c>
      <c r="BS32" s="10">
        <v>0</v>
      </c>
      <c r="BT32" s="10">
        <v>1982900000</v>
      </c>
      <c r="BV32" s="10">
        <v>7356300000</v>
      </c>
      <c r="BW32" s="10">
        <v>320300000</v>
      </c>
      <c r="BX32" s="10">
        <v>9686000000</v>
      </c>
      <c r="BY32" s="10">
        <v>-5112700000</v>
      </c>
      <c r="BZ32" s="10">
        <v>29052900000</v>
      </c>
      <c r="CA32" s="10">
        <v>21015500000</v>
      </c>
      <c r="CB32" s="10">
        <v>12081400000</v>
      </c>
      <c r="CC32" s="10">
        <v>9686800000</v>
      </c>
      <c r="CD32" s="10">
        <v>19366100000</v>
      </c>
      <c r="CE32" s="10">
        <v>26695800000</v>
      </c>
      <c r="CF32" s="10">
        <v>15975400000</v>
      </c>
      <c r="CG32" s="10">
        <v>168500000</v>
      </c>
      <c r="CI32" s="10">
        <v>-1033600000</v>
      </c>
      <c r="CJ32" s="10">
        <v>443000000</v>
      </c>
      <c r="CK32" s="10">
        <v>443000000</v>
      </c>
      <c r="CL32" s="10">
        <v>20000000</v>
      </c>
      <c r="CN32" s="10">
        <v>96600000</v>
      </c>
      <c r="CO32"/>
      <c r="CP32" s="10">
        <v>185900000</v>
      </c>
      <c r="CR32" s="10">
        <v>20000000</v>
      </c>
      <c r="CW32" s="10">
        <v>0</v>
      </c>
      <c r="DA32" s="10">
        <v>156400000</v>
      </c>
      <c r="DC32"/>
      <c r="DH32" s="10">
        <v>0</v>
      </c>
      <c r="DI32" s="10">
        <v>4200000</v>
      </c>
      <c r="DJ32" s="10">
        <v>504600000</v>
      </c>
      <c r="DM32" s="10">
        <v>104600000</v>
      </c>
      <c r="DP32" s="10">
        <v>214000000</v>
      </c>
      <c r="DR32" s="10">
        <v>99700000</v>
      </c>
      <c r="DS32" s="10">
        <v>105800000</v>
      </c>
      <c r="DV32" s="41">
        <v>2022</v>
      </c>
      <c r="DX32" s="10">
        <v>51400000</v>
      </c>
      <c r="DY32" s="10"/>
      <c r="DZ32" s="10"/>
      <c r="EA32" t="s">
        <v>658</v>
      </c>
    </row>
    <row r="33" spans="1:131" x14ac:dyDescent="0.35">
      <c r="A33" t="s">
        <v>657</v>
      </c>
      <c r="B33" s="22">
        <v>45291</v>
      </c>
      <c r="C33">
        <v>2023</v>
      </c>
      <c r="D33" t="s">
        <v>212</v>
      </c>
      <c r="E33" t="s">
        <v>213</v>
      </c>
      <c r="F33" s="10">
        <v>1411500000</v>
      </c>
      <c r="G33" s="10">
        <v>1768400000</v>
      </c>
      <c r="H33" s="10">
        <v>-12496200000</v>
      </c>
      <c r="I33" s="10">
        <v>2900800000</v>
      </c>
      <c r="J33" s="10">
        <v>-83200000</v>
      </c>
      <c r="M33" s="10">
        <v>1921900000</v>
      </c>
      <c r="N33" s="10">
        <v>249700000</v>
      </c>
      <c r="O33" s="10">
        <v>3200000</v>
      </c>
      <c r="P33" s="10">
        <v>140000000</v>
      </c>
      <c r="Q33" s="10">
        <v>140000000</v>
      </c>
      <c r="R33" s="10">
        <v>3200000</v>
      </c>
      <c r="S33" s="10">
        <v>10542300000</v>
      </c>
      <c r="T33" s="10">
        <v>904000000</v>
      </c>
      <c r="U33" s="10">
        <v>792200000</v>
      </c>
      <c r="V33" s="10">
        <v>2381000000</v>
      </c>
      <c r="W33" s="10">
        <v>54800000</v>
      </c>
      <c r="X33" s="10">
        <v>932300000</v>
      </c>
      <c r="Y33" s="10">
        <v>987100000</v>
      </c>
      <c r="Z33" s="10">
        <v>4228300000</v>
      </c>
      <c r="AA33" s="10">
        <v>393600000</v>
      </c>
      <c r="AB33" s="10">
        <v>-12100000</v>
      </c>
      <c r="AC33" s="10">
        <v>15834500000</v>
      </c>
      <c r="AD33" s="10">
        <v>16330700000</v>
      </c>
      <c r="AE33" s="10">
        <v>1851600000</v>
      </c>
      <c r="AF33" s="10">
        <v>24085200000</v>
      </c>
      <c r="AI33" s="10">
        <v>104100000</v>
      </c>
      <c r="AJ33" s="10">
        <v>23361700000</v>
      </c>
      <c r="AL33" s="10">
        <v>469400000</v>
      </c>
      <c r="AM33" s="10">
        <v>878100000</v>
      </c>
      <c r="AO33" s="10">
        <v>194900000</v>
      </c>
      <c r="AP33" s="10">
        <v>11887100000</v>
      </c>
      <c r="AQ33" s="10">
        <v>12082000000</v>
      </c>
      <c r="AS33" s="10">
        <v>2721900000</v>
      </c>
      <c r="AT33" s="10">
        <v>10231900000</v>
      </c>
      <c r="AU33" s="10">
        <v>1200000</v>
      </c>
      <c r="AV33" s="10">
        <v>12679400000</v>
      </c>
      <c r="AW33" s="10">
        <v>11589000000</v>
      </c>
      <c r="AX33" s="10">
        <v>-5788400000</v>
      </c>
      <c r="AY33" s="10">
        <v>1641500000</v>
      </c>
      <c r="AZ33" s="10">
        <v>1526800000</v>
      </c>
      <c r="BB33" s="10">
        <v>314636503</v>
      </c>
      <c r="BC33" s="10">
        <v>6200000</v>
      </c>
      <c r="BD33" s="10">
        <v>932300000</v>
      </c>
      <c r="BE33" s="10">
        <v>8300000</v>
      </c>
      <c r="BF33" s="10">
        <v>-12100000</v>
      </c>
      <c r="BG33" s="10">
        <v>496200000</v>
      </c>
      <c r="BH33" s="10">
        <v>185500000</v>
      </c>
      <c r="BI33" s="10">
        <v>102000000</v>
      </c>
      <c r="BK33" s="10">
        <v>10149300000</v>
      </c>
      <c r="BL33" s="10">
        <v>98600000</v>
      </c>
      <c r="BN33" s="10">
        <v>1579800000</v>
      </c>
      <c r="BO33" s="10">
        <v>2372000000</v>
      </c>
      <c r="BR33" s="10">
        <v>140000000</v>
      </c>
      <c r="BS33" s="10">
        <v>0</v>
      </c>
      <c r="BT33" s="10">
        <v>1993300000</v>
      </c>
      <c r="BV33" s="10">
        <v>8433900000</v>
      </c>
      <c r="BW33" s="10">
        <v>320717613</v>
      </c>
      <c r="BX33" s="10">
        <v>10542300000</v>
      </c>
      <c r="BY33" s="10">
        <v>-5788400000</v>
      </c>
      <c r="BZ33" s="10">
        <v>31410100000</v>
      </c>
      <c r="CA33" s="10">
        <v>22429400000</v>
      </c>
      <c r="CB33" s="10">
        <v>13069100000</v>
      </c>
      <c r="CC33" s="10">
        <v>10543500000</v>
      </c>
      <c r="CD33" s="10">
        <v>20866600000</v>
      </c>
      <c r="CE33" s="10">
        <v>29029100000</v>
      </c>
      <c r="CF33" s="10">
        <v>16638300000</v>
      </c>
      <c r="CG33" s="10">
        <v>182900000</v>
      </c>
      <c r="CI33" s="10">
        <v>-1847300000</v>
      </c>
      <c r="CJ33" s="10">
        <v>467300000</v>
      </c>
      <c r="CK33" s="10">
        <v>467300000</v>
      </c>
      <c r="CL33" s="10">
        <v>19600000</v>
      </c>
      <c r="CN33" s="10">
        <v>97300000</v>
      </c>
      <c r="CO33"/>
      <c r="CP33" s="10">
        <v>198800000</v>
      </c>
      <c r="CR33" s="10">
        <v>19600000</v>
      </c>
      <c r="CW33" s="10">
        <v>4200000</v>
      </c>
      <c r="DA33" s="10">
        <v>168300000</v>
      </c>
      <c r="DC33"/>
      <c r="DH33" s="10">
        <v>0</v>
      </c>
      <c r="DI33" s="10">
        <v>6081110</v>
      </c>
      <c r="DJ33" s="10">
        <v>783500000</v>
      </c>
      <c r="DM33" s="10">
        <v>114000000</v>
      </c>
      <c r="DP33" s="10">
        <v>126300000</v>
      </c>
      <c r="DR33" s="10">
        <v>71300000</v>
      </c>
      <c r="DS33" s="10">
        <v>74100000</v>
      </c>
      <c r="DV33" s="41">
        <v>2023</v>
      </c>
      <c r="DX33" s="10">
        <v>67600000</v>
      </c>
      <c r="DY33" s="10"/>
      <c r="DZ33" s="10"/>
      <c r="EA33" t="s">
        <v>658</v>
      </c>
    </row>
    <row r="34" spans="1:131" x14ac:dyDescent="0.35">
      <c r="A34" t="s">
        <v>659</v>
      </c>
      <c r="B34" s="22">
        <v>43861</v>
      </c>
      <c r="C34">
        <v>2020</v>
      </c>
      <c r="D34" t="s">
        <v>212</v>
      </c>
      <c r="E34" t="s">
        <v>213</v>
      </c>
      <c r="AY34" s="10">
        <v>4000000</v>
      </c>
      <c r="BR34" s="10">
        <v>278000000</v>
      </c>
      <c r="CO34"/>
      <c r="DC34"/>
      <c r="DV34" s="41">
        <v>2020</v>
      </c>
      <c r="DX34" s="10"/>
      <c r="DY34" s="10"/>
      <c r="DZ34" s="10"/>
      <c r="EA34" t="s">
        <v>660</v>
      </c>
    </row>
    <row r="35" spans="1:131" x14ac:dyDescent="0.35">
      <c r="A35" t="s">
        <v>659</v>
      </c>
      <c r="B35" s="22">
        <v>44227</v>
      </c>
      <c r="C35">
        <v>2021</v>
      </c>
      <c r="D35" t="s">
        <v>212</v>
      </c>
      <c r="E35" t="s">
        <v>213</v>
      </c>
      <c r="F35" s="10">
        <v>1960000000</v>
      </c>
      <c r="G35" s="10">
        <v>245000000</v>
      </c>
      <c r="H35" s="10">
        <v>-7159000000</v>
      </c>
      <c r="M35" s="10">
        <v>1446000000</v>
      </c>
      <c r="N35" s="10">
        <v>1947000000</v>
      </c>
      <c r="O35" s="10">
        <v>3205000000</v>
      </c>
      <c r="P35" s="10">
        <v>681000000</v>
      </c>
      <c r="Q35" s="10">
        <v>681000000</v>
      </c>
      <c r="R35" s="10">
        <v>3205000000</v>
      </c>
      <c r="S35" s="10">
        <v>305000000</v>
      </c>
      <c r="T35" s="10">
        <v>231000000</v>
      </c>
      <c r="U35" s="10">
        <v>352000000</v>
      </c>
      <c r="V35" s="10">
        <v>3642000000</v>
      </c>
      <c r="W35" s="10">
        <v>260000000</v>
      </c>
      <c r="X35" s="10">
        <v>500000000</v>
      </c>
      <c r="Y35" s="10">
        <v>760000000</v>
      </c>
      <c r="Z35" s="10">
        <v>4120000000</v>
      </c>
      <c r="AB35" s="10">
        <v>-70000000</v>
      </c>
      <c r="AC35" s="10">
        <v>249000000</v>
      </c>
      <c r="AD35" s="10">
        <v>249000000</v>
      </c>
      <c r="AF35" s="10">
        <v>12472000000</v>
      </c>
      <c r="AJ35" s="10">
        <v>3574000000</v>
      </c>
      <c r="AM35" s="10">
        <v>285000000</v>
      </c>
      <c r="AN35" s="10">
        <v>3212000000</v>
      </c>
      <c r="AO35" s="10">
        <v>1687000000</v>
      </c>
      <c r="AP35" s="10">
        <v>2769000000</v>
      </c>
      <c r="AQ35" s="10">
        <v>4456000000</v>
      </c>
      <c r="AT35" s="10">
        <v>5717000000</v>
      </c>
      <c r="AV35" s="10">
        <v>2588000000</v>
      </c>
      <c r="AW35" s="10">
        <v>5313000000</v>
      </c>
      <c r="AX35" s="10">
        <v>56000000</v>
      </c>
      <c r="BB35" s="10">
        <v>157800000</v>
      </c>
      <c r="BC35" s="10">
        <v>853000000</v>
      </c>
      <c r="BD35" s="10">
        <v>500000000</v>
      </c>
      <c r="BE35" s="10">
        <v>1048000000</v>
      </c>
      <c r="BF35" s="10">
        <v>-70000000</v>
      </c>
      <c r="BH35" s="10">
        <v>334000000</v>
      </c>
      <c r="BI35" s="10">
        <v>657000000</v>
      </c>
      <c r="BK35" s="10">
        <v>1581000000</v>
      </c>
      <c r="BN35" s="10">
        <v>1960000000</v>
      </c>
      <c r="BO35" s="10">
        <v>2312000000</v>
      </c>
      <c r="BR35" s="10">
        <v>853000000</v>
      </c>
      <c r="BS35" s="10">
        <v>0</v>
      </c>
      <c r="BT35" s="10">
        <v>245000000</v>
      </c>
      <c r="BV35" s="10">
        <v>-2830000000</v>
      </c>
      <c r="BW35" s="10">
        <v>157800000</v>
      </c>
      <c r="BX35" s="10">
        <v>305000000</v>
      </c>
      <c r="BY35" s="10">
        <v>56000000</v>
      </c>
      <c r="BZ35" s="10">
        <v>9538000000</v>
      </c>
      <c r="CA35" s="10">
        <v>3074000000</v>
      </c>
      <c r="CB35" s="10">
        <v>5216000000</v>
      </c>
      <c r="CC35" s="10">
        <v>305000000</v>
      </c>
      <c r="CD35" s="10">
        <v>9233000000</v>
      </c>
      <c r="CE35" s="10">
        <v>5896000000</v>
      </c>
      <c r="CF35" s="10">
        <v>5113000000</v>
      </c>
      <c r="CI35" s="10">
        <v>-478000000</v>
      </c>
      <c r="CM35" s="10">
        <v>1863000000</v>
      </c>
      <c r="CN35" s="10">
        <v>1863000000</v>
      </c>
      <c r="CO35"/>
      <c r="DC35"/>
      <c r="DV35" s="41">
        <v>2021</v>
      </c>
      <c r="DX35" s="10"/>
      <c r="DY35" s="10"/>
      <c r="DZ35" s="10"/>
      <c r="EA35" t="s">
        <v>660</v>
      </c>
    </row>
    <row r="36" spans="1:131" x14ac:dyDescent="0.35">
      <c r="A36" t="s">
        <v>659</v>
      </c>
      <c r="B36" s="22">
        <v>44592</v>
      </c>
      <c r="C36">
        <v>2022</v>
      </c>
      <c r="D36" t="s">
        <v>212</v>
      </c>
      <c r="E36" t="s">
        <v>213</v>
      </c>
      <c r="F36" s="10">
        <v>1529000000</v>
      </c>
      <c r="G36" s="10">
        <v>255000000</v>
      </c>
      <c r="H36" s="10">
        <v>-7737000000</v>
      </c>
      <c r="M36" s="10">
        <v>1338000000</v>
      </c>
      <c r="N36" s="10">
        <v>1798000000</v>
      </c>
      <c r="O36" s="10">
        <v>3283000000</v>
      </c>
      <c r="P36" s="10">
        <v>322000000</v>
      </c>
      <c r="Q36" s="10">
        <v>322000000</v>
      </c>
      <c r="R36" s="10">
        <v>3283000000</v>
      </c>
      <c r="S36" s="10">
        <v>581000000</v>
      </c>
      <c r="T36" s="10">
        <v>373000000</v>
      </c>
      <c r="U36" s="10">
        <v>383000000</v>
      </c>
      <c r="V36" s="10">
        <v>3172000000</v>
      </c>
      <c r="W36" s="10">
        <v>242000000</v>
      </c>
      <c r="Y36" s="10">
        <v>242000000</v>
      </c>
      <c r="Z36" s="10">
        <v>3314000000</v>
      </c>
      <c r="AB36" s="10">
        <v>-50000000</v>
      </c>
      <c r="AC36" s="10">
        <v>249000000</v>
      </c>
      <c r="AD36" s="10">
        <v>249000000</v>
      </c>
      <c r="AF36" s="10">
        <v>12795000000</v>
      </c>
      <c r="AJ36" s="10">
        <v>3434000000</v>
      </c>
      <c r="AM36" s="10">
        <v>285000000</v>
      </c>
      <c r="AN36" s="10">
        <v>3350000000</v>
      </c>
      <c r="AO36" s="10">
        <v>1556000000</v>
      </c>
      <c r="AP36" s="10">
        <v>2853000000</v>
      </c>
      <c r="AQ36" s="10">
        <v>4409000000</v>
      </c>
      <c r="AT36" s="10">
        <v>5953000000</v>
      </c>
      <c r="AV36" s="10">
        <v>2531000000</v>
      </c>
      <c r="AW36" s="10">
        <v>5058000000</v>
      </c>
      <c r="AX36" s="10">
        <v>332000000</v>
      </c>
      <c r="BB36" s="10">
        <v>159400000</v>
      </c>
      <c r="BC36" s="10">
        <v>306000000</v>
      </c>
      <c r="BE36" s="10">
        <v>1160000000</v>
      </c>
      <c r="BF36" s="10">
        <v>-50000000</v>
      </c>
      <c r="BH36" s="10">
        <v>390000000</v>
      </c>
      <c r="BI36" s="10">
        <v>565000000</v>
      </c>
      <c r="BK36" s="10">
        <v>1496000000</v>
      </c>
      <c r="BN36" s="10">
        <v>1529000000</v>
      </c>
      <c r="BO36" s="10">
        <v>1912000000</v>
      </c>
      <c r="BR36" s="10">
        <v>306000000</v>
      </c>
      <c r="BS36" s="10">
        <v>0</v>
      </c>
      <c r="BT36" s="10">
        <v>255000000</v>
      </c>
      <c r="BV36" s="10">
        <v>-2652000000</v>
      </c>
      <c r="BW36" s="10">
        <v>159400000</v>
      </c>
      <c r="BX36" s="10">
        <v>581000000</v>
      </c>
      <c r="BY36" s="10">
        <v>332000000</v>
      </c>
      <c r="BZ36" s="10">
        <v>8869000000</v>
      </c>
      <c r="CA36" s="10">
        <v>3434000000</v>
      </c>
      <c r="CB36" s="10">
        <v>4651000000</v>
      </c>
      <c r="CC36" s="10">
        <v>581000000</v>
      </c>
      <c r="CD36" s="10">
        <v>8288000000</v>
      </c>
      <c r="CE36" s="10">
        <v>5697000000</v>
      </c>
      <c r="CF36" s="10">
        <v>4974000000</v>
      </c>
      <c r="CI36" s="10">
        <v>-142000000</v>
      </c>
      <c r="CM36" s="10">
        <v>2289000000</v>
      </c>
      <c r="CN36" s="10">
        <v>2289000000</v>
      </c>
      <c r="CO36"/>
      <c r="DC36"/>
      <c r="DV36" s="41">
        <v>2022</v>
      </c>
      <c r="DX36" s="10"/>
      <c r="DY36" s="10"/>
      <c r="DZ36" s="10"/>
      <c r="EA36" t="s">
        <v>660</v>
      </c>
    </row>
    <row r="37" spans="1:131" x14ac:dyDescent="0.35">
      <c r="A37" t="s">
        <v>659</v>
      </c>
      <c r="B37" s="22">
        <v>44957</v>
      </c>
      <c r="C37">
        <v>2023</v>
      </c>
      <c r="D37" t="s">
        <v>212</v>
      </c>
      <c r="E37" t="s">
        <v>213</v>
      </c>
      <c r="F37" s="10">
        <v>1238000000</v>
      </c>
      <c r="G37" s="10">
        <v>265000000</v>
      </c>
      <c r="H37" s="10">
        <v>-8289000000</v>
      </c>
      <c r="M37" s="10">
        <v>1352000000</v>
      </c>
      <c r="N37" s="10">
        <v>1784000000</v>
      </c>
      <c r="O37" s="10">
        <v>3353000000</v>
      </c>
      <c r="P37" s="10">
        <v>687000000</v>
      </c>
      <c r="Q37" s="10">
        <v>687000000</v>
      </c>
      <c r="R37" s="10">
        <v>3353000000</v>
      </c>
      <c r="S37" s="10">
        <v>739000000</v>
      </c>
      <c r="T37" s="10">
        <v>322000000</v>
      </c>
      <c r="U37" s="10">
        <v>291000000</v>
      </c>
      <c r="V37" s="10">
        <v>3209000000</v>
      </c>
      <c r="W37" s="10">
        <v>258000000</v>
      </c>
      <c r="Y37" s="10">
        <v>258000000</v>
      </c>
      <c r="Z37" s="10">
        <v>2990000000</v>
      </c>
      <c r="AB37" s="10">
        <v>-26000000</v>
      </c>
      <c r="AC37" s="10">
        <v>249000000</v>
      </c>
      <c r="AD37" s="10">
        <v>249000000</v>
      </c>
      <c r="AF37" s="10">
        <v>13110000000</v>
      </c>
      <c r="AJ37" s="10">
        <v>3595000000</v>
      </c>
      <c r="AM37" s="10">
        <v>288000000</v>
      </c>
      <c r="AN37" s="10">
        <v>3389000000</v>
      </c>
      <c r="AO37" s="10">
        <v>1526000000</v>
      </c>
      <c r="AP37" s="10">
        <v>2856000000</v>
      </c>
      <c r="AQ37" s="10">
        <v>4382000000</v>
      </c>
      <c r="AT37" s="10">
        <v>6289000000</v>
      </c>
      <c r="AV37" s="10">
        <v>2169000000</v>
      </c>
      <c r="AW37" s="10">
        <v>4821000000</v>
      </c>
      <c r="AX37" s="10">
        <v>490000000</v>
      </c>
      <c r="BB37" s="10">
        <v>160100000</v>
      </c>
      <c r="BC37" s="10">
        <v>316000000</v>
      </c>
      <c r="BE37" s="10">
        <v>1203000000</v>
      </c>
      <c r="BF37" s="10">
        <v>-26000000</v>
      </c>
      <c r="BH37" s="10">
        <v>466000000</v>
      </c>
      <c r="BI37" s="10">
        <v>634000000</v>
      </c>
      <c r="BK37" s="10">
        <v>1470000000</v>
      </c>
      <c r="BN37" s="10">
        <v>1238000000</v>
      </c>
      <c r="BO37" s="10">
        <v>1529000000</v>
      </c>
      <c r="BS37" s="10">
        <v>0</v>
      </c>
      <c r="BT37" s="10">
        <v>265000000</v>
      </c>
      <c r="BV37" s="10">
        <v>-2588000000</v>
      </c>
      <c r="BW37" s="10">
        <v>160100000</v>
      </c>
      <c r="BX37" s="10">
        <v>739000000</v>
      </c>
      <c r="BY37" s="10">
        <v>490000000</v>
      </c>
      <c r="BZ37" s="10">
        <v>8745000000</v>
      </c>
      <c r="CA37" s="10">
        <v>3595000000</v>
      </c>
      <c r="CB37" s="10">
        <v>4640000000</v>
      </c>
      <c r="CC37" s="10">
        <v>739000000</v>
      </c>
      <c r="CD37" s="10">
        <v>8006000000</v>
      </c>
      <c r="CE37" s="10">
        <v>5536000000</v>
      </c>
      <c r="CF37" s="10">
        <v>5016000000</v>
      </c>
      <c r="CI37" s="10">
        <v>219000000</v>
      </c>
      <c r="CM37" s="10">
        <v>1941000000</v>
      </c>
      <c r="CN37" s="10">
        <v>1941000000</v>
      </c>
      <c r="CO37"/>
      <c r="DC37"/>
      <c r="DV37" s="41">
        <v>2023</v>
      </c>
      <c r="DX37" s="10"/>
      <c r="DY37" s="10"/>
      <c r="DZ37" s="10"/>
      <c r="EA37" t="s">
        <v>660</v>
      </c>
    </row>
    <row r="38" spans="1:131" x14ac:dyDescent="0.35">
      <c r="A38" t="s">
        <v>659</v>
      </c>
      <c r="B38" s="22">
        <v>45322</v>
      </c>
      <c r="C38">
        <v>2024</v>
      </c>
      <c r="D38" t="s">
        <v>212</v>
      </c>
      <c r="E38" t="s">
        <v>213</v>
      </c>
      <c r="F38" s="10">
        <v>1236000000</v>
      </c>
      <c r="G38" s="10">
        <v>334000000</v>
      </c>
      <c r="H38" s="10">
        <v>-8251000000</v>
      </c>
      <c r="M38" s="10">
        <v>1365000000</v>
      </c>
      <c r="N38" s="10">
        <v>1617000000</v>
      </c>
      <c r="O38" s="10">
        <v>3418000000</v>
      </c>
      <c r="P38" s="10">
        <v>628000000</v>
      </c>
      <c r="Q38" s="10">
        <v>628000000</v>
      </c>
      <c r="R38" s="10">
        <v>3418000000</v>
      </c>
      <c r="S38" s="10">
        <v>848000000</v>
      </c>
      <c r="T38" s="10">
        <v>365000000</v>
      </c>
      <c r="U38" s="10">
        <v>244000000</v>
      </c>
      <c r="V38" s="10">
        <v>3136000000</v>
      </c>
      <c r="W38" s="10">
        <v>240000000</v>
      </c>
      <c r="X38" s="10">
        <v>250000000</v>
      </c>
      <c r="Y38" s="10">
        <v>490000000</v>
      </c>
      <c r="Z38" s="10">
        <v>3072000000</v>
      </c>
      <c r="AB38" s="10">
        <v>8000000</v>
      </c>
      <c r="AC38" s="10">
        <v>249000000</v>
      </c>
      <c r="AD38" s="10">
        <v>249000000</v>
      </c>
      <c r="AF38" s="10">
        <v>12787000000</v>
      </c>
      <c r="AJ38" s="10">
        <v>3710000000</v>
      </c>
      <c r="AM38" s="10">
        <v>283000000</v>
      </c>
      <c r="AN38" s="10">
        <v>3103000000</v>
      </c>
      <c r="AO38" s="10">
        <v>1377000000</v>
      </c>
      <c r="AP38" s="10">
        <v>2612000000</v>
      </c>
      <c r="AQ38" s="10">
        <v>3989000000</v>
      </c>
      <c r="AT38" s="10">
        <v>6312000000</v>
      </c>
      <c r="AV38" s="10">
        <v>2234000000</v>
      </c>
      <c r="AW38" s="10">
        <v>4536000000</v>
      </c>
      <c r="AX38" s="10">
        <v>599000000</v>
      </c>
      <c r="BB38" s="10">
        <v>162400000</v>
      </c>
      <c r="BC38" s="10">
        <v>286000000</v>
      </c>
      <c r="BD38" s="10">
        <v>250000000</v>
      </c>
      <c r="BE38" s="10">
        <v>1102000000</v>
      </c>
      <c r="BF38" s="10">
        <v>8000000</v>
      </c>
      <c r="BH38" s="10">
        <v>523000000</v>
      </c>
      <c r="BI38" s="10">
        <v>535000000</v>
      </c>
      <c r="BK38" s="10">
        <v>1359000000</v>
      </c>
      <c r="BN38" s="10">
        <v>1236000000</v>
      </c>
      <c r="BO38" s="10">
        <v>1480000000</v>
      </c>
      <c r="BS38" s="10">
        <v>0</v>
      </c>
      <c r="BT38" s="10">
        <v>334000000</v>
      </c>
      <c r="BV38" s="10">
        <v>-2578000000</v>
      </c>
      <c r="BW38" s="10">
        <v>162400000</v>
      </c>
      <c r="BX38" s="10">
        <v>848000000</v>
      </c>
      <c r="BY38" s="10">
        <v>599000000</v>
      </c>
      <c r="BZ38" s="10">
        <v>8444000000</v>
      </c>
      <c r="CA38" s="10">
        <v>3460000000</v>
      </c>
      <c r="CB38" s="10">
        <v>4479000000</v>
      </c>
      <c r="CC38" s="10">
        <v>848000000</v>
      </c>
      <c r="CD38" s="10">
        <v>7596000000</v>
      </c>
      <c r="CE38" s="10">
        <v>5308000000</v>
      </c>
      <c r="CF38" s="10">
        <v>4524000000</v>
      </c>
      <c r="CI38" s="10">
        <v>64000000</v>
      </c>
      <c r="CM38" s="10">
        <v>1888000000</v>
      </c>
      <c r="CN38" s="10">
        <v>1888000000</v>
      </c>
      <c r="CO38"/>
      <c r="DC38"/>
      <c r="DV38" s="41">
        <v>2024</v>
      </c>
      <c r="DX38" s="10"/>
      <c r="DY38" s="10"/>
      <c r="DZ38" s="10"/>
      <c r="EA38" t="s">
        <v>660</v>
      </c>
    </row>
    <row r="39" spans="1:131" x14ac:dyDescent="0.35">
      <c r="A39" t="s">
        <v>661</v>
      </c>
      <c r="B39" s="22">
        <v>43830</v>
      </c>
      <c r="C39">
        <v>2019</v>
      </c>
      <c r="D39" t="s">
        <v>212</v>
      </c>
      <c r="E39" t="s">
        <v>213</v>
      </c>
      <c r="L39" s="10">
        <v>767000000</v>
      </c>
      <c r="AG39" s="10">
        <v>767000000</v>
      </c>
      <c r="BR39" s="10">
        <v>754000000</v>
      </c>
      <c r="CM39" s="10">
        <v>2227000000</v>
      </c>
      <c r="CO39"/>
      <c r="CS39" s="10">
        <v>172000000</v>
      </c>
      <c r="CT39" s="10">
        <v>3267000000</v>
      </c>
      <c r="DC39"/>
      <c r="DN39" s="10">
        <v>-1373000000</v>
      </c>
      <c r="DO39" s="10">
        <v>767000000</v>
      </c>
      <c r="DV39" s="41">
        <v>2019</v>
      </c>
      <c r="DX39" s="10"/>
      <c r="DY39" s="10"/>
      <c r="DZ39" s="10">
        <v>-1373000000</v>
      </c>
      <c r="EA39" t="s">
        <v>662</v>
      </c>
    </row>
    <row r="40" spans="1:131" x14ac:dyDescent="0.35">
      <c r="A40" t="s">
        <v>661</v>
      </c>
      <c r="B40" s="22">
        <v>44196</v>
      </c>
      <c r="C40">
        <v>2020</v>
      </c>
      <c r="D40" t="s">
        <v>212</v>
      </c>
      <c r="E40" t="s">
        <v>213</v>
      </c>
      <c r="F40" s="10">
        <v>2713000000</v>
      </c>
      <c r="G40" s="10">
        <v>7219000000</v>
      </c>
      <c r="H40" s="10">
        <v>-3585000000</v>
      </c>
      <c r="I40" s="10">
        <v>44325000000</v>
      </c>
      <c r="J40" s="10">
        <v>-663000000</v>
      </c>
      <c r="L40" s="10">
        <v>433000000</v>
      </c>
      <c r="M40" s="10">
        <v>5732000000</v>
      </c>
      <c r="N40" s="10">
        <v>997000000</v>
      </c>
      <c r="O40" s="10">
        <v>292000000</v>
      </c>
      <c r="P40" s="10">
        <v>14546000000</v>
      </c>
      <c r="Q40" s="10">
        <v>16450000000</v>
      </c>
      <c r="R40" s="10">
        <v>292000000</v>
      </c>
      <c r="S40" s="10">
        <v>37822000000</v>
      </c>
      <c r="T40" s="10">
        <v>487000000</v>
      </c>
      <c r="U40" s="10">
        <v>434000000</v>
      </c>
      <c r="V40" s="10">
        <v>30192000000</v>
      </c>
      <c r="W40" s="10">
        <v>164000000</v>
      </c>
      <c r="X40" s="10">
        <v>2340000000</v>
      </c>
      <c r="Y40" s="10">
        <v>2504000000</v>
      </c>
      <c r="Z40" s="10">
        <v>19080000000</v>
      </c>
      <c r="AB40" s="10">
        <v>-1839000000</v>
      </c>
      <c r="AC40" s="10">
        <v>20547000000</v>
      </c>
      <c r="AD40" s="10">
        <v>73996000000</v>
      </c>
      <c r="AE40" s="10">
        <v>7882000000</v>
      </c>
      <c r="AF40" s="10">
        <v>10330000000</v>
      </c>
      <c r="AG40" s="10">
        <v>433000000</v>
      </c>
      <c r="AH40" s="10">
        <v>647000000</v>
      </c>
      <c r="AI40" s="10">
        <v>434000000</v>
      </c>
      <c r="AJ40" s="10">
        <v>88498000000</v>
      </c>
      <c r="AK40" s="10">
        <v>433000000</v>
      </c>
      <c r="AL40" s="10">
        <v>4509000000</v>
      </c>
      <c r="AM40" s="10">
        <v>189000000</v>
      </c>
      <c r="AO40" s="10">
        <v>833000000</v>
      </c>
      <c r="AP40" s="10">
        <v>48336000000</v>
      </c>
      <c r="AQ40" s="10">
        <v>49169000000</v>
      </c>
      <c r="AR40" s="10">
        <v>4076000000</v>
      </c>
      <c r="AT40" s="10">
        <v>3063000000</v>
      </c>
      <c r="AU40" s="10">
        <v>60000000</v>
      </c>
      <c r="AV40" s="10">
        <v>36130000000</v>
      </c>
      <c r="AW40" s="10">
        <v>6745000000</v>
      </c>
      <c r="AX40" s="10">
        <v>-36174000000</v>
      </c>
      <c r="AY40" s="10">
        <v>6108000000</v>
      </c>
      <c r="AZ40" s="10">
        <v>5407000000</v>
      </c>
      <c r="BB40" s="10">
        <v>2221000000</v>
      </c>
      <c r="BC40" s="10">
        <v>1025000000</v>
      </c>
      <c r="BD40" s="10">
        <v>2340000000</v>
      </c>
      <c r="BE40" s="10">
        <v>10241000000</v>
      </c>
      <c r="BF40" s="10">
        <v>-1839000000</v>
      </c>
      <c r="BG40" s="10">
        <v>53449000000</v>
      </c>
      <c r="BH40" s="10">
        <v>1670000000</v>
      </c>
      <c r="BI40" s="10">
        <v>326000000</v>
      </c>
      <c r="BK40" s="10">
        <v>859000000</v>
      </c>
      <c r="BL40" s="10">
        <v>1536000000</v>
      </c>
      <c r="BM40" s="10">
        <v>1904000000</v>
      </c>
      <c r="BN40" s="10">
        <v>4489000000</v>
      </c>
      <c r="BO40" s="10">
        <v>4923000000</v>
      </c>
      <c r="BP40" s="10">
        <v>1412000000</v>
      </c>
      <c r="BR40" s="10">
        <v>1799000000</v>
      </c>
      <c r="BS40" s="10">
        <v>0</v>
      </c>
      <c r="BT40" s="10">
        <v>10554000000</v>
      </c>
      <c r="BU40" s="10">
        <v>89000000</v>
      </c>
      <c r="BV40" s="10">
        <v>21281000000</v>
      </c>
      <c r="BW40" s="10">
        <v>2900000000</v>
      </c>
      <c r="BX40" s="10">
        <v>37822000000</v>
      </c>
      <c r="BY40" s="10">
        <v>-36174000000</v>
      </c>
      <c r="BZ40" s="10">
        <v>118481000000</v>
      </c>
      <c r="CA40" s="10">
        <v>86158000000</v>
      </c>
      <c r="CB40" s="10">
        <v>51673000000</v>
      </c>
      <c r="CC40" s="10">
        <v>37882000000</v>
      </c>
      <c r="CD40" s="10">
        <v>80599000000</v>
      </c>
      <c r="CE40" s="10">
        <v>88289000000</v>
      </c>
      <c r="CF40" s="10">
        <v>61519000000</v>
      </c>
      <c r="CG40" s="10">
        <v>647000000</v>
      </c>
      <c r="CH40" s="10">
        <v>5017000000</v>
      </c>
      <c r="CI40" s="10">
        <v>11112000000</v>
      </c>
      <c r="CL40" s="10">
        <v>899000000</v>
      </c>
      <c r="CM40" s="10">
        <v>932000000</v>
      </c>
      <c r="CN40" s="10">
        <v>2074000000</v>
      </c>
      <c r="CO40"/>
      <c r="CP40" s="10">
        <v>1161000000</v>
      </c>
      <c r="CQ40" s="10">
        <v>1161000000</v>
      </c>
      <c r="CR40" s="10">
        <v>899000000</v>
      </c>
      <c r="CS40" s="10">
        <v>207000000</v>
      </c>
      <c r="CT40" s="10">
        <v>2015000000</v>
      </c>
      <c r="CX40" s="10">
        <v>357000000</v>
      </c>
      <c r="DA40" s="10">
        <v>1129000000</v>
      </c>
      <c r="DC40"/>
      <c r="DG40" s="10">
        <v>3568</v>
      </c>
      <c r="DH40" s="10">
        <v>0</v>
      </c>
      <c r="DI40" s="10">
        <v>679000000</v>
      </c>
      <c r="DJ40" s="10">
        <v>26237000000</v>
      </c>
      <c r="DL40" s="10">
        <v>208000000</v>
      </c>
      <c r="DN40" s="10">
        <v>-1080000000</v>
      </c>
      <c r="DO40" s="10">
        <v>433000000</v>
      </c>
      <c r="DP40" s="10">
        <v>1799000000</v>
      </c>
      <c r="DV40" s="41">
        <v>2020</v>
      </c>
      <c r="DX40" s="10"/>
      <c r="DY40" s="10"/>
      <c r="DZ40" s="10"/>
      <c r="EA40" t="s">
        <v>662</v>
      </c>
    </row>
    <row r="41" spans="1:131" x14ac:dyDescent="0.35">
      <c r="A41" t="s">
        <v>661</v>
      </c>
      <c r="B41" s="22">
        <v>44561</v>
      </c>
      <c r="C41">
        <v>2021</v>
      </c>
      <c r="D41" t="s">
        <v>212</v>
      </c>
      <c r="E41" t="s">
        <v>213</v>
      </c>
      <c r="F41" s="10">
        <v>2949000000</v>
      </c>
      <c r="G41" s="10">
        <v>7979000000</v>
      </c>
      <c r="H41" s="10">
        <v>-4033000000</v>
      </c>
      <c r="I41" s="10">
        <v>44361000000</v>
      </c>
      <c r="J41" s="10">
        <v>-744000000</v>
      </c>
      <c r="L41" s="10">
        <v>2713000000</v>
      </c>
      <c r="M41" s="10">
        <v>5897000000</v>
      </c>
      <c r="N41" s="10">
        <v>1043000000</v>
      </c>
      <c r="O41" s="10">
        <v>292000000</v>
      </c>
      <c r="P41" s="10">
        <v>13979000000</v>
      </c>
      <c r="Q41" s="10">
        <v>17221000000</v>
      </c>
      <c r="R41" s="10">
        <v>292000000</v>
      </c>
      <c r="S41" s="10">
        <v>35946000000</v>
      </c>
      <c r="T41" s="10">
        <v>764000000</v>
      </c>
      <c r="U41" s="10">
        <v>378000000</v>
      </c>
      <c r="V41" s="10">
        <v>33262000000</v>
      </c>
      <c r="W41" s="10">
        <v>169000000</v>
      </c>
      <c r="X41" s="10">
        <v>4948000000</v>
      </c>
      <c r="Y41" s="10">
        <v>5117000000</v>
      </c>
      <c r="Z41" s="10">
        <v>21868000000</v>
      </c>
      <c r="AB41" s="10">
        <v>-1268000000</v>
      </c>
      <c r="AC41" s="10">
        <v>20502000000</v>
      </c>
      <c r="AD41" s="10">
        <v>63277000000</v>
      </c>
      <c r="AE41" s="10">
        <v>8723000000</v>
      </c>
      <c r="AF41" s="10">
        <v>11001000000</v>
      </c>
      <c r="AH41" s="10">
        <v>754000000</v>
      </c>
      <c r="AI41" s="10">
        <v>378000000</v>
      </c>
      <c r="AJ41" s="10">
        <v>80499000000</v>
      </c>
      <c r="AK41" s="10">
        <v>0</v>
      </c>
      <c r="AL41" s="10">
        <v>2713000000</v>
      </c>
      <c r="AM41" s="10">
        <v>169000000</v>
      </c>
      <c r="AO41" s="10">
        <v>874000000</v>
      </c>
      <c r="AP41" s="10">
        <v>39605000000</v>
      </c>
      <c r="AQ41" s="10">
        <v>40479000000</v>
      </c>
      <c r="AR41" s="10">
        <v>2713000000</v>
      </c>
      <c r="AT41" s="10">
        <v>3252000000</v>
      </c>
      <c r="AU41" s="10">
        <v>60000000</v>
      </c>
      <c r="AV41" s="10">
        <v>30574000000</v>
      </c>
      <c r="AW41" s="10">
        <v>6968000000</v>
      </c>
      <c r="AX41" s="10">
        <v>-27331000000</v>
      </c>
      <c r="AY41" s="10">
        <v>5254000000</v>
      </c>
      <c r="AZ41" s="10">
        <v>4501000000</v>
      </c>
      <c r="BB41" s="10">
        <v>2153000000</v>
      </c>
      <c r="BC41" s="10">
        <v>1290000000</v>
      </c>
      <c r="BD41" s="10">
        <v>4948000000</v>
      </c>
      <c r="BE41" s="10">
        <v>10109000000</v>
      </c>
      <c r="BF41" s="10">
        <v>180000000</v>
      </c>
      <c r="BG41" s="10">
        <v>42775000000</v>
      </c>
      <c r="BH41" s="10">
        <v>1338000000</v>
      </c>
      <c r="BI41" s="10">
        <v>218000000</v>
      </c>
      <c r="BK41" s="10">
        <v>919000000</v>
      </c>
      <c r="BL41" s="10">
        <v>1751000000</v>
      </c>
      <c r="BM41" s="10">
        <v>3242000000</v>
      </c>
      <c r="BN41" s="10">
        <v>4889000000</v>
      </c>
      <c r="BO41" s="10">
        <v>5267000000</v>
      </c>
      <c r="BP41" s="10">
        <v>1375000000</v>
      </c>
      <c r="BS41" s="10">
        <v>0</v>
      </c>
      <c r="BT41" s="10">
        <v>12516000000</v>
      </c>
      <c r="BU41" s="10">
        <v>140000000</v>
      </c>
      <c r="BV41" s="10">
        <v>23820000000</v>
      </c>
      <c r="BW41" s="10">
        <v>2900000000</v>
      </c>
      <c r="BX41" s="10">
        <v>35946000000</v>
      </c>
      <c r="BY41" s="10">
        <v>-27331000000</v>
      </c>
      <c r="BZ41" s="10">
        <v>109314000000</v>
      </c>
      <c r="CA41" s="10">
        <v>75551000000</v>
      </c>
      <c r="CB41" s="10">
        <v>45596000000</v>
      </c>
      <c r="CC41" s="10">
        <v>36006000000</v>
      </c>
      <c r="CD41" s="10">
        <v>73308000000</v>
      </c>
      <c r="CE41" s="10">
        <v>76052000000</v>
      </c>
      <c r="CF41" s="10">
        <v>51440000000</v>
      </c>
      <c r="CG41" s="10">
        <v>754000000</v>
      </c>
      <c r="CH41" s="10">
        <v>4835000000</v>
      </c>
      <c r="CI41" s="10">
        <v>11394000000</v>
      </c>
      <c r="CL41" s="10">
        <v>654000000</v>
      </c>
      <c r="CM41" s="10">
        <v>543000000</v>
      </c>
      <c r="CN41" s="10">
        <v>2095000000</v>
      </c>
      <c r="CO41"/>
      <c r="CP41" s="10">
        <v>1439000000</v>
      </c>
      <c r="CQ41" s="10">
        <v>1439000000</v>
      </c>
      <c r="CR41" s="10">
        <v>654000000</v>
      </c>
      <c r="CS41" s="10">
        <v>350000000</v>
      </c>
      <c r="CT41" s="10">
        <v>2111000000</v>
      </c>
      <c r="CX41" s="10">
        <v>326000000</v>
      </c>
      <c r="DA41" s="10">
        <v>1186000000</v>
      </c>
      <c r="DB41" s="10">
        <v>-680000000</v>
      </c>
      <c r="DC41"/>
      <c r="DF41" s="10">
        <v>-768000000</v>
      </c>
      <c r="DG41" s="10">
        <v>3484</v>
      </c>
      <c r="DH41" s="10">
        <v>0</v>
      </c>
      <c r="DI41" s="10">
        <v>747000000</v>
      </c>
      <c r="DJ41" s="10">
        <v>31259000000</v>
      </c>
      <c r="DL41" s="10">
        <v>317000000</v>
      </c>
      <c r="DN41" s="10">
        <v>-909000000</v>
      </c>
      <c r="DP41" s="10">
        <v>2786000000</v>
      </c>
      <c r="DV41" s="41">
        <v>2021</v>
      </c>
      <c r="DX41" s="10"/>
      <c r="DY41" s="10"/>
      <c r="DZ41" s="10"/>
      <c r="EA41" t="s">
        <v>662</v>
      </c>
    </row>
    <row r="42" spans="1:131" x14ac:dyDescent="0.35">
      <c r="A42" t="s">
        <v>661</v>
      </c>
      <c r="B42" s="22">
        <v>44926</v>
      </c>
      <c r="C42">
        <v>2022</v>
      </c>
      <c r="D42" t="s">
        <v>212</v>
      </c>
      <c r="E42" t="s">
        <v>213</v>
      </c>
      <c r="F42" s="10">
        <v>3040000000</v>
      </c>
      <c r="G42" s="10">
        <v>8151000000</v>
      </c>
      <c r="H42" s="10">
        <v>-4164000000</v>
      </c>
      <c r="I42" s="10">
        <v>45165000000</v>
      </c>
      <c r="J42" s="10">
        <v>-697000000</v>
      </c>
      <c r="M42" s="10">
        <v>5920000000</v>
      </c>
      <c r="N42" s="10">
        <v>1397000000</v>
      </c>
      <c r="O42" s="10">
        <v>292000000</v>
      </c>
      <c r="P42" s="10">
        <v>9123000000</v>
      </c>
      <c r="Q42" s="10">
        <v>9253000000</v>
      </c>
      <c r="R42" s="10">
        <v>292000000</v>
      </c>
      <c r="S42" s="10">
        <v>31061000000</v>
      </c>
      <c r="T42" s="10">
        <v>1053000000</v>
      </c>
      <c r="U42" s="10">
        <v>321000000</v>
      </c>
      <c r="V42" s="10">
        <v>27273000000</v>
      </c>
      <c r="W42" s="10">
        <v>136000000</v>
      </c>
      <c r="X42" s="10">
        <v>4264000000</v>
      </c>
      <c r="Y42" s="10">
        <v>4400000000</v>
      </c>
      <c r="Z42" s="10">
        <v>21890000000</v>
      </c>
      <c r="AB42" s="10">
        <v>-1281000000</v>
      </c>
      <c r="AC42" s="10">
        <v>21149000000</v>
      </c>
      <c r="AD42" s="10">
        <v>57504000000</v>
      </c>
      <c r="AE42" s="10">
        <v>8848000000</v>
      </c>
      <c r="AF42" s="10">
        <v>11639000000</v>
      </c>
      <c r="AG42" s="10">
        <v>0</v>
      </c>
      <c r="AH42" s="10">
        <v>942000000</v>
      </c>
      <c r="AI42" s="10">
        <v>321000000</v>
      </c>
      <c r="AJ42" s="10">
        <v>70381000000</v>
      </c>
      <c r="AK42" s="10">
        <v>0</v>
      </c>
      <c r="AL42" s="10">
        <v>2187000000</v>
      </c>
      <c r="AM42" s="10">
        <v>162000000</v>
      </c>
      <c r="AO42" s="10">
        <v>1261000000</v>
      </c>
      <c r="AP42" s="10">
        <v>35056000000</v>
      </c>
      <c r="AQ42" s="10">
        <v>36317000000</v>
      </c>
      <c r="AR42" s="10">
        <v>2187000000</v>
      </c>
      <c r="AT42" s="10">
        <v>3284000000</v>
      </c>
      <c r="AU42" s="10">
        <v>57000000</v>
      </c>
      <c r="AV42" s="10">
        <v>30197000000</v>
      </c>
      <c r="AW42" s="10">
        <v>7475000000</v>
      </c>
      <c r="AX42" s="10">
        <v>-26443000000</v>
      </c>
      <c r="AY42" s="10">
        <v>2798000000</v>
      </c>
      <c r="AZ42" s="10">
        <v>2166000000</v>
      </c>
      <c r="BB42" s="10">
        <v>2075000000</v>
      </c>
      <c r="BC42" s="10">
        <v>1596000000</v>
      </c>
      <c r="BD42" s="10">
        <v>4264000000</v>
      </c>
      <c r="BE42" s="10">
        <v>10566000000</v>
      </c>
      <c r="BF42" s="10">
        <v>232000000</v>
      </c>
      <c r="BG42" s="10">
        <v>36355000000</v>
      </c>
      <c r="BH42" s="10">
        <v>752000000</v>
      </c>
      <c r="BI42" s="10">
        <v>303000000</v>
      </c>
      <c r="BK42" s="10">
        <v>1220000000</v>
      </c>
      <c r="BL42" s="10">
        <v>2239000000</v>
      </c>
      <c r="BM42" s="10">
        <v>130000000</v>
      </c>
      <c r="BN42" s="10">
        <v>5178000000</v>
      </c>
      <c r="BO42" s="10">
        <v>5499000000</v>
      </c>
      <c r="BP42" s="10">
        <v>1425000000</v>
      </c>
      <c r="BS42" s="10">
        <v>0</v>
      </c>
      <c r="BT42" s="10">
        <v>13937000000</v>
      </c>
      <c r="BU42" s="10">
        <v>148000000</v>
      </c>
      <c r="BV42" s="10">
        <v>25503000000</v>
      </c>
      <c r="BW42" s="10">
        <v>2900000000</v>
      </c>
      <c r="BX42" s="10">
        <v>31061000000</v>
      </c>
      <c r="BY42" s="10">
        <v>-26443000000</v>
      </c>
      <c r="BZ42" s="10">
        <v>96820000000</v>
      </c>
      <c r="CA42" s="10">
        <v>66117000000</v>
      </c>
      <c r="CB42" s="10">
        <v>40717000000</v>
      </c>
      <c r="CC42" s="10">
        <v>31118000000</v>
      </c>
      <c r="CD42" s="10">
        <v>65702000000</v>
      </c>
      <c r="CE42" s="10">
        <v>69547000000</v>
      </c>
      <c r="CF42" s="10">
        <v>43812000000</v>
      </c>
      <c r="CG42" s="10">
        <v>942000000</v>
      </c>
      <c r="CH42" s="10">
        <v>3992000000</v>
      </c>
      <c r="CI42" s="10">
        <v>5383000000</v>
      </c>
      <c r="CL42" s="10">
        <v>402000000</v>
      </c>
      <c r="CM42" s="10">
        <v>509000000</v>
      </c>
      <c r="CN42" s="10">
        <v>2339000000</v>
      </c>
      <c r="CO42"/>
      <c r="CP42" s="10">
        <v>1344000000</v>
      </c>
      <c r="CQ42" s="10">
        <v>1344000000</v>
      </c>
      <c r="CR42" s="10">
        <v>402000000</v>
      </c>
      <c r="CS42" s="10">
        <v>464000000</v>
      </c>
      <c r="CT42" s="10">
        <v>1850000000</v>
      </c>
      <c r="CX42" s="10">
        <v>283000000</v>
      </c>
      <c r="DA42" s="10">
        <v>1196000000</v>
      </c>
      <c r="DB42" s="10">
        <v>-890000000</v>
      </c>
      <c r="DC42"/>
      <c r="DF42" s="10">
        <v>-623000000</v>
      </c>
      <c r="DG42" s="10">
        <v>3484</v>
      </c>
      <c r="DH42" s="10">
        <v>0</v>
      </c>
      <c r="DI42" s="10">
        <v>825000000</v>
      </c>
      <c r="DJ42" s="10">
        <v>38618000000</v>
      </c>
      <c r="DL42" s="10">
        <v>285000000</v>
      </c>
      <c r="DN42" s="10">
        <v>-484000000</v>
      </c>
      <c r="DP42" s="10">
        <v>3547000000</v>
      </c>
      <c r="DV42" s="41">
        <v>2022</v>
      </c>
      <c r="DX42" s="10"/>
      <c r="DY42" s="10"/>
      <c r="DZ42" s="10"/>
      <c r="EA42" t="s">
        <v>662</v>
      </c>
    </row>
    <row r="43" spans="1:131" x14ac:dyDescent="0.35">
      <c r="A43" t="s">
        <v>661</v>
      </c>
      <c r="B43" s="22">
        <v>45291</v>
      </c>
      <c r="C43">
        <v>2023</v>
      </c>
      <c r="D43" t="s">
        <v>212</v>
      </c>
      <c r="E43" t="s">
        <v>213</v>
      </c>
      <c r="F43" s="10">
        <v>3259000000</v>
      </c>
      <c r="G43" s="10">
        <v>8882000000</v>
      </c>
      <c r="H43" s="10">
        <v>-4803000000</v>
      </c>
      <c r="I43" s="10">
        <v>45684000000</v>
      </c>
      <c r="J43" s="10">
        <v>-669000000</v>
      </c>
      <c r="L43" s="10">
        <v>364000000</v>
      </c>
      <c r="M43" s="10">
        <v>6495000000</v>
      </c>
      <c r="N43" s="10">
        <v>1692000000</v>
      </c>
      <c r="O43" s="10">
        <v>292000000</v>
      </c>
      <c r="P43" s="10">
        <v>11464000000</v>
      </c>
      <c r="Q43" s="10">
        <v>12280000000</v>
      </c>
      <c r="R43" s="10">
        <v>292000000</v>
      </c>
      <c r="S43" s="10">
        <v>29430000000</v>
      </c>
      <c r="T43" s="10">
        <v>1075000000</v>
      </c>
      <c r="U43" s="10">
        <v>349000000</v>
      </c>
      <c r="V43" s="10">
        <v>31770000000</v>
      </c>
      <c r="W43" s="10">
        <v>162000000</v>
      </c>
      <c r="X43" s="10">
        <v>3119000000</v>
      </c>
      <c r="Y43" s="10">
        <v>3281000000</v>
      </c>
      <c r="Z43" s="10">
        <v>22262000000</v>
      </c>
      <c r="AB43" s="10">
        <v>-1546000000</v>
      </c>
      <c r="AC43" s="10">
        <v>21169000000</v>
      </c>
      <c r="AD43" s="10">
        <v>48654000000</v>
      </c>
      <c r="AE43" s="10">
        <v>9551000000</v>
      </c>
      <c r="AF43" s="10">
        <v>12839000000</v>
      </c>
      <c r="AG43" s="10">
        <v>436000000</v>
      </c>
      <c r="AH43" s="10">
        <v>1371000000</v>
      </c>
      <c r="AI43" s="10">
        <v>349000000</v>
      </c>
      <c r="AJ43" s="10">
        <v>69202000000</v>
      </c>
      <c r="AK43" s="10">
        <v>800000000</v>
      </c>
      <c r="AL43" s="10">
        <v>2499000000</v>
      </c>
      <c r="AM43" s="10">
        <v>162000000</v>
      </c>
      <c r="AO43" s="10">
        <v>1530000000</v>
      </c>
      <c r="AP43" s="10">
        <v>36653000000</v>
      </c>
      <c r="AQ43" s="10">
        <v>38183000000</v>
      </c>
      <c r="AR43" s="10">
        <v>1699000000</v>
      </c>
      <c r="AT43" s="10">
        <v>3717000000</v>
      </c>
      <c r="AU43" s="10">
        <v>55000000</v>
      </c>
      <c r="AV43" s="10">
        <v>28308000000</v>
      </c>
      <c r="AW43" s="10">
        <v>8036000000</v>
      </c>
      <c r="AX43" s="10">
        <v>-19224000000</v>
      </c>
      <c r="AY43" s="10">
        <v>1065000000</v>
      </c>
      <c r="AZ43" s="10">
        <v>338000000</v>
      </c>
      <c r="BB43" s="10">
        <v>2021000000</v>
      </c>
      <c r="BC43" s="10">
        <v>1509000000</v>
      </c>
      <c r="BD43" s="10">
        <v>3119000000</v>
      </c>
      <c r="BE43" s="10">
        <v>11498000000</v>
      </c>
      <c r="BF43" s="10">
        <v>4000000</v>
      </c>
      <c r="BG43" s="10">
        <v>27485000000</v>
      </c>
      <c r="BH43" s="10">
        <v>1148000000</v>
      </c>
      <c r="BI43" s="10">
        <v>396000000</v>
      </c>
      <c r="BK43" s="10">
        <v>1390000000</v>
      </c>
      <c r="BL43" s="10">
        <v>2455000000</v>
      </c>
      <c r="BM43" s="10">
        <v>816000000</v>
      </c>
      <c r="BN43" s="10">
        <v>5843000000</v>
      </c>
      <c r="BO43" s="10">
        <v>6192000000</v>
      </c>
      <c r="BP43" s="10">
        <v>1291000000</v>
      </c>
      <c r="BS43" s="10">
        <v>0</v>
      </c>
      <c r="BT43" s="10">
        <v>15264000000</v>
      </c>
      <c r="BU43" s="10">
        <v>55000000</v>
      </c>
      <c r="BV43" s="10">
        <v>28766000000</v>
      </c>
      <c r="BW43" s="10">
        <v>2923000000</v>
      </c>
      <c r="BX43" s="10">
        <v>29430000000</v>
      </c>
      <c r="BY43" s="10">
        <v>-19224000000</v>
      </c>
      <c r="BZ43" s="10">
        <v>95159000000</v>
      </c>
      <c r="CA43" s="10">
        <v>66083000000</v>
      </c>
      <c r="CB43" s="10">
        <v>41464000000</v>
      </c>
      <c r="CC43" s="10">
        <v>29485000000</v>
      </c>
      <c r="CD43" s="10">
        <v>65674000000</v>
      </c>
      <c r="CE43" s="10">
        <v>63389000000</v>
      </c>
      <c r="CF43" s="10">
        <v>43412000000</v>
      </c>
      <c r="CG43" s="10">
        <v>1371000000</v>
      </c>
      <c r="CH43" s="10">
        <v>3288000000</v>
      </c>
      <c r="CI43" s="10">
        <v>9508000000</v>
      </c>
      <c r="CL43" s="10">
        <v>480000000</v>
      </c>
      <c r="CN43" s="10">
        <v>2662000000</v>
      </c>
      <c r="CO43"/>
      <c r="CP43" s="10">
        <v>2768000000</v>
      </c>
      <c r="CQ43" s="10">
        <v>2768000000</v>
      </c>
      <c r="CR43" s="10">
        <v>480000000</v>
      </c>
      <c r="CX43" s="10">
        <v>300000000</v>
      </c>
      <c r="DA43" s="10">
        <v>1213000000</v>
      </c>
      <c r="DB43" s="10">
        <v>-812000000</v>
      </c>
      <c r="DC43"/>
      <c r="DF43" s="10">
        <v>-738000000</v>
      </c>
      <c r="DG43" s="10">
        <v>3484</v>
      </c>
      <c r="DH43" s="10">
        <v>0</v>
      </c>
      <c r="DI43" s="10">
        <v>902000000</v>
      </c>
      <c r="DJ43" s="10">
        <v>43766000000</v>
      </c>
      <c r="DL43" s="10">
        <v>284000000</v>
      </c>
      <c r="DM43" s="10">
        <v>436000000</v>
      </c>
      <c r="DP43" s="10">
        <v>3927000000</v>
      </c>
      <c r="DV43" s="41">
        <v>2023</v>
      </c>
      <c r="DX43" s="10"/>
      <c r="DY43" s="10"/>
      <c r="DZ43" s="10"/>
      <c r="EA43" t="s">
        <v>662</v>
      </c>
    </row>
    <row r="45" spans="1:131" x14ac:dyDescent="0.35">
      <c r="CI45"/>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A5D0B-2092-4744-B0F1-0ED89B0BE026}">
  <sheetPr>
    <tabColor theme="7" tint="0.79998168889431442"/>
  </sheetPr>
  <dimension ref="A1:CY57"/>
  <sheetViews>
    <sheetView showGridLines="0" workbookViewId="0">
      <selection activeCell="G1" sqref="G1"/>
    </sheetView>
  </sheetViews>
  <sheetFormatPr defaultRowHeight="14.5" x14ac:dyDescent="0.35"/>
  <cols>
    <col min="1" max="1" width="13.453125" bestFit="1" customWidth="1"/>
    <col min="2" max="2" width="10.90625" bestFit="1" customWidth="1"/>
    <col min="3" max="3" width="6.81640625" bestFit="1" customWidth="1"/>
    <col min="4" max="4" width="12.54296875" bestFit="1" customWidth="1"/>
    <col min="5" max="5" width="14.54296875" bestFit="1" customWidth="1"/>
    <col min="6" max="6" width="24.90625" style="10" bestFit="1" customWidth="1"/>
    <col min="7" max="7" width="23.54296875" style="10" bestFit="1" customWidth="1"/>
    <col min="8" max="8" width="20.54296875" style="10" bestFit="1" customWidth="1"/>
    <col min="9" max="9" width="41.7265625" style="10" bestFit="1" customWidth="1"/>
    <col min="10" max="10" width="41.453125" style="10" bestFit="1" customWidth="1"/>
    <col min="11" max="11" width="42.26953125" style="10" bestFit="1" customWidth="1"/>
    <col min="12" max="12" width="25.81640625" style="10" bestFit="1" customWidth="1"/>
    <col min="13" max="13" width="26.08984375" style="10" bestFit="1" customWidth="1"/>
    <col min="14" max="14" width="38.08984375" style="10" bestFit="1" customWidth="1"/>
    <col min="15" max="15" width="29.26953125" style="10" bestFit="1" customWidth="1"/>
    <col min="16" max="16" width="31.7265625" style="10" bestFit="1" customWidth="1"/>
    <col min="17" max="17" width="30.36328125" style="10" bestFit="1" customWidth="1"/>
    <col min="18" max="18" width="18.81640625" style="10" bestFit="1" customWidth="1"/>
    <col min="19" max="19" width="37.08984375" style="10" bestFit="1" customWidth="1"/>
    <col min="20" max="20" width="24.26953125" style="10" bestFit="1" customWidth="1"/>
    <col min="21" max="21" width="22" style="10" bestFit="1" customWidth="1"/>
    <col min="22" max="22" width="25.36328125" style="10" bestFit="1" customWidth="1"/>
    <col min="23" max="23" width="29.81640625" style="10" bestFit="1" customWidth="1"/>
    <col min="24" max="24" width="17.08984375" style="10" bestFit="1" customWidth="1"/>
    <col min="25" max="25" width="24" style="10" bestFit="1" customWidth="1"/>
    <col min="26" max="26" width="25.08984375" style="10" bestFit="1" customWidth="1"/>
    <col min="27" max="27" width="21.08984375" style="10" bestFit="1" customWidth="1"/>
    <col min="28" max="28" width="14.7265625" style="10" bestFit="1" customWidth="1"/>
    <col min="29" max="29" width="34.7265625" style="10" bestFit="1" customWidth="1"/>
    <col min="30" max="30" width="29.81640625" style="10" bestFit="1" customWidth="1"/>
    <col min="31" max="31" width="37.36328125" style="10" bestFit="1" customWidth="1"/>
    <col min="32" max="32" width="30.1796875" style="10" bestFit="1" customWidth="1"/>
    <col min="33" max="33" width="18.453125" style="10" bestFit="1" customWidth="1"/>
    <col min="34" max="34" width="20.26953125" style="10" bestFit="1" customWidth="1"/>
    <col min="35" max="35" width="16" style="10" bestFit="1" customWidth="1"/>
    <col min="36" max="36" width="32.1796875" style="10" bestFit="1" customWidth="1"/>
    <col min="37" max="37" width="27" style="10" bestFit="1" customWidth="1"/>
    <col min="38" max="38" width="33.08984375" style="10" bestFit="1" customWidth="1"/>
    <col min="39" max="39" width="30.54296875" style="10" bestFit="1" customWidth="1"/>
    <col min="40" max="40" width="20" style="10" bestFit="1" customWidth="1"/>
    <col min="41" max="41" width="24.1796875" style="10" bestFit="1" customWidth="1"/>
    <col min="42" max="42" width="17.7265625" style="10" bestFit="1" customWidth="1"/>
    <col min="43" max="43" width="24.1796875" style="10" bestFit="1" customWidth="1"/>
    <col min="44" max="44" width="25.26953125" style="10" bestFit="1" customWidth="1"/>
    <col min="45" max="45" width="29.26953125" style="10" bestFit="1" customWidth="1"/>
    <col min="46" max="46" width="27" style="10" bestFit="1" customWidth="1"/>
    <col min="47" max="47" width="36.7265625" style="10" bestFit="1" customWidth="1"/>
    <col min="48" max="48" width="14.54296875" style="10" bestFit="1" customWidth="1"/>
    <col min="49" max="49" width="36.90625" style="10" bestFit="1" customWidth="1"/>
    <col min="50" max="50" width="31.7265625" style="10" bestFit="1" customWidth="1"/>
    <col min="51" max="51" width="29.26953125" style="10" bestFit="1" customWidth="1"/>
    <col min="52" max="52" width="27.1796875" style="10" bestFit="1" customWidth="1"/>
    <col min="53" max="53" width="27" style="10" bestFit="1" customWidth="1"/>
    <col min="54" max="54" width="27.08984375" style="10" bestFit="1" customWidth="1"/>
    <col min="55" max="55" width="25.1796875" style="10" bestFit="1" customWidth="1"/>
    <col min="56" max="56" width="27.453125" style="10" bestFit="1" customWidth="1"/>
    <col min="57" max="57" width="20.81640625" style="10" bestFit="1" customWidth="1"/>
    <col min="58" max="58" width="22.90625" style="10" bestFit="1" customWidth="1"/>
    <col min="59" max="59" width="42.08984375" style="10" bestFit="1" customWidth="1"/>
    <col min="60" max="60" width="21.6328125" style="10" bestFit="1" customWidth="1"/>
    <col min="61" max="61" width="24.36328125" style="10" bestFit="1" customWidth="1"/>
    <col min="62" max="62" width="35" style="10" bestFit="1" customWidth="1"/>
    <col min="63" max="63" width="21.36328125" style="10" bestFit="1" customWidth="1"/>
    <col min="64" max="64" width="23.81640625" style="10" bestFit="1" customWidth="1"/>
    <col min="65" max="65" width="17.26953125" style="10" bestFit="1" customWidth="1"/>
    <col min="66" max="66" width="20.1796875" style="10" bestFit="1" customWidth="1"/>
    <col min="67" max="67" width="26.7265625" style="10" bestFit="1" customWidth="1"/>
    <col min="68" max="68" width="17" style="10" bestFit="1" customWidth="1"/>
    <col min="69" max="69" width="19.453125" style="10" bestFit="1" customWidth="1"/>
    <col min="70" max="70" width="12.90625" style="10" bestFit="1" customWidth="1"/>
    <col min="71" max="71" width="26.36328125" style="10" bestFit="1" customWidth="1"/>
    <col min="72" max="72" width="41.26953125" style="10" bestFit="1" customWidth="1"/>
    <col min="73" max="73" width="23.54296875" style="10" bestFit="1" customWidth="1"/>
    <col min="74" max="74" width="26.81640625" style="10" bestFit="1" customWidth="1"/>
    <col min="75" max="75" width="28.54296875" style="10" bestFit="1" customWidth="1"/>
    <col min="76" max="76" width="20.36328125" style="10" bestFit="1" customWidth="1"/>
    <col min="77" max="77" width="28.1796875" style="10" bestFit="1" customWidth="1"/>
    <col min="78" max="78" width="20.453125" style="10" bestFit="1" customWidth="1"/>
    <col min="79" max="79" width="21.81640625" style="10" bestFit="1" customWidth="1"/>
    <col min="80" max="80" width="27.90625" style="10" bestFit="1" customWidth="1"/>
    <col min="81" max="81" width="15.1796875" style="10" bestFit="1" customWidth="1"/>
    <col min="82" max="82" width="22.90625" style="10" bestFit="1" customWidth="1"/>
    <col min="83" max="83" width="35.36328125" style="10" bestFit="1" customWidth="1"/>
    <col min="84" max="84" width="27.90625" style="10" bestFit="1" customWidth="1"/>
    <col min="85" max="85" width="36" style="10" bestFit="1" customWidth="1"/>
    <col min="86" max="86" width="24.81640625" style="10" bestFit="1" customWidth="1"/>
    <col min="87" max="87" width="21.36328125" style="10" bestFit="1" customWidth="1"/>
    <col min="88" max="88" width="16.81640625" style="10" bestFit="1" customWidth="1"/>
    <col min="89" max="89" width="20.6328125" style="10" bestFit="1" customWidth="1"/>
    <col min="90" max="90" width="25.90625" style="10" bestFit="1" customWidth="1"/>
    <col min="91" max="91" width="17.54296875" style="10" bestFit="1" customWidth="1"/>
    <col min="92" max="92" width="39.7265625" style="10" bestFit="1" customWidth="1"/>
    <col min="93" max="93" width="19.81640625" style="10" bestFit="1" customWidth="1"/>
    <col min="94" max="94" width="39.36328125" style="10" bestFit="1" customWidth="1"/>
    <col min="95" max="95" width="40.26953125" style="10" bestFit="1" customWidth="1"/>
    <col min="96" max="96" width="22.6328125" bestFit="1" customWidth="1"/>
    <col min="97" max="97" width="28.26953125" bestFit="1" customWidth="1"/>
    <col min="98" max="98" width="25.453125" bestFit="1" customWidth="1"/>
    <col min="99" max="99" width="10.6328125" bestFit="1" customWidth="1"/>
    <col min="100" max="100" width="30.08984375" bestFit="1" customWidth="1"/>
    <col min="101" max="101" width="31.26953125" bestFit="1" customWidth="1"/>
    <col min="102" max="102" width="23.453125" bestFit="1" customWidth="1"/>
    <col min="103" max="103" width="8.08984375" bestFit="1" customWidth="1"/>
    <col min="104" max="104" width="25.453125" bestFit="1" customWidth="1"/>
    <col min="105" max="105" width="44.1796875" bestFit="1" customWidth="1"/>
    <col min="106" max="106" width="30.08984375" bestFit="1" customWidth="1"/>
    <col min="107" max="107" width="31.26953125" bestFit="1" customWidth="1"/>
    <col min="108" max="108" width="10.6328125" bestFit="1" customWidth="1"/>
    <col min="109" max="109" width="23.453125" bestFit="1" customWidth="1"/>
    <col min="110" max="110" width="8.08984375" customWidth="1"/>
    <col min="111" max="111" width="23.453125" bestFit="1" customWidth="1"/>
    <col min="112" max="112" width="8.08984375" bestFit="1" customWidth="1"/>
    <col min="113" max="113" width="30.08984375" bestFit="1" customWidth="1"/>
    <col min="114" max="114" width="10.6328125" bestFit="1" customWidth="1"/>
    <col min="115" max="115" width="31.26953125" bestFit="1" customWidth="1"/>
    <col min="116" max="116" width="23.453125" bestFit="1" customWidth="1"/>
    <col min="117" max="117" width="8.08984375" bestFit="1" customWidth="1"/>
    <col min="118" max="118" width="30.08984375" bestFit="1" customWidth="1"/>
    <col min="119" max="119" width="31.26953125" bestFit="1" customWidth="1"/>
    <col min="120" max="120" width="23.453125" bestFit="1" customWidth="1"/>
    <col min="121" max="121" width="8.08984375" bestFit="1" customWidth="1"/>
    <col min="122" max="122" width="30.08984375" customWidth="1"/>
    <col min="123" max="123" width="10.6328125" bestFit="1" customWidth="1"/>
    <col min="124" max="124" width="31.26953125" bestFit="1" customWidth="1"/>
    <col min="125" max="125" width="23.453125" bestFit="1" customWidth="1"/>
    <col min="126" max="126" width="8.08984375" bestFit="1" customWidth="1"/>
    <col min="127" max="127" width="31.26953125" bestFit="1" customWidth="1"/>
    <col min="128" max="128" width="23.453125" bestFit="1" customWidth="1"/>
    <col min="129" max="129" width="8.08984375" bestFit="1" customWidth="1"/>
    <col min="130" max="130" width="30.08984375" bestFit="1" customWidth="1"/>
    <col min="131" max="131" width="31.26953125" bestFit="1" customWidth="1"/>
    <col min="132" max="132" width="23.453125" bestFit="1" customWidth="1"/>
    <col min="133" max="133" width="8.08984375" bestFit="1" customWidth="1"/>
    <col min="134" max="134" width="10.7265625" bestFit="1" customWidth="1"/>
    <col min="135" max="137" width="17" bestFit="1" customWidth="1"/>
    <col min="138" max="138" width="8.1796875" bestFit="1" customWidth="1"/>
    <col min="139" max="139" width="16.36328125" bestFit="1" customWidth="1"/>
    <col min="140" max="140" width="30.08984375" bestFit="1" customWidth="1"/>
    <col min="141" max="141" width="31.26953125" bestFit="1" customWidth="1"/>
    <col min="142" max="142" width="10.6328125" bestFit="1" customWidth="1"/>
    <col min="143" max="143" width="23.453125" customWidth="1"/>
    <col min="144" max="145" width="8.08984375" bestFit="1" customWidth="1"/>
    <col min="146" max="146" width="25.453125" bestFit="1" customWidth="1"/>
    <col min="147" max="147" width="10.6328125" bestFit="1" customWidth="1"/>
    <col min="148" max="148" width="30.08984375" bestFit="1" customWidth="1"/>
    <col min="149" max="149" width="31.26953125" customWidth="1"/>
    <col min="150" max="150" width="23.453125" bestFit="1" customWidth="1"/>
    <col min="151" max="151" width="8.08984375" bestFit="1" customWidth="1"/>
    <col min="152" max="152" width="23.453125" bestFit="1" customWidth="1"/>
    <col min="153" max="153" width="8.08984375" customWidth="1"/>
    <col min="154" max="154" width="32.453125" bestFit="1" customWidth="1"/>
    <col min="155" max="155" width="24.08984375" customWidth="1"/>
    <col min="156" max="156" width="8.26953125" bestFit="1" customWidth="1"/>
    <col min="157" max="157" width="8.26953125" customWidth="1"/>
  </cols>
  <sheetData>
    <row r="1" spans="1:103" x14ac:dyDescent="0.35">
      <c r="A1" t="s">
        <v>139</v>
      </c>
      <c r="B1" t="s">
        <v>140</v>
      </c>
      <c r="C1" t="s">
        <v>476</v>
      </c>
      <c r="D1" t="s">
        <v>141</v>
      </c>
      <c r="E1" t="s">
        <v>142</v>
      </c>
      <c r="F1" s="10" t="s">
        <v>336</v>
      </c>
      <c r="G1" s="10" t="s">
        <v>337</v>
      </c>
      <c r="H1" s="10" t="s">
        <v>338</v>
      </c>
      <c r="I1" s="10" t="s">
        <v>339</v>
      </c>
      <c r="J1" s="10" t="s">
        <v>340</v>
      </c>
      <c r="K1" s="10" t="s">
        <v>341</v>
      </c>
      <c r="L1" s="10" t="s">
        <v>342</v>
      </c>
      <c r="M1" s="10" t="s">
        <v>343</v>
      </c>
      <c r="N1" s="10" t="s">
        <v>344</v>
      </c>
      <c r="O1" s="10" t="s">
        <v>345</v>
      </c>
      <c r="P1" s="10" t="s">
        <v>346</v>
      </c>
      <c r="Q1" s="10" t="s">
        <v>347</v>
      </c>
      <c r="R1" s="10" t="s">
        <v>348</v>
      </c>
      <c r="S1" s="10" t="s">
        <v>349</v>
      </c>
      <c r="T1" s="10" t="s">
        <v>350</v>
      </c>
      <c r="U1" s="10" t="s">
        <v>351</v>
      </c>
      <c r="V1" s="10" t="s">
        <v>352</v>
      </c>
      <c r="W1" s="10" t="s">
        <v>353</v>
      </c>
      <c r="X1" s="10" t="s">
        <v>354</v>
      </c>
      <c r="Y1" s="10" t="s">
        <v>355</v>
      </c>
      <c r="Z1" s="10" t="s">
        <v>356</v>
      </c>
      <c r="AA1" s="10" t="s">
        <v>357</v>
      </c>
      <c r="AB1" s="10" t="s">
        <v>358</v>
      </c>
      <c r="AC1" s="10" t="s">
        <v>359</v>
      </c>
      <c r="AD1" s="10" t="s">
        <v>360</v>
      </c>
      <c r="AE1" s="10" t="s">
        <v>361</v>
      </c>
      <c r="AF1" s="10" t="s">
        <v>362</v>
      </c>
      <c r="AG1" s="10" t="s">
        <v>363</v>
      </c>
      <c r="AH1" s="10" t="s">
        <v>364</v>
      </c>
      <c r="AI1" s="10" t="s">
        <v>365</v>
      </c>
      <c r="AJ1" s="10" t="s">
        <v>366</v>
      </c>
      <c r="AK1" s="10" t="s">
        <v>367</v>
      </c>
      <c r="AL1" s="10" t="s">
        <v>368</v>
      </c>
      <c r="AM1" s="10" t="s">
        <v>369</v>
      </c>
      <c r="AN1" s="10" t="s">
        <v>370</v>
      </c>
      <c r="AO1" s="10" t="s">
        <v>371</v>
      </c>
      <c r="AP1" s="10" t="s">
        <v>372</v>
      </c>
      <c r="AQ1" s="10" t="s">
        <v>373</v>
      </c>
      <c r="AR1" s="10" t="s">
        <v>374</v>
      </c>
      <c r="AS1" s="10" t="s">
        <v>375</v>
      </c>
      <c r="AT1" s="10" t="s">
        <v>376</v>
      </c>
      <c r="AU1" s="10" t="s">
        <v>377</v>
      </c>
      <c r="AV1" s="10" t="s">
        <v>163</v>
      </c>
      <c r="AW1" s="10" t="s">
        <v>378</v>
      </c>
      <c r="AX1" s="10" t="s">
        <v>379</v>
      </c>
      <c r="AY1" s="10" t="s">
        <v>380</v>
      </c>
      <c r="AZ1" s="10" t="s">
        <v>381</v>
      </c>
      <c r="BA1" s="10" t="s">
        <v>382</v>
      </c>
      <c r="BB1" s="10" t="s">
        <v>383</v>
      </c>
      <c r="BC1" s="10" t="s">
        <v>384</v>
      </c>
      <c r="BD1" s="10" t="s">
        <v>385</v>
      </c>
      <c r="BE1" s="10" t="s">
        <v>386</v>
      </c>
      <c r="BF1" s="10" t="s">
        <v>387</v>
      </c>
      <c r="BG1" s="10" t="s">
        <v>388</v>
      </c>
      <c r="BH1" s="10" t="s">
        <v>389</v>
      </c>
      <c r="BI1" s="10" t="s">
        <v>390</v>
      </c>
      <c r="BJ1" s="10" t="s">
        <v>391</v>
      </c>
      <c r="BK1" s="10" t="s">
        <v>392</v>
      </c>
      <c r="BL1" s="10" t="s">
        <v>393</v>
      </c>
      <c r="BM1" s="10" t="s">
        <v>394</v>
      </c>
      <c r="BN1" s="10" t="s">
        <v>395</v>
      </c>
      <c r="BO1" s="10" t="s">
        <v>396</v>
      </c>
      <c r="BP1" s="10" t="s">
        <v>397</v>
      </c>
      <c r="BQ1" s="10" t="s">
        <v>398</v>
      </c>
      <c r="BR1" s="10" t="s">
        <v>399</v>
      </c>
      <c r="BS1" s="10" t="s">
        <v>400</v>
      </c>
      <c r="BT1" s="10" t="s">
        <v>401</v>
      </c>
      <c r="BU1" s="10" t="s">
        <v>402</v>
      </c>
      <c r="BV1" s="10" t="s">
        <v>403</v>
      </c>
      <c r="BW1" s="10" t="s">
        <v>404</v>
      </c>
      <c r="BX1" s="10" t="s">
        <v>405</v>
      </c>
      <c r="BY1" s="10" t="s">
        <v>406</v>
      </c>
      <c r="BZ1" s="10" t="s">
        <v>407</v>
      </c>
      <c r="CA1" s="10" t="s">
        <v>408</v>
      </c>
      <c r="CB1" s="10" t="s">
        <v>409</v>
      </c>
      <c r="CC1" s="10" t="s">
        <v>410</v>
      </c>
      <c r="CD1" s="10" t="s">
        <v>411</v>
      </c>
      <c r="CE1" t="s">
        <v>663</v>
      </c>
      <c r="CF1" s="10" t="s">
        <v>412</v>
      </c>
      <c r="CG1" s="10" t="s">
        <v>413</v>
      </c>
      <c r="CH1" s="10" t="s">
        <v>414</v>
      </c>
      <c r="CI1" t="s">
        <v>613</v>
      </c>
      <c r="CJ1" t="s">
        <v>664</v>
      </c>
      <c r="CK1" t="s">
        <v>665</v>
      </c>
      <c r="CL1" s="10" t="s">
        <v>415</v>
      </c>
      <c r="CM1" t="s">
        <v>666</v>
      </c>
      <c r="CN1" s="10" t="s">
        <v>416</v>
      </c>
      <c r="CO1" t="s">
        <v>641</v>
      </c>
      <c r="CP1" s="10" t="s">
        <v>417</v>
      </c>
      <c r="CQ1" s="10" t="s">
        <v>418</v>
      </c>
      <c r="CR1" s="10" t="s">
        <v>419</v>
      </c>
      <c r="CS1" s="10" t="s">
        <v>420</v>
      </c>
      <c r="CT1" s="10" t="s">
        <v>421</v>
      </c>
      <c r="CU1" t="s">
        <v>628</v>
      </c>
      <c r="CV1" s="10" t="s">
        <v>422</v>
      </c>
      <c r="CW1" s="10" t="s">
        <v>423</v>
      </c>
      <c r="CX1" s="10" t="s">
        <v>424</v>
      </c>
      <c r="CY1" t="s">
        <v>211</v>
      </c>
    </row>
    <row r="2" spans="1:103" x14ac:dyDescent="0.35">
      <c r="A2" s="151" t="s">
        <v>645</v>
      </c>
      <c r="B2" s="22">
        <v>44196</v>
      </c>
      <c r="C2">
        <v>2020</v>
      </c>
      <c r="D2" s="151" t="s">
        <v>212</v>
      </c>
      <c r="E2" s="151" t="s">
        <v>213</v>
      </c>
      <c r="G2" s="10">
        <v>0</v>
      </c>
      <c r="H2" s="10">
        <v>-36000000</v>
      </c>
      <c r="I2" s="10">
        <v>-844000000</v>
      </c>
      <c r="J2" s="10">
        <v>-157000000</v>
      </c>
      <c r="K2" s="10">
        <v>1001000000</v>
      </c>
      <c r="L2" s="10">
        <v>4000000</v>
      </c>
      <c r="M2" s="10">
        <v>134000000</v>
      </c>
      <c r="N2" s="10">
        <v>0</v>
      </c>
      <c r="Q2" s="10">
        <v>-7000000</v>
      </c>
      <c r="R2" s="10">
        <v>4000000</v>
      </c>
      <c r="S2" s="10">
        <v>138000000</v>
      </c>
      <c r="T2" s="10">
        <v>-5000000</v>
      </c>
      <c r="U2" s="10">
        <v>-1000000</v>
      </c>
      <c r="V2" s="10">
        <v>137000000</v>
      </c>
      <c r="W2" s="10">
        <v>-1000000</v>
      </c>
      <c r="Z2" s="10">
        <v>-844000000</v>
      </c>
      <c r="AC2" s="10">
        <v>110000000</v>
      </c>
      <c r="AD2" s="10">
        <v>110000000</v>
      </c>
      <c r="AG2" s="10">
        <v>0</v>
      </c>
      <c r="AH2" s="10">
        <v>-844000000</v>
      </c>
      <c r="AI2" s="10">
        <v>965000000</v>
      </c>
      <c r="AN2" s="10">
        <v>-157000000</v>
      </c>
      <c r="AS2" s="10">
        <v>-121000000</v>
      </c>
      <c r="AT2" s="10">
        <v>-844000000</v>
      </c>
      <c r="AV2" s="10">
        <v>724000000</v>
      </c>
      <c r="AW2" s="10">
        <v>724000000</v>
      </c>
      <c r="BC2" s="10">
        <v>-36000000</v>
      </c>
      <c r="BE2" s="10">
        <v>1001000000</v>
      </c>
      <c r="BK2" s="10">
        <v>-121000000</v>
      </c>
      <c r="BM2" s="10">
        <v>-36000000</v>
      </c>
      <c r="BO2" s="10">
        <v>-844000000</v>
      </c>
      <c r="BP2" s="10">
        <v>0</v>
      </c>
      <c r="BS2" s="10">
        <v>30000000</v>
      </c>
      <c r="BU2" s="10">
        <v>63000000</v>
      </c>
      <c r="BV2" s="10">
        <v>63000000</v>
      </c>
      <c r="BZ2" s="10">
        <v>12000000</v>
      </c>
      <c r="CC2" s="10">
        <v>47000000</v>
      </c>
      <c r="CE2"/>
      <c r="CI2" s="41"/>
      <c r="CJ2"/>
      <c r="CK2"/>
      <c r="CM2"/>
      <c r="CO2" s="41"/>
      <c r="CR2" s="10"/>
      <c r="CS2" s="10"/>
      <c r="CT2" s="10"/>
      <c r="CU2" s="41">
        <v>2020</v>
      </c>
      <c r="CV2" s="10"/>
      <c r="CW2" s="10"/>
      <c r="CX2" s="10"/>
      <c r="CY2" s="151" t="s">
        <v>646</v>
      </c>
    </row>
    <row r="3" spans="1:103" x14ac:dyDescent="0.35">
      <c r="A3" s="151" t="s">
        <v>645</v>
      </c>
      <c r="B3" s="22">
        <v>44561</v>
      </c>
      <c r="C3">
        <v>2021</v>
      </c>
      <c r="D3" s="151" t="s">
        <v>212</v>
      </c>
      <c r="E3" s="151" t="s">
        <v>213</v>
      </c>
      <c r="F3" s="10">
        <v>0</v>
      </c>
      <c r="G3" s="10">
        <v>0</v>
      </c>
      <c r="H3" s="10">
        <v>-54000000</v>
      </c>
      <c r="I3" s="10">
        <v>-799000000</v>
      </c>
      <c r="J3" s="10">
        <v>-97000000</v>
      </c>
      <c r="K3" s="10">
        <v>896000000</v>
      </c>
      <c r="L3" s="10">
        <v>65000000</v>
      </c>
      <c r="M3" s="10">
        <v>-41000000</v>
      </c>
      <c r="N3" s="10">
        <v>0</v>
      </c>
      <c r="Q3" s="10">
        <v>-11000000</v>
      </c>
      <c r="R3" s="10">
        <v>65000000</v>
      </c>
      <c r="S3" s="10">
        <v>24000000</v>
      </c>
      <c r="T3" s="10">
        <v>-21000000</v>
      </c>
      <c r="U3" s="10">
        <v>-14000000</v>
      </c>
      <c r="V3" s="10">
        <v>-97000000</v>
      </c>
      <c r="W3" s="10">
        <v>-14000000</v>
      </c>
      <c r="Z3" s="10">
        <v>-800000000</v>
      </c>
      <c r="AC3" s="10">
        <v>106000000</v>
      </c>
      <c r="AD3" s="10">
        <v>106000000</v>
      </c>
      <c r="AF3" s="10">
        <v>0</v>
      </c>
      <c r="AG3" s="10">
        <v>0</v>
      </c>
      <c r="AH3" s="10">
        <v>-799000000</v>
      </c>
      <c r="AI3" s="10">
        <v>842000000</v>
      </c>
      <c r="AN3" s="10">
        <v>-97000000</v>
      </c>
      <c r="AP3" s="10">
        <v>0</v>
      </c>
      <c r="AQ3" s="10">
        <v>0</v>
      </c>
      <c r="AS3" s="10">
        <v>-34000000</v>
      </c>
      <c r="AT3" s="10">
        <v>-800000000</v>
      </c>
      <c r="AV3" s="10">
        <v>861000000</v>
      </c>
      <c r="AW3" s="10">
        <v>861000000</v>
      </c>
      <c r="AY3" s="10">
        <v>0</v>
      </c>
      <c r="AZ3" s="10">
        <v>0</v>
      </c>
      <c r="BA3" s="10">
        <v>1000000</v>
      </c>
      <c r="BB3" s="10">
        <v>-9000000</v>
      </c>
      <c r="BC3" s="10">
        <v>-54000000</v>
      </c>
      <c r="BE3" s="10">
        <v>896000000</v>
      </c>
      <c r="BF3" s="10">
        <v>-8000000</v>
      </c>
      <c r="BJ3" s="10">
        <v>0</v>
      </c>
      <c r="BK3" s="10">
        <v>-60000000</v>
      </c>
      <c r="BM3" s="10">
        <v>-54000000</v>
      </c>
      <c r="BO3" s="10">
        <v>-800000000</v>
      </c>
      <c r="BP3" s="10">
        <v>26000000</v>
      </c>
      <c r="BR3" s="10">
        <v>0</v>
      </c>
      <c r="BS3" s="10">
        <v>34000000</v>
      </c>
      <c r="BU3" s="10">
        <v>62000000</v>
      </c>
      <c r="BV3" s="10">
        <v>62000000</v>
      </c>
      <c r="BZ3" s="10">
        <v>-75000000</v>
      </c>
      <c r="CC3" s="10">
        <v>44000000</v>
      </c>
      <c r="CE3"/>
      <c r="CI3" s="41"/>
      <c r="CJ3"/>
      <c r="CK3"/>
      <c r="CM3"/>
      <c r="CO3" s="41"/>
      <c r="CR3" s="10"/>
      <c r="CS3" s="10"/>
      <c r="CT3" s="10"/>
      <c r="CU3" s="41">
        <v>2021</v>
      </c>
      <c r="CV3" s="10"/>
      <c r="CW3" s="10"/>
      <c r="CX3" s="10"/>
      <c r="CY3" s="151" t="s">
        <v>646</v>
      </c>
    </row>
    <row r="4" spans="1:103" x14ac:dyDescent="0.35">
      <c r="A4" s="151" t="s">
        <v>645</v>
      </c>
      <c r="B4" s="22">
        <v>44926</v>
      </c>
      <c r="C4">
        <v>2022</v>
      </c>
      <c r="D4" s="151" t="s">
        <v>212</v>
      </c>
      <c r="E4" s="151" t="s">
        <v>213</v>
      </c>
      <c r="F4" s="10">
        <v>0</v>
      </c>
      <c r="G4" s="10">
        <v>0</v>
      </c>
      <c r="H4" s="10">
        <v>-34000000</v>
      </c>
      <c r="I4" s="10">
        <v>-781000000</v>
      </c>
      <c r="J4" s="10">
        <v>-89000000</v>
      </c>
      <c r="K4" s="10">
        <v>870000000</v>
      </c>
      <c r="L4" s="10">
        <v>23000000</v>
      </c>
      <c r="M4" s="10">
        <v>46000000</v>
      </c>
      <c r="N4" s="10">
        <v>0</v>
      </c>
      <c r="Q4" s="10">
        <v>-44000000</v>
      </c>
      <c r="R4" s="10">
        <v>23000000</v>
      </c>
      <c r="S4" s="10">
        <v>69000000</v>
      </c>
      <c r="T4" s="10">
        <v>-5000000</v>
      </c>
      <c r="U4" s="10">
        <v>-88000000</v>
      </c>
      <c r="V4" s="10">
        <v>-106000000</v>
      </c>
      <c r="W4" s="10">
        <v>-88000000</v>
      </c>
      <c r="Z4" s="10">
        <v>-781000000</v>
      </c>
      <c r="AC4" s="10">
        <v>90000000</v>
      </c>
      <c r="AD4" s="10">
        <v>90000000</v>
      </c>
      <c r="AF4" s="10">
        <v>0</v>
      </c>
      <c r="AG4" s="10">
        <v>0</v>
      </c>
      <c r="AH4" s="10">
        <v>-781000000</v>
      </c>
      <c r="AI4" s="10">
        <v>836000000</v>
      </c>
      <c r="AN4" s="10">
        <v>-89000000</v>
      </c>
      <c r="AP4" s="10">
        <v>0</v>
      </c>
      <c r="AQ4" s="10">
        <v>0</v>
      </c>
      <c r="AS4" s="10">
        <v>-55000000</v>
      </c>
      <c r="AT4" s="10">
        <v>-781000000</v>
      </c>
      <c r="AV4" s="10">
        <v>845000000</v>
      </c>
      <c r="AW4" s="10">
        <v>845000000</v>
      </c>
      <c r="AY4" s="10">
        <v>0</v>
      </c>
      <c r="AZ4" s="10">
        <v>0</v>
      </c>
      <c r="BC4" s="10">
        <v>-34000000</v>
      </c>
      <c r="BE4" s="10">
        <v>870000000</v>
      </c>
      <c r="BJ4" s="10">
        <v>0</v>
      </c>
      <c r="BK4" s="10">
        <v>-55000000</v>
      </c>
      <c r="BM4" s="10">
        <v>-34000000</v>
      </c>
      <c r="BO4" s="10">
        <v>-781000000</v>
      </c>
      <c r="BP4" s="10">
        <v>0</v>
      </c>
      <c r="BR4" s="10">
        <v>0</v>
      </c>
      <c r="BS4" s="10">
        <v>41000000</v>
      </c>
      <c r="BU4" s="10">
        <v>50000000</v>
      </c>
      <c r="BV4" s="10">
        <v>50000000</v>
      </c>
      <c r="BZ4" s="10">
        <v>-38000000</v>
      </c>
      <c r="CC4" s="10">
        <v>40000000</v>
      </c>
      <c r="CE4"/>
      <c r="CI4" s="41"/>
      <c r="CJ4"/>
      <c r="CK4"/>
      <c r="CM4"/>
      <c r="CO4" s="41"/>
      <c r="CR4" s="10"/>
      <c r="CS4" s="10"/>
      <c r="CT4" s="10"/>
      <c r="CU4" s="41">
        <v>2022</v>
      </c>
      <c r="CV4" s="10"/>
      <c r="CW4" s="10"/>
      <c r="CX4" s="10"/>
      <c r="CY4" s="151" t="s">
        <v>646</v>
      </c>
    </row>
    <row r="5" spans="1:103" x14ac:dyDescent="0.35">
      <c r="A5" s="151" t="s">
        <v>645</v>
      </c>
      <c r="B5" s="22">
        <v>45291</v>
      </c>
      <c r="C5">
        <v>2023</v>
      </c>
      <c r="D5" s="151" t="s">
        <v>212</v>
      </c>
      <c r="E5" s="151" t="s">
        <v>213</v>
      </c>
      <c r="F5" s="10">
        <v>15000000</v>
      </c>
      <c r="G5" s="10">
        <v>0</v>
      </c>
      <c r="H5" s="10">
        <v>-54000000</v>
      </c>
      <c r="I5" s="10">
        <v>-135000000</v>
      </c>
      <c r="J5" s="10">
        <v>-55000000</v>
      </c>
      <c r="K5" s="10">
        <v>963000000</v>
      </c>
      <c r="L5" s="10">
        <v>-1000000</v>
      </c>
      <c r="M5" s="10">
        <v>-7000000</v>
      </c>
      <c r="N5" s="10">
        <v>762000000</v>
      </c>
      <c r="Q5" s="10">
        <v>-25000000</v>
      </c>
      <c r="R5" s="10">
        <v>-1000000</v>
      </c>
      <c r="S5" s="10">
        <v>-8000000</v>
      </c>
      <c r="T5" s="10">
        <v>-54000000</v>
      </c>
      <c r="U5" s="10">
        <v>2000000</v>
      </c>
      <c r="V5" s="10">
        <v>-33000000</v>
      </c>
      <c r="W5" s="10">
        <v>2000000</v>
      </c>
      <c r="X5" s="10">
        <v>773000000</v>
      </c>
      <c r="Z5" s="10">
        <v>-147000000</v>
      </c>
      <c r="AC5" s="10">
        <v>87000000</v>
      </c>
      <c r="AD5" s="10">
        <v>87000000</v>
      </c>
      <c r="AF5" s="10">
        <v>-11000000</v>
      </c>
      <c r="AG5" s="10">
        <v>762000000</v>
      </c>
      <c r="AH5" s="10">
        <v>-135000000</v>
      </c>
      <c r="AI5" s="10">
        <v>909000000</v>
      </c>
      <c r="AN5" s="10">
        <v>-55000000</v>
      </c>
      <c r="AP5" s="10">
        <v>2608000000</v>
      </c>
      <c r="AQ5" s="10">
        <v>2608000000</v>
      </c>
      <c r="AS5" s="10">
        <v>0</v>
      </c>
      <c r="AT5" s="10">
        <v>-147000000</v>
      </c>
      <c r="AV5" s="10">
        <v>839000000</v>
      </c>
      <c r="AW5" s="10">
        <v>839000000</v>
      </c>
      <c r="AY5" s="10">
        <v>2608000000</v>
      </c>
      <c r="AZ5" s="10">
        <v>2608000000</v>
      </c>
      <c r="BA5" s="10">
        <v>-2600000000</v>
      </c>
      <c r="BB5" s="10">
        <v>-3000000</v>
      </c>
      <c r="BC5" s="10">
        <v>-52000000</v>
      </c>
      <c r="BE5" s="10">
        <v>963000000</v>
      </c>
      <c r="BJ5" s="10">
        <v>4000000</v>
      </c>
      <c r="BK5" s="10">
        <v>0</v>
      </c>
      <c r="BM5" s="10">
        <v>-54000000</v>
      </c>
      <c r="BO5" s="10">
        <v>-147000000</v>
      </c>
      <c r="BP5" s="10">
        <v>0</v>
      </c>
      <c r="BR5" s="10">
        <v>2000000</v>
      </c>
      <c r="BS5" s="10">
        <v>55000000</v>
      </c>
      <c r="BU5" s="10">
        <v>48000000</v>
      </c>
      <c r="BV5" s="10">
        <v>48000000</v>
      </c>
      <c r="BZ5" s="10">
        <v>52000000</v>
      </c>
      <c r="CC5" s="10">
        <v>39000000</v>
      </c>
      <c r="CE5"/>
      <c r="CI5" s="41"/>
      <c r="CJ5"/>
      <c r="CK5"/>
      <c r="CM5"/>
      <c r="CO5" s="41"/>
      <c r="CR5" s="10"/>
      <c r="CS5" s="10"/>
      <c r="CT5" s="10"/>
      <c r="CU5" s="41">
        <v>2023</v>
      </c>
      <c r="CV5" s="10"/>
      <c r="CW5" s="10"/>
      <c r="CX5" s="10"/>
      <c r="CY5" s="151" t="s">
        <v>646</v>
      </c>
    </row>
    <row r="6" spans="1:103" x14ac:dyDescent="0.35">
      <c r="A6" s="151" t="s">
        <v>645</v>
      </c>
      <c r="B6" s="22">
        <v>45473</v>
      </c>
      <c r="C6">
        <v>2024</v>
      </c>
      <c r="D6" s="151" t="s">
        <v>214</v>
      </c>
      <c r="E6" s="151" t="s">
        <v>213</v>
      </c>
      <c r="F6" s="10">
        <v>0</v>
      </c>
      <c r="G6" s="10">
        <v>0</v>
      </c>
      <c r="H6" s="10">
        <v>-57000000</v>
      </c>
      <c r="I6" s="10">
        <v>270000000</v>
      </c>
      <c r="J6" s="10">
        <v>-70000000</v>
      </c>
      <c r="K6" s="10">
        <v>872000000</v>
      </c>
      <c r="L6" s="10">
        <v>22000000</v>
      </c>
      <c r="M6" s="10">
        <v>-38000000</v>
      </c>
      <c r="N6" s="10">
        <v>1043000000</v>
      </c>
      <c r="R6" s="10">
        <v>22000000</v>
      </c>
      <c r="S6" s="10">
        <v>-16000000</v>
      </c>
      <c r="T6" s="10">
        <v>-65000000</v>
      </c>
      <c r="U6" s="10">
        <v>1000000</v>
      </c>
      <c r="V6" s="10">
        <v>-87000000</v>
      </c>
      <c r="W6" s="10">
        <v>1000000</v>
      </c>
      <c r="Z6" s="10">
        <v>291000000</v>
      </c>
      <c r="AC6" s="10">
        <v>84000000</v>
      </c>
      <c r="AD6" s="10">
        <v>84000000</v>
      </c>
      <c r="AF6" s="10">
        <v>-29000000</v>
      </c>
      <c r="AH6" s="10">
        <v>270000000</v>
      </c>
      <c r="AI6" s="10">
        <v>815000000</v>
      </c>
      <c r="AN6" s="10">
        <v>-70000000</v>
      </c>
      <c r="AT6" s="10">
        <v>302000000</v>
      </c>
      <c r="AV6" s="10">
        <v>792000000</v>
      </c>
      <c r="AW6" s="10">
        <v>792000000</v>
      </c>
      <c r="BB6" s="10">
        <v>-15000000</v>
      </c>
      <c r="BC6" s="10">
        <v>-55000000</v>
      </c>
      <c r="BE6" s="10">
        <v>872000000</v>
      </c>
      <c r="BM6" s="10">
        <v>-57000000</v>
      </c>
      <c r="BO6" s="10">
        <v>291000000</v>
      </c>
      <c r="BS6" s="10">
        <v>68000000</v>
      </c>
      <c r="BU6" s="10">
        <v>45000000</v>
      </c>
      <c r="BV6" s="10">
        <v>45000000</v>
      </c>
      <c r="BZ6" s="10">
        <v>18000000</v>
      </c>
      <c r="CC6" s="10">
        <v>39000000</v>
      </c>
      <c r="CE6"/>
      <c r="CI6" s="41"/>
      <c r="CJ6"/>
      <c r="CK6"/>
      <c r="CM6"/>
      <c r="CO6" s="41"/>
      <c r="CR6" s="10"/>
      <c r="CS6" s="10"/>
      <c r="CT6" s="10"/>
      <c r="CU6" s="41">
        <v>2024</v>
      </c>
      <c r="CV6" s="10"/>
      <c r="CW6" s="10"/>
      <c r="CX6" s="10"/>
      <c r="CY6" s="151" t="s">
        <v>646</v>
      </c>
    </row>
    <row r="7" spans="1:103" x14ac:dyDescent="0.35">
      <c r="A7" s="151" t="s">
        <v>647</v>
      </c>
      <c r="B7" s="22">
        <v>43861</v>
      </c>
      <c r="C7">
        <v>2020</v>
      </c>
      <c r="D7" s="151" t="s">
        <v>212</v>
      </c>
      <c r="E7" s="151" t="s">
        <v>213</v>
      </c>
      <c r="AE7" s="10">
        <v>-1886000000</v>
      </c>
      <c r="BT7" s="10">
        <v>-1886000000</v>
      </c>
      <c r="CD7" s="10">
        <v>-1886000000</v>
      </c>
      <c r="CE7"/>
      <c r="CG7" s="10">
        <v>-1036000000</v>
      </c>
      <c r="CI7" s="41"/>
      <c r="CJ7"/>
      <c r="CK7"/>
      <c r="CL7" s="10">
        <v>-4656000000</v>
      </c>
      <c r="CM7"/>
      <c r="CO7" s="41"/>
      <c r="CR7" s="10"/>
      <c r="CS7" s="10"/>
      <c r="CT7" s="10"/>
      <c r="CU7" s="41">
        <v>2020</v>
      </c>
      <c r="CV7" s="10"/>
      <c r="CW7" s="10"/>
      <c r="CX7" s="10"/>
      <c r="CY7" s="151" t="s">
        <v>648</v>
      </c>
    </row>
    <row r="8" spans="1:103" x14ac:dyDescent="0.35">
      <c r="A8" s="151" t="s">
        <v>647</v>
      </c>
      <c r="B8" s="22">
        <v>44227</v>
      </c>
      <c r="C8">
        <v>2021</v>
      </c>
      <c r="D8" s="151" t="s">
        <v>212</v>
      </c>
      <c r="E8" s="151" t="s">
        <v>213</v>
      </c>
      <c r="G8" s="10">
        <v>9515000000</v>
      </c>
      <c r="H8" s="10">
        <v>-10264000000</v>
      </c>
      <c r="I8" s="10">
        <v>-16117000000</v>
      </c>
      <c r="J8" s="10">
        <v>-10071000000</v>
      </c>
      <c r="K8" s="10">
        <v>36074000000</v>
      </c>
      <c r="L8" s="10">
        <v>6966000000</v>
      </c>
      <c r="M8" s="10">
        <v>4623000000</v>
      </c>
      <c r="N8" s="10">
        <v>10121000000</v>
      </c>
      <c r="R8" s="10">
        <v>6830000000</v>
      </c>
      <c r="S8" s="10">
        <v>11453000000</v>
      </c>
      <c r="U8" s="10">
        <v>-1086000000</v>
      </c>
      <c r="V8" s="10">
        <v>7972000000</v>
      </c>
      <c r="X8" s="10">
        <v>9886000000</v>
      </c>
      <c r="Z8" s="10">
        <v>-2625000000</v>
      </c>
      <c r="AA8" s="10">
        <v>1911000000</v>
      </c>
      <c r="AB8" s="10">
        <v>1911000000</v>
      </c>
      <c r="AC8" s="10">
        <v>11152000000</v>
      </c>
      <c r="AD8" s="10">
        <v>11152000000</v>
      </c>
      <c r="AF8" s="10">
        <v>235000000</v>
      </c>
      <c r="AG8" s="10">
        <v>17788000000</v>
      </c>
      <c r="AH8" s="10">
        <v>-16117000000</v>
      </c>
      <c r="AI8" s="10">
        <v>25810000000</v>
      </c>
      <c r="AJ8" s="10">
        <v>-8589000000</v>
      </c>
      <c r="AK8" s="10">
        <v>8401000000</v>
      </c>
      <c r="AL8" s="10">
        <v>5271000000</v>
      </c>
      <c r="AM8" s="10">
        <v>2216000000</v>
      </c>
      <c r="AN8" s="10">
        <v>-10071000000</v>
      </c>
      <c r="AP8" s="10">
        <v>0</v>
      </c>
      <c r="AQ8" s="10">
        <v>0</v>
      </c>
      <c r="AR8" s="10">
        <v>-5382000000</v>
      </c>
      <c r="AS8" s="10">
        <v>-124000000</v>
      </c>
      <c r="AT8" s="10">
        <v>-2625000000</v>
      </c>
      <c r="AV8" s="10">
        <v>13510000000</v>
      </c>
      <c r="AW8" s="10">
        <v>13706000000</v>
      </c>
      <c r="AY8" s="10">
        <v>-5706000000</v>
      </c>
      <c r="AZ8" s="10">
        <v>-5382000000</v>
      </c>
      <c r="BA8" s="10">
        <v>-1670000000</v>
      </c>
      <c r="BB8" s="10">
        <v>102000000</v>
      </c>
      <c r="BC8" s="10">
        <v>-10049000000</v>
      </c>
      <c r="BE8" s="10">
        <v>36074000000</v>
      </c>
      <c r="BF8" s="10">
        <v>8401000000</v>
      </c>
      <c r="BG8" s="10">
        <v>-1848000000</v>
      </c>
      <c r="BH8" s="10">
        <v>-7068000000</v>
      </c>
      <c r="BK8" s="10">
        <v>-180000000</v>
      </c>
      <c r="BM8" s="10">
        <v>-10264000000</v>
      </c>
      <c r="BN8" s="10">
        <v>-5382000000</v>
      </c>
      <c r="BO8" s="10">
        <v>-2625000000</v>
      </c>
      <c r="BP8" s="10">
        <v>56000000</v>
      </c>
      <c r="BR8" s="10">
        <v>215000000</v>
      </c>
      <c r="BT8" s="10">
        <v>-8589000000</v>
      </c>
      <c r="BX8" s="10">
        <v>-6116000000</v>
      </c>
      <c r="BY8" s="10">
        <v>-136000000</v>
      </c>
      <c r="BZ8" s="10">
        <v>-2395000000</v>
      </c>
      <c r="CA8" s="10">
        <v>-136000000</v>
      </c>
      <c r="CB8" s="10">
        <v>-6116000000</v>
      </c>
      <c r="CD8" s="10">
        <v>-8589000000</v>
      </c>
      <c r="CE8"/>
      <c r="CF8" s="10">
        <v>-324000000</v>
      </c>
      <c r="CG8" s="10">
        <v>0</v>
      </c>
      <c r="CI8" s="41"/>
      <c r="CJ8"/>
      <c r="CK8"/>
      <c r="CL8" s="10">
        <v>-324000000</v>
      </c>
      <c r="CM8"/>
      <c r="CO8" s="41"/>
      <c r="CR8" s="10"/>
      <c r="CS8" s="10"/>
      <c r="CT8" s="10"/>
      <c r="CU8" s="41">
        <v>2021</v>
      </c>
      <c r="CV8" s="10"/>
      <c r="CW8" s="10"/>
      <c r="CX8" s="10"/>
      <c r="CY8" s="151" t="s">
        <v>648</v>
      </c>
    </row>
    <row r="9" spans="1:103" x14ac:dyDescent="0.35">
      <c r="A9" s="151" t="s">
        <v>647</v>
      </c>
      <c r="B9" s="22">
        <v>44592</v>
      </c>
      <c r="C9">
        <v>2022</v>
      </c>
      <c r="D9" s="151" t="s">
        <v>212</v>
      </c>
      <c r="E9" s="151" t="s">
        <v>213</v>
      </c>
      <c r="G9" s="10">
        <v>17788000000</v>
      </c>
      <c r="H9" s="10">
        <v>-13106000000</v>
      </c>
      <c r="I9" s="10">
        <v>-22828000000</v>
      </c>
      <c r="J9" s="10">
        <v>-6015000000</v>
      </c>
      <c r="K9" s="10">
        <v>24181000000</v>
      </c>
      <c r="L9" s="10">
        <v>5520000000</v>
      </c>
      <c r="M9" s="10">
        <v>1404000000</v>
      </c>
      <c r="N9" s="10">
        <v>-4802000000</v>
      </c>
      <c r="R9" s="10">
        <v>5559000000</v>
      </c>
      <c r="S9" s="10">
        <v>6963000000</v>
      </c>
      <c r="U9" s="10">
        <v>-1796000000</v>
      </c>
      <c r="V9" s="10">
        <v>-6597000000</v>
      </c>
      <c r="X9" s="10">
        <v>-4662000000</v>
      </c>
      <c r="Z9" s="10">
        <v>-9787000000</v>
      </c>
      <c r="AA9" s="10">
        <v>-755000000</v>
      </c>
      <c r="AB9" s="10">
        <v>-755000000</v>
      </c>
      <c r="AC9" s="10">
        <v>10658000000</v>
      </c>
      <c r="AD9" s="10">
        <v>10658000000</v>
      </c>
      <c r="AF9" s="10">
        <v>-140000000</v>
      </c>
      <c r="AG9" s="10">
        <v>14834000000</v>
      </c>
      <c r="AH9" s="10">
        <v>-22828000000</v>
      </c>
      <c r="AI9" s="10">
        <v>11075000000</v>
      </c>
      <c r="AJ9" s="10">
        <v>2440000000</v>
      </c>
      <c r="AK9" s="10">
        <v>433000000</v>
      </c>
      <c r="AL9" s="10">
        <v>5918000000</v>
      </c>
      <c r="AM9" s="10">
        <v>2237000000</v>
      </c>
      <c r="AN9" s="10">
        <v>-6015000000</v>
      </c>
      <c r="AP9" s="10">
        <v>6945000000</v>
      </c>
      <c r="AQ9" s="10">
        <v>6945000000</v>
      </c>
      <c r="AR9" s="10">
        <v>-13010000000</v>
      </c>
      <c r="AS9" s="10">
        <v>7576000000</v>
      </c>
      <c r="AT9" s="10">
        <v>-9787000000</v>
      </c>
      <c r="AV9" s="10">
        <v>13673000000</v>
      </c>
      <c r="AW9" s="10">
        <v>13940000000</v>
      </c>
      <c r="AY9" s="10">
        <v>-5872000000</v>
      </c>
      <c r="AZ9" s="10">
        <v>-6065000000</v>
      </c>
      <c r="BA9" s="10">
        <v>-1017000000</v>
      </c>
      <c r="BB9" s="10">
        <v>-879000000</v>
      </c>
      <c r="BC9" s="10">
        <v>-12712000000</v>
      </c>
      <c r="BE9" s="10">
        <v>24181000000</v>
      </c>
      <c r="BF9" s="10">
        <v>2843000000</v>
      </c>
      <c r="BG9" s="10">
        <v>1848000000</v>
      </c>
      <c r="BH9" s="10">
        <v>4092000000</v>
      </c>
      <c r="BK9" s="10">
        <v>-359000000</v>
      </c>
      <c r="BM9" s="10">
        <v>-13106000000</v>
      </c>
      <c r="BN9" s="10">
        <v>-13010000000</v>
      </c>
      <c r="BO9" s="10">
        <v>-9787000000</v>
      </c>
      <c r="BP9" s="10">
        <v>7935000000</v>
      </c>
      <c r="BR9" s="10">
        <v>394000000</v>
      </c>
      <c r="BX9" s="10">
        <v>-6152000000</v>
      </c>
      <c r="BY9" s="10">
        <v>39000000</v>
      </c>
      <c r="BZ9" s="10">
        <v>-11764000000</v>
      </c>
      <c r="CA9" s="10">
        <v>39000000</v>
      </c>
      <c r="CB9" s="10">
        <v>-6152000000</v>
      </c>
      <c r="CD9" s="10">
        <v>2440000000</v>
      </c>
      <c r="CE9"/>
      <c r="CF9" s="10">
        <v>193000000</v>
      </c>
      <c r="CG9" s="10">
        <v>0</v>
      </c>
      <c r="CI9" s="41"/>
      <c r="CJ9"/>
      <c r="CK9"/>
      <c r="CM9"/>
      <c r="CO9" s="41"/>
      <c r="CR9" s="10"/>
      <c r="CS9" s="10"/>
      <c r="CT9" s="10"/>
      <c r="CU9" s="41">
        <v>2022</v>
      </c>
      <c r="CV9" s="10"/>
      <c r="CW9" s="10"/>
      <c r="CX9" s="10"/>
      <c r="CY9" s="151" t="s">
        <v>648</v>
      </c>
    </row>
    <row r="10" spans="1:103" x14ac:dyDescent="0.35">
      <c r="A10" s="151" t="s">
        <v>647</v>
      </c>
      <c r="B10" s="22">
        <v>44957</v>
      </c>
      <c r="C10">
        <v>2023</v>
      </c>
      <c r="D10" s="151" t="s">
        <v>212</v>
      </c>
      <c r="E10" s="151" t="s">
        <v>213</v>
      </c>
      <c r="G10" s="10">
        <v>14834000000</v>
      </c>
      <c r="H10" s="10">
        <v>-16857000000</v>
      </c>
      <c r="I10" s="10">
        <v>-17039000000</v>
      </c>
      <c r="J10" s="10">
        <v>-17722000000</v>
      </c>
      <c r="K10" s="10">
        <v>28841000000</v>
      </c>
      <c r="L10" s="10">
        <v>-1425000000</v>
      </c>
      <c r="M10" s="10">
        <v>4393000000</v>
      </c>
      <c r="N10" s="10">
        <v>-5993000000</v>
      </c>
      <c r="R10" s="10">
        <v>-1552000000</v>
      </c>
      <c r="S10" s="10">
        <v>2841000000</v>
      </c>
      <c r="U10" s="10">
        <v>240000000</v>
      </c>
      <c r="V10" s="10">
        <v>2553000000</v>
      </c>
      <c r="X10" s="10">
        <v>-5920000000</v>
      </c>
      <c r="Z10" s="10">
        <v>-9920000000</v>
      </c>
      <c r="AA10" s="10">
        <v>449000000</v>
      </c>
      <c r="AB10" s="10">
        <v>449000000</v>
      </c>
      <c r="AC10" s="10">
        <v>10945000000</v>
      </c>
      <c r="AD10" s="10">
        <v>10945000000</v>
      </c>
      <c r="AF10" s="10">
        <v>-73000000</v>
      </c>
      <c r="AG10" s="10">
        <v>8841000000</v>
      </c>
      <c r="AH10" s="10">
        <v>-17039000000</v>
      </c>
      <c r="AI10" s="10">
        <v>11984000000</v>
      </c>
      <c r="AJ10" s="10">
        <v>1683000000</v>
      </c>
      <c r="AK10" s="10">
        <v>0</v>
      </c>
      <c r="AL10" s="10">
        <v>3310000000</v>
      </c>
      <c r="AM10" s="10">
        <v>2051000000</v>
      </c>
      <c r="AN10" s="10">
        <v>-17722000000</v>
      </c>
      <c r="AP10" s="10">
        <v>5041000000</v>
      </c>
      <c r="AQ10" s="10">
        <v>5041000000</v>
      </c>
      <c r="AR10" s="10">
        <v>-2689000000</v>
      </c>
      <c r="AS10" s="10">
        <v>-740000000</v>
      </c>
      <c r="AT10" s="10">
        <v>-9920000000</v>
      </c>
      <c r="AV10" s="10">
        <v>11680000000</v>
      </c>
      <c r="AW10" s="10">
        <v>11292000000</v>
      </c>
      <c r="AY10" s="10">
        <v>2318000000</v>
      </c>
      <c r="AZ10" s="10">
        <v>2352000000</v>
      </c>
      <c r="BA10" s="10">
        <v>-3323000000</v>
      </c>
      <c r="BB10" s="10">
        <v>-295000000</v>
      </c>
      <c r="BC10" s="10">
        <v>-16687000000</v>
      </c>
      <c r="BE10" s="10">
        <v>28841000000</v>
      </c>
      <c r="BF10" s="10">
        <v>1683000000</v>
      </c>
      <c r="BG10" s="10">
        <v>0</v>
      </c>
      <c r="BH10" s="10">
        <v>3602000000</v>
      </c>
      <c r="BK10" s="10">
        <v>-740000000</v>
      </c>
      <c r="BM10" s="10">
        <v>-16857000000</v>
      </c>
      <c r="BN10" s="10">
        <v>-2689000000</v>
      </c>
      <c r="BO10" s="10">
        <v>-9920000000</v>
      </c>
      <c r="BP10" s="10">
        <v>0</v>
      </c>
      <c r="BR10" s="10">
        <v>170000000</v>
      </c>
      <c r="BX10" s="10">
        <v>-6114000000</v>
      </c>
      <c r="BY10" s="10">
        <v>-127000000</v>
      </c>
      <c r="BZ10" s="10">
        <v>-528000000</v>
      </c>
      <c r="CA10" s="10">
        <v>-127000000</v>
      </c>
      <c r="CB10" s="10">
        <v>-6114000000</v>
      </c>
      <c r="CE10"/>
      <c r="CF10" s="10">
        <v>-34000000</v>
      </c>
      <c r="CI10" s="41"/>
      <c r="CJ10"/>
      <c r="CK10"/>
      <c r="CM10"/>
      <c r="CO10" s="41"/>
      <c r="CR10" s="10"/>
      <c r="CS10" s="10"/>
      <c r="CT10" s="10"/>
      <c r="CU10" s="41">
        <v>2023</v>
      </c>
      <c r="CV10" s="10"/>
      <c r="CW10" s="10"/>
      <c r="CX10" s="10"/>
      <c r="CY10" s="151" t="s">
        <v>648</v>
      </c>
    </row>
    <row r="11" spans="1:103" x14ac:dyDescent="0.35">
      <c r="A11" s="151" t="s">
        <v>647</v>
      </c>
      <c r="B11" s="22">
        <v>45322</v>
      </c>
      <c r="C11">
        <v>2024</v>
      </c>
      <c r="D11" s="151" t="s">
        <v>212</v>
      </c>
      <c r="E11" s="151" t="s">
        <v>213</v>
      </c>
      <c r="G11" s="10">
        <v>8841000000</v>
      </c>
      <c r="H11" s="10">
        <v>-20606000000</v>
      </c>
      <c r="I11" s="10">
        <v>-13414000000</v>
      </c>
      <c r="J11" s="10">
        <v>-21287000000</v>
      </c>
      <c r="K11" s="10">
        <v>35726000000</v>
      </c>
      <c r="L11" s="10">
        <v>2515000000</v>
      </c>
      <c r="M11" s="10">
        <v>-1324000000</v>
      </c>
      <c r="N11" s="10">
        <v>1094000000</v>
      </c>
      <c r="R11" s="10">
        <v>2047000000</v>
      </c>
      <c r="S11" s="10">
        <v>723000000</v>
      </c>
      <c r="U11" s="10">
        <v>-797000000</v>
      </c>
      <c r="V11" s="10">
        <v>1943000000</v>
      </c>
      <c r="X11" s="10">
        <v>1025000000</v>
      </c>
      <c r="Z11" s="10">
        <v>-2779000000</v>
      </c>
      <c r="AA11" s="10">
        <v>-175000000</v>
      </c>
      <c r="AB11" s="10">
        <v>-175000000</v>
      </c>
      <c r="AC11" s="10">
        <v>11853000000</v>
      </c>
      <c r="AD11" s="10">
        <v>11853000000</v>
      </c>
      <c r="AF11" s="10">
        <v>69000000</v>
      </c>
      <c r="AG11" s="10">
        <v>9935000000</v>
      </c>
      <c r="AH11" s="10">
        <v>-13414000000</v>
      </c>
      <c r="AI11" s="10">
        <v>15120000000</v>
      </c>
      <c r="AJ11" s="10">
        <v>3193000000</v>
      </c>
      <c r="AK11" s="10">
        <v>0</v>
      </c>
      <c r="AL11" s="10">
        <v>5879000000</v>
      </c>
      <c r="AM11" s="10">
        <v>2519000000</v>
      </c>
      <c r="AN11" s="10">
        <v>-21287000000</v>
      </c>
      <c r="AP11" s="10">
        <v>4967000000</v>
      </c>
      <c r="AQ11" s="10">
        <v>4967000000</v>
      </c>
      <c r="AR11" s="10">
        <v>-4217000000</v>
      </c>
      <c r="AS11" s="10">
        <v>126000000</v>
      </c>
      <c r="AT11" s="10">
        <v>-2779000000</v>
      </c>
      <c r="AV11" s="10">
        <v>15511000000</v>
      </c>
      <c r="AW11" s="10">
        <v>16270000000</v>
      </c>
      <c r="AY11" s="10">
        <v>1262000000</v>
      </c>
      <c r="AZ11" s="10">
        <v>750000000</v>
      </c>
      <c r="BA11" s="10">
        <v>-5757000000</v>
      </c>
      <c r="BB11" s="10">
        <v>-1057000000</v>
      </c>
      <c r="BC11" s="10">
        <v>-20356000000</v>
      </c>
      <c r="BE11" s="10">
        <v>35726000000</v>
      </c>
      <c r="BF11" s="10">
        <v>3193000000</v>
      </c>
      <c r="BG11" s="10">
        <v>0</v>
      </c>
      <c r="BH11" s="10">
        <v>5835000000</v>
      </c>
      <c r="BK11" s="10">
        <v>-9000000</v>
      </c>
      <c r="BM11" s="10">
        <v>-20606000000</v>
      </c>
      <c r="BN11" s="10">
        <v>-4217000000</v>
      </c>
      <c r="BO11" s="10">
        <v>-2779000000</v>
      </c>
      <c r="BP11" s="10">
        <v>135000000</v>
      </c>
      <c r="BR11" s="10">
        <v>250000000</v>
      </c>
      <c r="BX11" s="10">
        <v>-6140000000</v>
      </c>
      <c r="BY11" s="10">
        <v>-468000000</v>
      </c>
      <c r="BZ11" s="10">
        <v>2017000000</v>
      </c>
      <c r="CA11" s="10">
        <v>-468000000</v>
      </c>
      <c r="CB11" s="10">
        <v>-6140000000</v>
      </c>
      <c r="CE11"/>
      <c r="CF11" s="10">
        <v>512000000</v>
      </c>
      <c r="CI11" s="41"/>
      <c r="CJ11"/>
      <c r="CK11"/>
      <c r="CM11"/>
      <c r="CO11" s="41"/>
      <c r="CR11" s="10"/>
      <c r="CS11" s="10"/>
      <c r="CT11" s="10"/>
      <c r="CU11" s="41">
        <v>2024</v>
      </c>
      <c r="CV11" s="10"/>
      <c r="CW11" s="10"/>
      <c r="CX11" s="10"/>
      <c r="CY11" s="151" t="s">
        <v>648</v>
      </c>
    </row>
    <row r="12" spans="1:103" x14ac:dyDescent="0.35">
      <c r="A12" s="151" t="s">
        <v>647</v>
      </c>
      <c r="B12" s="22">
        <v>45412</v>
      </c>
      <c r="C12">
        <v>2024</v>
      </c>
      <c r="D12" s="151" t="s">
        <v>214</v>
      </c>
      <c r="E12" s="151" t="s">
        <v>213</v>
      </c>
      <c r="G12" s="10">
        <v>10708000000</v>
      </c>
      <c r="H12" s="10">
        <v>-20853000000</v>
      </c>
      <c r="I12" s="10">
        <v>-15675000000</v>
      </c>
      <c r="J12" s="10">
        <v>-20836000000</v>
      </c>
      <c r="K12" s="10">
        <v>35342000000</v>
      </c>
      <c r="L12" s="10">
        <v>1757000000</v>
      </c>
      <c r="M12" s="10">
        <v>-1526000000</v>
      </c>
      <c r="N12" s="10">
        <v>-1248000000</v>
      </c>
      <c r="R12" s="10">
        <v>1692000000</v>
      </c>
      <c r="S12" s="10">
        <v>166000000</v>
      </c>
      <c r="U12" s="10">
        <v>-1327000000</v>
      </c>
      <c r="V12" s="10">
        <v>481000000</v>
      </c>
      <c r="X12" s="10">
        <v>-1169000000</v>
      </c>
      <c r="Z12" s="10">
        <v>-3152000000</v>
      </c>
      <c r="AA12" s="10">
        <v>652000000</v>
      </c>
      <c r="AB12" s="10">
        <v>652000000</v>
      </c>
      <c r="AC12" s="10">
        <v>12136000000</v>
      </c>
      <c r="AD12" s="10">
        <v>12136000000</v>
      </c>
      <c r="AF12" s="10">
        <v>-79000000</v>
      </c>
      <c r="AG12" s="10">
        <v>9539000000</v>
      </c>
      <c r="AH12" s="10">
        <v>-15675000000</v>
      </c>
      <c r="AI12" s="10">
        <v>14489000000</v>
      </c>
      <c r="AN12" s="10">
        <v>-20836000000</v>
      </c>
      <c r="AP12" s="10">
        <v>0</v>
      </c>
      <c r="AQ12" s="10">
        <v>0</v>
      </c>
      <c r="AR12" s="10">
        <v>-4007000000</v>
      </c>
      <c r="AS12" s="10">
        <v>78000000</v>
      </c>
      <c r="AT12" s="10">
        <v>-3152000000</v>
      </c>
      <c r="AV12" s="10">
        <v>18942000000</v>
      </c>
      <c r="AW12" s="10">
        <v>19681000000</v>
      </c>
      <c r="AY12" s="10">
        <v>-253000000</v>
      </c>
      <c r="AZ12" s="10">
        <v>-4007000000</v>
      </c>
      <c r="BA12" s="10">
        <v>-5997000000</v>
      </c>
      <c r="BB12" s="10">
        <v>-336000000</v>
      </c>
      <c r="BC12" s="10">
        <v>-20578000000</v>
      </c>
      <c r="BE12" s="10">
        <v>35342000000</v>
      </c>
      <c r="BH12" s="10">
        <v>6093000000</v>
      </c>
      <c r="BM12" s="10">
        <v>-20853000000</v>
      </c>
      <c r="BN12" s="10">
        <v>-4007000000</v>
      </c>
      <c r="BO12" s="10">
        <v>-3152000000</v>
      </c>
      <c r="BP12" s="10">
        <v>87000000</v>
      </c>
      <c r="BR12" s="10">
        <v>275000000</v>
      </c>
      <c r="BX12" s="10">
        <v>-6273000000</v>
      </c>
      <c r="BY12" s="10">
        <v>-65000000</v>
      </c>
      <c r="BZ12" s="10">
        <v>1642000000</v>
      </c>
      <c r="CA12" s="10">
        <v>-65000000</v>
      </c>
      <c r="CB12" s="10">
        <v>-6273000000</v>
      </c>
      <c r="CE12"/>
      <c r="CF12" s="10">
        <v>3754000000</v>
      </c>
      <c r="CI12" s="41"/>
      <c r="CJ12"/>
      <c r="CK12"/>
      <c r="CM12"/>
      <c r="CO12" s="41"/>
      <c r="CR12" s="10"/>
      <c r="CS12" s="10"/>
      <c r="CT12" s="10"/>
      <c r="CU12" s="41">
        <v>2024</v>
      </c>
      <c r="CV12" s="10"/>
      <c r="CW12" s="10"/>
      <c r="CX12" s="10"/>
      <c r="CY12" s="151" t="s">
        <v>648</v>
      </c>
    </row>
    <row r="13" spans="1:103" x14ac:dyDescent="0.35">
      <c r="A13" s="151" t="s">
        <v>649</v>
      </c>
      <c r="B13" s="22">
        <v>44012</v>
      </c>
      <c r="C13">
        <v>2020</v>
      </c>
      <c r="D13" s="151" t="s">
        <v>212</v>
      </c>
      <c r="E13" s="151" t="s">
        <v>213</v>
      </c>
      <c r="AJ13" s="10">
        <v>-219000000</v>
      </c>
      <c r="AP13" s="10">
        <v>0</v>
      </c>
      <c r="AQ13" s="10">
        <v>0</v>
      </c>
      <c r="CE13"/>
      <c r="CF13" s="10">
        <v>0</v>
      </c>
      <c r="CI13" s="41"/>
      <c r="CJ13"/>
      <c r="CK13"/>
      <c r="CM13"/>
      <c r="CO13" s="41"/>
      <c r="CR13" s="10"/>
      <c r="CS13" s="10"/>
      <c r="CT13" s="10"/>
      <c r="CU13" s="41">
        <v>2020</v>
      </c>
      <c r="CV13" s="10"/>
      <c r="CW13" s="10"/>
      <c r="CX13" s="10"/>
      <c r="CY13" s="151" t="s">
        <v>650</v>
      </c>
    </row>
    <row r="14" spans="1:103" x14ac:dyDescent="0.35">
      <c r="A14" s="151" t="s">
        <v>649</v>
      </c>
      <c r="B14" s="22">
        <v>44377</v>
      </c>
      <c r="C14">
        <v>2021</v>
      </c>
      <c r="D14" s="151" t="s">
        <v>212</v>
      </c>
      <c r="E14" s="151" t="s">
        <v>213</v>
      </c>
      <c r="G14" s="10">
        <v>13576000000</v>
      </c>
      <c r="H14" s="10">
        <v>-20622000000</v>
      </c>
      <c r="I14" s="10">
        <v>-48486000000</v>
      </c>
      <c r="J14" s="10">
        <v>-27577000000</v>
      </c>
      <c r="K14" s="10">
        <v>76740000000</v>
      </c>
      <c r="L14" s="10">
        <v>2798000000</v>
      </c>
      <c r="N14" s="10">
        <v>648000000</v>
      </c>
      <c r="O14" s="10">
        <v>-4391000000</v>
      </c>
      <c r="P14" s="10">
        <v>5551000000</v>
      </c>
      <c r="Q14" s="10">
        <v>2324000000</v>
      </c>
      <c r="R14" s="10">
        <v>2798000000</v>
      </c>
      <c r="S14" s="10">
        <v>2798000000</v>
      </c>
      <c r="U14" s="10">
        <v>-6481000000</v>
      </c>
      <c r="V14" s="10">
        <v>-936000000</v>
      </c>
      <c r="W14" s="10">
        <v>-6481000000</v>
      </c>
      <c r="X14" s="10">
        <v>677000000</v>
      </c>
      <c r="Y14" s="10">
        <v>1693000000</v>
      </c>
      <c r="Z14" s="10">
        <v>-27385000000</v>
      </c>
      <c r="AA14" s="10">
        <v>-150000000</v>
      </c>
      <c r="AB14" s="10">
        <v>-150000000</v>
      </c>
      <c r="AC14" s="10">
        <v>11686000000</v>
      </c>
      <c r="AD14" s="10">
        <v>11686000000</v>
      </c>
      <c r="AF14" s="10">
        <v>-29000000</v>
      </c>
      <c r="AG14" s="10">
        <v>14224000000</v>
      </c>
      <c r="AH14" s="10">
        <v>-48486000000</v>
      </c>
      <c r="AI14" s="10">
        <v>56118000000</v>
      </c>
      <c r="AN14" s="10">
        <v>-27577000000</v>
      </c>
      <c r="AO14" s="10">
        <v>1693000000</v>
      </c>
      <c r="AR14" s="10">
        <v>-3750000000</v>
      </c>
      <c r="AS14" s="10">
        <v>-8909000000</v>
      </c>
      <c r="AT14" s="10">
        <v>-25692000000</v>
      </c>
      <c r="AV14" s="10">
        <v>61271000000</v>
      </c>
      <c r="AW14" s="10">
        <v>61271000000</v>
      </c>
      <c r="AX14" s="10">
        <v>2876000000</v>
      </c>
      <c r="AY14" s="10">
        <v>-3750000000</v>
      </c>
      <c r="AZ14" s="10">
        <v>-3750000000</v>
      </c>
      <c r="BA14" s="10">
        <v>-2523000000</v>
      </c>
      <c r="BB14" s="10">
        <v>-922000000</v>
      </c>
      <c r="BC14" s="10">
        <v>-20622000000</v>
      </c>
      <c r="BE14" s="10">
        <v>76740000000</v>
      </c>
      <c r="BF14" s="10">
        <v>-1249000000</v>
      </c>
      <c r="BK14" s="10">
        <v>-8909000000</v>
      </c>
      <c r="BL14" s="10">
        <v>-62924000000</v>
      </c>
      <c r="BM14" s="10">
        <v>-20622000000</v>
      </c>
      <c r="BN14" s="10">
        <v>-3750000000</v>
      </c>
      <c r="BO14" s="10">
        <v>-27385000000</v>
      </c>
      <c r="BQ14" s="10">
        <v>65800000000</v>
      </c>
      <c r="BS14" s="10">
        <v>6118000000</v>
      </c>
      <c r="BX14" s="10">
        <v>-16521000000</v>
      </c>
      <c r="BZ14" s="10">
        <v>-737000000</v>
      </c>
      <c r="CB14" s="10">
        <v>-16521000000</v>
      </c>
      <c r="CC14" s="10">
        <v>11686000000</v>
      </c>
      <c r="CE14"/>
      <c r="CI14" s="41"/>
      <c r="CJ14"/>
      <c r="CK14"/>
      <c r="CM14"/>
      <c r="CO14" s="41"/>
      <c r="CR14" s="10"/>
      <c r="CS14" s="10"/>
      <c r="CT14" s="10"/>
      <c r="CU14" s="41">
        <v>2021</v>
      </c>
      <c r="CV14" s="10"/>
      <c r="CW14" s="10"/>
      <c r="CX14" s="10"/>
      <c r="CY14" s="151" t="s">
        <v>650</v>
      </c>
    </row>
    <row r="15" spans="1:103" x14ac:dyDescent="0.35">
      <c r="A15" s="151" t="s">
        <v>649</v>
      </c>
      <c r="B15" s="22">
        <v>44742</v>
      </c>
      <c r="C15">
        <v>2022</v>
      </c>
      <c r="D15" s="151" t="s">
        <v>212</v>
      </c>
      <c r="E15" s="151" t="s">
        <v>213</v>
      </c>
      <c r="G15" s="10">
        <v>14224000000</v>
      </c>
      <c r="H15" s="10">
        <v>-23886000000</v>
      </c>
      <c r="I15" s="10">
        <v>-58876000000</v>
      </c>
      <c r="J15" s="10">
        <v>-30311000000</v>
      </c>
      <c r="K15" s="10">
        <v>89035000000</v>
      </c>
      <c r="L15" s="10">
        <v>2943000000</v>
      </c>
      <c r="N15" s="10">
        <v>-293000000</v>
      </c>
      <c r="O15" s="10">
        <v>-3514000000</v>
      </c>
      <c r="P15" s="10">
        <v>3169000000</v>
      </c>
      <c r="Q15" s="10">
        <v>5805000000</v>
      </c>
      <c r="R15" s="10">
        <v>2943000000</v>
      </c>
      <c r="S15" s="10">
        <v>2943000000</v>
      </c>
      <c r="U15" s="10">
        <v>-6834000000</v>
      </c>
      <c r="V15" s="10">
        <v>446000000</v>
      </c>
      <c r="W15" s="10">
        <v>-6834000000</v>
      </c>
      <c r="X15" s="10">
        <v>-152000000</v>
      </c>
      <c r="Y15" s="10">
        <v>1841000000</v>
      </c>
      <c r="Z15" s="10">
        <v>-32696000000</v>
      </c>
      <c r="AA15" s="10">
        <v>-5702000000</v>
      </c>
      <c r="AB15" s="10">
        <v>-5702000000</v>
      </c>
      <c r="AC15" s="10">
        <v>14460000000</v>
      </c>
      <c r="AD15" s="10">
        <v>14460000000</v>
      </c>
      <c r="AF15" s="10">
        <v>-141000000</v>
      </c>
      <c r="AG15" s="10">
        <v>13931000000</v>
      </c>
      <c r="AH15" s="10">
        <v>-58876000000</v>
      </c>
      <c r="AI15" s="10">
        <v>65149000000</v>
      </c>
      <c r="AN15" s="10">
        <v>-30311000000</v>
      </c>
      <c r="AO15" s="10">
        <v>1841000000</v>
      </c>
      <c r="AP15" s="10">
        <v>0</v>
      </c>
      <c r="AQ15" s="10">
        <v>0</v>
      </c>
      <c r="AR15" s="10">
        <v>-9023000000</v>
      </c>
      <c r="AS15" s="10">
        <v>-22038000000</v>
      </c>
      <c r="AT15" s="10">
        <v>-30855000000</v>
      </c>
      <c r="AV15" s="10">
        <v>72738000000</v>
      </c>
      <c r="AW15" s="10">
        <v>72738000000</v>
      </c>
      <c r="AX15" s="10">
        <v>18438000000</v>
      </c>
      <c r="AY15" s="10">
        <v>-9023000000</v>
      </c>
      <c r="AZ15" s="10">
        <v>-9023000000</v>
      </c>
      <c r="BA15" s="10">
        <v>-863000000</v>
      </c>
      <c r="BB15" s="10">
        <v>-2825000000</v>
      </c>
      <c r="BC15" s="10">
        <v>-23886000000</v>
      </c>
      <c r="BE15" s="10">
        <v>89035000000</v>
      </c>
      <c r="BF15" s="10">
        <v>-409000000</v>
      </c>
      <c r="BK15" s="10">
        <v>-22038000000</v>
      </c>
      <c r="BL15" s="10">
        <v>-26456000000</v>
      </c>
      <c r="BM15" s="10">
        <v>-23886000000</v>
      </c>
      <c r="BN15" s="10">
        <v>-9023000000</v>
      </c>
      <c r="BO15" s="10">
        <v>-32696000000</v>
      </c>
      <c r="BQ15" s="10">
        <v>44894000000</v>
      </c>
      <c r="BS15" s="10">
        <v>7502000000</v>
      </c>
      <c r="BX15" s="10">
        <v>-18135000000</v>
      </c>
      <c r="BZ15" s="10">
        <v>-1123000000</v>
      </c>
      <c r="CB15" s="10">
        <v>-18135000000</v>
      </c>
      <c r="CC15" s="10">
        <v>14460000000</v>
      </c>
      <c r="CE15"/>
      <c r="CF15" s="10">
        <v>0</v>
      </c>
      <c r="CH15" s="10">
        <v>0</v>
      </c>
      <c r="CI15" s="41"/>
      <c r="CJ15"/>
      <c r="CK15"/>
      <c r="CM15"/>
      <c r="CO15" s="41"/>
      <c r="CR15" s="10"/>
      <c r="CS15" s="10"/>
      <c r="CT15" s="10"/>
      <c r="CU15" s="41">
        <v>2022</v>
      </c>
      <c r="CV15" s="10"/>
      <c r="CW15" s="10"/>
      <c r="CX15" s="10"/>
      <c r="CY15" s="151" t="s">
        <v>650</v>
      </c>
    </row>
    <row r="16" spans="1:103" x14ac:dyDescent="0.35">
      <c r="A16" s="151" t="s">
        <v>649</v>
      </c>
      <c r="B16" s="22">
        <v>45107</v>
      </c>
      <c r="C16">
        <v>2023</v>
      </c>
      <c r="D16" s="151" t="s">
        <v>212</v>
      </c>
      <c r="E16" s="151" t="s">
        <v>213</v>
      </c>
      <c r="G16" s="10">
        <v>13931000000</v>
      </c>
      <c r="H16" s="10">
        <v>-28107000000</v>
      </c>
      <c r="I16" s="10">
        <v>-43935000000</v>
      </c>
      <c r="J16" s="10">
        <v>-22680000000</v>
      </c>
      <c r="K16" s="10">
        <v>87582000000</v>
      </c>
      <c r="L16" s="10">
        <v>-2721000000</v>
      </c>
      <c r="N16" s="10">
        <v>20773000000</v>
      </c>
      <c r="O16" s="10">
        <v>-4824000000</v>
      </c>
      <c r="P16" s="10">
        <v>2825000000</v>
      </c>
      <c r="Q16" s="10">
        <v>5535000000</v>
      </c>
      <c r="R16" s="10">
        <v>-3079000000</v>
      </c>
      <c r="S16" s="10">
        <v>-3079000000</v>
      </c>
      <c r="U16" s="10">
        <v>-4087000000</v>
      </c>
      <c r="V16" s="10">
        <v>-2388000000</v>
      </c>
      <c r="W16" s="10">
        <v>-4087000000</v>
      </c>
      <c r="X16" s="10">
        <v>20967000000</v>
      </c>
      <c r="Y16" s="10">
        <v>1866000000</v>
      </c>
      <c r="Z16" s="10">
        <v>-22245000000</v>
      </c>
      <c r="AA16" s="10">
        <v>-6059000000</v>
      </c>
      <c r="AB16" s="10">
        <v>-6059000000</v>
      </c>
      <c r="AC16" s="10">
        <v>13861000000</v>
      </c>
      <c r="AD16" s="10">
        <v>13861000000</v>
      </c>
      <c r="AF16" s="10">
        <v>-194000000</v>
      </c>
      <c r="AG16" s="10">
        <v>34704000000</v>
      </c>
      <c r="AH16" s="10">
        <v>-43935000000</v>
      </c>
      <c r="AI16" s="10">
        <v>59475000000</v>
      </c>
      <c r="AN16" s="10">
        <v>-22680000000</v>
      </c>
      <c r="AO16" s="10">
        <v>1866000000</v>
      </c>
      <c r="AP16" s="10">
        <v>0</v>
      </c>
      <c r="AQ16" s="10">
        <v>0</v>
      </c>
      <c r="AR16" s="10">
        <v>-2750000000</v>
      </c>
      <c r="AS16" s="10">
        <v>-1670000000</v>
      </c>
      <c r="AT16" s="10">
        <v>-20379000000</v>
      </c>
      <c r="AV16" s="10">
        <v>72361000000</v>
      </c>
      <c r="AW16" s="10">
        <v>72361000000</v>
      </c>
      <c r="AX16" s="10">
        <v>10213000000</v>
      </c>
      <c r="AY16" s="10">
        <v>-2750000000</v>
      </c>
      <c r="AZ16" s="10">
        <v>-2750000000</v>
      </c>
      <c r="BA16" s="10">
        <v>-1006000000</v>
      </c>
      <c r="BB16" s="10">
        <v>-3116000000</v>
      </c>
      <c r="BC16" s="10">
        <v>-28107000000</v>
      </c>
      <c r="BE16" s="10">
        <v>87582000000</v>
      </c>
      <c r="BF16" s="10">
        <v>196000000</v>
      </c>
      <c r="BK16" s="10">
        <v>-1670000000</v>
      </c>
      <c r="BL16" s="10">
        <v>-37651000000</v>
      </c>
      <c r="BM16" s="10">
        <v>-28107000000</v>
      </c>
      <c r="BN16" s="10">
        <v>-2750000000</v>
      </c>
      <c r="BO16" s="10">
        <v>-22245000000</v>
      </c>
      <c r="BQ16" s="10">
        <v>47864000000</v>
      </c>
      <c r="BS16" s="10">
        <v>9611000000</v>
      </c>
      <c r="BX16" s="10">
        <v>-19800000000</v>
      </c>
      <c r="BY16" s="10">
        <v>-358000000</v>
      </c>
      <c r="BZ16" s="10">
        <v>1242000000</v>
      </c>
      <c r="CA16" s="10">
        <v>-358000000</v>
      </c>
      <c r="CB16" s="10">
        <v>-19800000000</v>
      </c>
      <c r="CC16" s="10">
        <v>13861000000</v>
      </c>
      <c r="CE16"/>
      <c r="CF16" s="10">
        <v>0</v>
      </c>
      <c r="CH16" s="10">
        <v>0</v>
      </c>
      <c r="CI16" s="41"/>
      <c r="CJ16"/>
      <c r="CK16"/>
      <c r="CM16"/>
      <c r="CO16" s="41"/>
      <c r="CR16" s="10"/>
      <c r="CS16" s="10"/>
      <c r="CT16" s="10"/>
      <c r="CU16" s="41">
        <v>2023</v>
      </c>
      <c r="CV16" s="10"/>
      <c r="CW16" s="10"/>
      <c r="CX16" s="10"/>
      <c r="CY16" s="151" t="s">
        <v>650</v>
      </c>
    </row>
    <row r="17" spans="1:103" x14ac:dyDescent="0.35">
      <c r="A17" s="151" t="s">
        <v>649</v>
      </c>
      <c r="B17" s="22">
        <v>45473</v>
      </c>
      <c r="C17">
        <v>2024</v>
      </c>
      <c r="D17" s="151" t="s">
        <v>212</v>
      </c>
      <c r="E17" s="151" t="s">
        <v>213</v>
      </c>
      <c r="G17" s="10">
        <v>34704000000</v>
      </c>
      <c r="H17" s="10">
        <v>-44477000000</v>
      </c>
      <c r="I17" s="10">
        <v>-37757000000</v>
      </c>
      <c r="J17" s="10">
        <v>-96970000000</v>
      </c>
      <c r="K17" s="10">
        <v>118548000000</v>
      </c>
      <c r="L17" s="10">
        <v>3545000000</v>
      </c>
      <c r="N17" s="10">
        <v>-16389000000</v>
      </c>
      <c r="O17" s="10">
        <v>-8465000000</v>
      </c>
      <c r="P17" s="10">
        <v>5616000000</v>
      </c>
      <c r="Q17" s="10">
        <v>5348000000</v>
      </c>
      <c r="R17" s="10">
        <v>5232000000</v>
      </c>
      <c r="S17" s="10">
        <v>5232000000</v>
      </c>
      <c r="U17" s="10">
        <v>-7191000000</v>
      </c>
      <c r="V17" s="10">
        <v>1824000000</v>
      </c>
      <c r="W17" s="10">
        <v>-7191000000</v>
      </c>
      <c r="X17" s="10">
        <v>-16179000000</v>
      </c>
      <c r="Y17" s="10">
        <v>2002000000</v>
      </c>
      <c r="Z17" s="10">
        <v>-17254000000</v>
      </c>
      <c r="AA17" s="10">
        <v>-4738000000</v>
      </c>
      <c r="AB17" s="10">
        <v>-4738000000</v>
      </c>
      <c r="AC17" s="10">
        <v>22287000000</v>
      </c>
      <c r="AD17" s="10">
        <v>22287000000</v>
      </c>
      <c r="AF17" s="10">
        <v>-210000000</v>
      </c>
      <c r="AG17" s="10">
        <v>18315000000</v>
      </c>
      <c r="AH17" s="10">
        <v>-37757000000</v>
      </c>
      <c r="AI17" s="10">
        <v>74071000000</v>
      </c>
      <c r="AN17" s="10">
        <v>-96970000000</v>
      </c>
      <c r="AO17" s="10">
        <v>2002000000</v>
      </c>
      <c r="AP17" s="10">
        <v>29645000000</v>
      </c>
      <c r="AQ17" s="10">
        <v>24395000000</v>
      </c>
      <c r="AR17" s="10">
        <v>-29070000000</v>
      </c>
      <c r="AS17" s="10">
        <v>-69132000000</v>
      </c>
      <c r="AT17" s="10">
        <v>-15252000000</v>
      </c>
      <c r="AV17" s="10">
        <v>88136000000</v>
      </c>
      <c r="AW17" s="10">
        <v>88136000000</v>
      </c>
      <c r="AX17" s="10">
        <v>17937000000</v>
      </c>
      <c r="AY17" s="10">
        <v>575000000</v>
      </c>
      <c r="AZ17" s="10">
        <v>-4675000000</v>
      </c>
      <c r="BA17" s="10">
        <v>-1309000000</v>
      </c>
      <c r="BB17" s="10">
        <v>-1298000000</v>
      </c>
      <c r="BC17" s="10">
        <v>-44477000000</v>
      </c>
      <c r="BE17" s="10">
        <v>118548000000</v>
      </c>
      <c r="BF17" s="10">
        <v>305000000</v>
      </c>
      <c r="BK17" s="10">
        <v>-69132000000</v>
      </c>
      <c r="BL17" s="10">
        <v>-17732000000</v>
      </c>
      <c r="BM17" s="10">
        <v>-44477000000</v>
      </c>
      <c r="BN17" s="10">
        <v>-29070000000</v>
      </c>
      <c r="BO17" s="10">
        <v>-17254000000</v>
      </c>
      <c r="BQ17" s="10">
        <v>35669000000</v>
      </c>
      <c r="BS17" s="10">
        <v>10734000000</v>
      </c>
      <c r="BX17" s="10">
        <v>-21771000000</v>
      </c>
      <c r="BY17" s="10">
        <v>1687000000</v>
      </c>
      <c r="BZ17" s="10">
        <v>1284000000</v>
      </c>
      <c r="CA17" s="10">
        <v>1687000000</v>
      </c>
      <c r="CB17" s="10">
        <v>-21771000000</v>
      </c>
      <c r="CC17" s="10">
        <v>22287000000</v>
      </c>
      <c r="CE17"/>
      <c r="CF17" s="10">
        <v>5250000000</v>
      </c>
      <c r="CH17" s="10">
        <v>5250000000</v>
      </c>
      <c r="CI17" s="41"/>
      <c r="CJ17"/>
      <c r="CK17"/>
      <c r="CM17"/>
      <c r="CO17" s="41"/>
      <c r="CR17" s="10"/>
      <c r="CS17" s="10"/>
      <c r="CT17" s="10"/>
      <c r="CU17" s="41">
        <v>2024</v>
      </c>
      <c r="CV17" s="10"/>
      <c r="CW17" s="10"/>
      <c r="CX17" s="10"/>
      <c r="CY17" s="151" t="s">
        <v>650</v>
      </c>
    </row>
    <row r="18" spans="1:103" x14ac:dyDescent="0.35">
      <c r="A18" s="151" t="s">
        <v>649</v>
      </c>
      <c r="B18" s="22">
        <v>45473</v>
      </c>
      <c r="C18">
        <v>2024</v>
      </c>
      <c r="D18" s="151" t="s">
        <v>214</v>
      </c>
      <c r="E18" s="151" t="s">
        <v>213</v>
      </c>
      <c r="G18" s="10">
        <v>34704000000</v>
      </c>
      <c r="H18" s="10">
        <v>-44477000000</v>
      </c>
      <c r="I18" s="10">
        <v>-37757000000</v>
      </c>
      <c r="J18" s="10">
        <v>-96970000000</v>
      </c>
      <c r="K18" s="10">
        <v>118548000000</v>
      </c>
      <c r="L18" s="10">
        <v>3545000000</v>
      </c>
      <c r="N18" s="10">
        <v>-16389000000</v>
      </c>
      <c r="O18" s="10">
        <v>-8465000000</v>
      </c>
      <c r="P18" s="10">
        <v>5616000000</v>
      </c>
      <c r="Q18" s="10">
        <v>5348000000</v>
      </c>
      <c r="R18" s="10">
        <v>5232000000</v>
      </c>
      <c r="S18" s="10">
        <v>5232000000</v>
      </c>
      <c r="U18" s="10">
        <v>-7191000000</v>
      </c>
      <c r="V18" s="10">
        <v>1824000000</v>
      </c>
      <c r="W18" s="10">
        <v>-7191000000</v>
      </c>
      <c r="X18" s="10">
        <v>-16179000000</v>
      </c>
      <c r="Y18" s="10">
        <v>2002000000</v>
      </c>
      <c r="Z18" s="10">
        <v>-17254000000</v>
      </c>
      <c r="AA18" s="10">
        <v>-4738000000</v>
      </c>
      <c r="AB18" s="10">
        <v>-4738000000</v>
      </c>
      <c r="AC18" s="10">
        <v>22287000000</v>
      </c>
      <c r="AD18" s="10">
        <v>22287000000</v>
      </c>
      <c r="AF18" s="10">
        <v>-210000000</v>
      </c>
      <c r="AG18" s="10">
        <v>18315000000</v>
      </c>
      <c r="AH18" s="10">
        <v>-37757000000</v>
      </c>
      <c r="AI18" s="10">
        <v>74071000000</v>
      </c>
      <c r="AN18" s="10">
        <v>-96970000000</v>
      </c>
      <c r="AO18" s="10">
        <v>2002000000</v>
      </c>
      <c r="AP18" s="10">
        <v>29645000000</v>
      </c>
      <c r="AQ18" s="10">
        <v>24395000000</v>
      </c>
      <c r="AR18" s="10">
        <v>-29070000000</v>
      </c>
      <c r="AS18" s="10">
        <v>-69132000000</v>
      </c>
      <c r="AT18" s="10">
        <v>-15252000000</v>
      </c>
      <c r="AV18" s="10">
        <v>88136000000</v>
      </c>
      <c r="AW18" s="10">
        <v>88136000000</v>
      </c>
      <c r="AX18" s="10">
        <v>17937000000</v>
      </c>
      <c r="AY18" s="10">
        <v>575000000</v>
      </c>
      <c r="AZ18" s="10">
        <v>-4675000000</v>
      </c>
      <c r="BA18" s="10">
        <v>-1309000000</v>
      </c>
      <c r="BB18" s="10">
        <v>-1298000000</v>
      </c>
      <c r="BC18" s="10">
        <v>-44477000000</v>
      </c>
      <c r="BE18" s="10">
        <v>118548000000</v>
      </c>
      <c r="BF18" s="10">
        <v>305000000</v>
      </c>
      <c r="BK18" s="10">
        <v>-69132000000</v>
      </c>
      <c r="BL18" s="10">
        <v>-17732000000</v>
      </c>
      <c r="BM18" s="10">
        <v>-44477000000</v>
      </c>
      <c r="BN18" s="10">
        <v>-29070000000</v>
      </c>
      <c r="BO18" s="10">
        <v>-17254000000</v>
      </c>
      <c r="BQ18" s="10">
        <v>35669000000</v>
      </c>
      <c r="BS18" s="10">
        <v>10734000000</v>
      </c>
      <c r="BX18" s="10">
        <v>-21771000000</v>
      </c>
      <c r="BY18" s="10">
        <v>1687000000</v>
      </c>
      <c r="BZ18" s="10">
        <v>1284000000</v>
      </c>
      <c r="CA18" s="10">
        <v>1687000000</v>
      </c>
      <c r="CB18" s="10">
        <v>-21771000000</v>
      </c>
      <c r="CC18" s="10">
        <v>22287000000</v>
      </c>
      <c r="CE18"/>
      <c r="CF18" s="10">
        <v>5250000000</v>
      </c>
      <c r="CH18" s="10">
        <v>5250000000</v>
      </c>
      <c r="CI18" s="41"/>
      <c r="CJ18"/>
      <c r="CK18"/>
      <c r="CM18"/>
      <c r="CO18" s="41"/>
      <c r="CR18" s="10"/>
      <c r="CS18" s="10"/>
      <c r="CT18" s="10"/>
      <c r="CU18" s="41">
        <v>2024</v>
      </c>
      <c r="CV18" s="10"/>
      <c r="CW18" s="10"/>
      <c r="CX18" s="10"/>
      <c r="CY18" s="151" t="s">
        <v>650</v>
      </c>
    </row>
    <row r="19" spans="1:103" x14ac:dyDescent="0.35">
      <c r="A19" s="151" t="s">
        <v>651</v>
      </c>
      <c r="B19" s="22">
        <v>43830</v>
      </c>
      <c r="C19">
        <v>2019</v>
      </c>
      <c r="D19" s="151" t="s">
        <v>212</v>
      </c>
      <c r="E19" s="151" t="s">
        <v>213</v>
      </c>
      <c r="F19" s="10">
        <v>112000000</v>
      </c>
      <c r="Q19" s="10">
        <v>-715000000</v>
      </c>
      <c r="Y19" s="10">
        <v>5575000000</v>
      </c>
      <c r="AK19" s="10">
        <v>-34000000</v>
      </c>
      <c r="AO19" s="10">
        <v>5575000000</v>
      </c>
      <c r="AX19" s="10">
        <v>-9000000</v>
      </c>
      <c r="BK19" s="10">
        <v>-385000000</v>
      </c>
      <c r="BW19" s="10">
        <v>-5174000000</v>
      </c>
      <c r="CD19" s="10">
        <v>-149000000</v>
      </c>
      <c r="CE19">
        <v>539000000</v>
      </c>
      <c r="CG19" s="10">
        <v>216000000</v>
      </c>
      <c r="CI19" s="41"/>
      <c r="CJ19"/>
      <c r="CK19"/>
      <c r="CM19"/>
      <c r="CN19" s="10">
        <v>-24000000</v>
      </c>
      <c r="CO19" s="41"/>
      <c r="CP19" s="10">
        <v>-77000000</v>
      </c>
      <c r="CQ19" s="10">
        <v>640000000</v>
      </c>
      <c r="CR19" s="10"/>
      <c r="CS19" s="10"/>
      <c r="CT19" s="10"/>
      <c r="CU19" s="41">
        <v>2019</v>
      </c>
      <c r="CV19" s="10">
        <v>216000000</v>
      </c>
      <c r="CW19" s="10"/>
      <c r="CX19" s="10"/>
      <c r="CY19" s="151" t="s">
        <v>652</v>
      </c>
    </row>
    <row r="20" spans="1:103" x14ac:dyDescent="0.35">
      <c r="A20" s="151" t="s">
        <v>651</v>
      </c>
      <c r="B20" s="22">
        <v>44012</v>
      </c>
      <c r="C20">
        <v>2020</v>
      </c>
      <c r="D20" s="151" t="s">
        <v>214</v>
      </c>
      <c r="E20" s="151" t="s">
        <v>213</v>
      </c>
      <c r="CE20"/>
      <c r="CG20" s="10">
        <v>315000000</v>
      </c>
      <c r="CI20" s="41"/>
      <c r="CJ20"/>
      <c r="CK20"/>
      <c r="CM20"/>
      <c r="CO20" s="41"/>
      <c r="CR20" s="10"/>
      <c r="CS20" s="10"/>
      <c r="CT20" s="10"/>
      <c r="CU20" s="41">
        <v>2020</v>
      </c>
      <c r="CV20" s="10"/>
      <c r="CW20" s="10"/>
      <c r="CX20" s="10"/>
      <c r="CY20" s="151" t="s">
        <v>652</v>
      </c>
    </row>
    <row r="21" spans="1:103" x14ac:dyDescent="0.35">
      <c r="A21" s="151" t="s">
        <v>651</v>
      </c>
      <c r="B21" s="22">
        <v>44196</v>
      </c>
      <c r="C21">
        <v>2020</v>
      </c>
      <c r="D21" s="151" t="s">
        <v>212</v>
      </c>
      <c r="E21" s="151" t="s">
        <v>213</v>
      </c>
      <c r="F21" s="10">
        <v>2500000000</v>
      </c>
      <c r="G21" s="10">
        <v>7169000000</v>
      </c>
      <c r="H21" s="10">
        <v>-3781000000</v>
      </c>
      <c r="I21" s="10">
        <v>-8469000000</v>
      </c>
      <c r="J21" s="10">
        <v>6349000000</v>
      </c>
      <c r="K21" s="10">
        <v>10807000000</v>
      </c>
      <c r="N21" s="10">
        <v>8752000000</v>
      </c>
      <c r="R21" s="10">
        <v>503000000</v>
      </c>
      <c r="S21" s="10">
        <v>503000000</v>
      </c>
      <c r="U21" s="10">
        <v>516000000</v>
      </c>
      <c r="V21" s="10">
        <v>592000000</v>
      </c>
      <c r="X21" s="10">
        <v>8752000000</v>
      </c>
      <c r="Y21" s="10">
        <v>0</v>
      </c>
      <c r="AA21" s="10">
        <v>1932000000</v>
      </c>
      <c r="AB21" s="10">
        <v>1932000000</v>
      </c>
      <c r="AC21" s="10">
        <v>4829000000</v>
      </c>
      <c r="AD21" s="10">
        <v>4829000000</v>
      </c>
      <c r="AE21" s="10">
        <v>-156000000</v>
      </c>
      <c r="AF21" s="10">
        <v>-674000000</v>
      </c>
      <c r="AG21" s="10">
        <v>15247000000</v>
      </c>
      <c r="AH21" s="10">
        <v>-8475000000</v>
      </c>
      <c r="AI21" s="10">
        <v>7110000000</v>
      </c>
      <c r="AK21" s="10">
        <v>7000000</v>
      </c>
      <c r="AN21" s="10">
        <v>6336000000</v>
      </c>
      <c r="AO21" s="10">
        <v>0</v>
      </c>
      <c r="AP21" s="10">
        <v>14822000000</v>
      </c>
      <c r="AQ21" s="10">
        <v>14822000000</v>
      </c>
      <c r="AR21" s="10">
        <v>-23577000000</v>
      </c>
      <c r="AS21" s="10">
        <v>10328000000</v>
      </c>
      <c r="AT21" s="10">
        <v>0</v>
      </c>
      <c r="AV21" s="10">
        <v>1405000000</v>
      </c>
      <c r="AW21" s="10">
        <v>147000000</v>
      </c>
      <c r="AY21" s="10">
        <v>-8755000000</v>
      </c>
      <c r="AZ21" s="10">
        <v>-8755000000</v>
      </c>
      <c r="BA21" s="10">
        <v>2086000000</v>
      </c>
      <c r="BB21" s="10">
        <v>-292000000</v>
      </c>
      <c r="BC21" s="10">
        <v>-3687000000</v>
      </c>
      <c r="BE21" s="10">
        <v>10891000000</v>
      </c>
      <c r="BF21" s="10">
        <v>-156000000</v>
      </c>
      <c r="BH21" s="10">
        <v>5923000000</v>
      </c>
      <c r="BK21" s="10">
        <v>-510000000</v>
      </c>
      <c r="BM21" s="10">
        <v>-3781000000</v>
      </c>
      <c r="BN21" s="10">
        <v>-23577000000</v>
      </c>
      <c r="BP21" s="10">
        <v>10838000000</v>
      </c>
      <c r="BR21" s="10">
        <v>94000000</v>
      </c>
      <c r="BS21" s="10">
        <v>169000000</v>
      </c>
      <c r="BT21" s="10">
        <v>1211000000</v>
      </c>
      <c r="BX21" s="10">
        <v>-1800000000</v>
      </c>
      <c r="BZ21" s="10">
        <v>-427000000</v>
      </c>
      <c r="CB21" s="10">
        <v>-1800000000</v>
      </c>
      <c r="CC21" s="10">
        <v>4829000000</v>
      </c>
      <c r="CD21" s="10">
        <v>-69000000</v>
      </c>
      <c r="CE21"/>
      <c r="CI21" s="41">
        <v>51000000</v>
      </c>
      <c r="CJ21">
        <v>-4340000000</v>
      </c>
      <c r="CK21">
        <v>255000000</v>
      </c>
      <c r="CM21">
        <v>-2306000000</v>
      </c>
      <c r="CN21" s="10">
        <v>-6000000</v>
      </c>
      <c r="CO21" s="41"/>
      <c r="CP21" s="10">
        <v>-13000000</v>
      </c>
      <c r="CQ21" s="10">
        <v>84000000</v>
      </c>
      <c r="CR21" s="10"/>
      <c r="CS21" s="10"/>
      <c r="CT21" s="10"/>
      <c r="CU21" s="41">
        <v>2020</v>
      </c>
      <c r="CV21" s="10">
        <v>278000000</v>
      </c>
      <c r="CW21" s="10"/>
      <c r="CX21" s="10"/>
      <c r="CY21" s="151" t="s">
        <v>652</v>
      </c>
    </row>
    <row r="22" spans="1:103" x14ac:dyDescent="0.35">
      <c r="A22" s="151" t="s">
        <v>651</v>
      </c>
      <c r="B22" s="22">
        <v>44561</v>
      </c>
      <c r="C22">
        <v>2021</v>
      </c>
      <c r="D22" s="151" t="s">
        <v>212</v>
      </c>
      <c r="E22" s="151" t="s">
        <v>213</v>
      </c>
      <c r="F22" s="10">
        <v>135000000</v>
      </c>
      <c r="G22" s="10">
        <v>15247000000</v>
      </c>
      <c r="H22" s="10">
        <v>-5640000000</v>
      </c>
      <c r="I22" s="10">
        <v>-11598000000</v>
      </c>
      <c r="J22" s="10">
        <v>-5877000000</v>
      </c>
      <c r="K22" s="10">
        <v>14799000000</v>
      </c>
      <c r="N22" s="10">
        <v>-2677000000</v>
      </c>
      <c r="R22" s="10">
        <v>3527000000</v>
      </c>
      <c r="S22" s="10">
        <v>3527000000</v>
      </c>
      <c r="U22" s="10">
        <v>164000000</v>
      </c>
      <c r="V22" s="10">
        <v>2459000000</v>
      </c>
      <c r="X22" s="10">
        <v>-2678000000</v>
      </c>
      <c r="Z22" s="10">
        <v>0</v>
      </c>
      <c r="AA22" s="10">
        <v>2350000000</v>
      </c>
      <c r="AB22" s="10">
        <v>2350000000</v>
      </c>
      <c r="AC22" s="10">
        <v>5052000000</v>
      </c>
      <c r="AD22" s="10">
        <v>5052000000</v>
      </c>
      <c r="AE22" s="10">
        <v>-248000000</v>
      </c>
      <c r="AF22" s="10">
        <v>-526000000</v>
      </c>
      <c r="AG22" s="10">
        <v>12043000000</v>
      </c>
      <c r="AH22" s="10">
        <v>-11598000000</v>
      </c>
      <c r="AI22" s="10">
        <v>9159000000</v>
      </c>
      <c r="AK22" s="10">
        <v>-44000000</v>
      </c>
      <c r="AN22" s="10">
        <v>-5878000000</v>
      </c>
      <c r="AP22" s="10">
        <v>454000000</v>
      </c>
      <c r="AQ22" s="10">
        <v>454000000</v>
      </c>
      <c r="AR22" s="10">
        <v>-9496000000</v>
      </c>
      <c r="AS22" s="10">
        <v>-444000000</v>
      </c>
      <c r="AT22" s="10">
        <v>0</v>
      </c>
      <c r="AV22" s="10">
        <v>4670000000</v>
      </c>
      <c r="AW22" s="10">
        <v>6114000000</v>
      </c>
      <c r="AY22" s="10">
        <v>-9042000000</v>
      </c>
      <c r="AZ22" s="10">
        <v>-9042000000</v>
      </c>
      <c r="BA22" s="10">
        <v>-192000000</v>
      </c>
      <c r="BB22" s="10">
        <v>64000000</v>
      </c>
      <c r="BC22" s="10">
        <v>-5498000000</v>
      </c>
      <c r="BE22" s="10">
        <v>14799000000</v>
      </c>
      <c r="BF22" s="10">
        <v>-248000000</v>
      </c>
      <c r="BH22" s="10">
        <v>4653000000</v>
      </c>
      <c r="BK22" s="10">
        <v>-451000000</v>
      </c>
      <c r="BM22" s="10">
        <v>-5640000000</v>
      </c>
      <c r="BN22" s="10">
        <v>-9496000000</v>
      </c>
      <c r="BO22" s="10">
        <v>0</v>
      </c>
      <c r="BP22" s="10">
        <v>7000000</v>
      </c>
      <c r="BR22" s="10">
        <v>142000000</v>
      </c>
      <c r="BS22" s="10">
        <v>510000000</v>
      </c>
      <c r="BT22" s="10">
        <v>23000000</v>
      </c>
      <c r="BX22" s="10">
        <v>-2364000000</v>
      </c>
      <c r="BZ22" s="10">
        <v>-1232000000</v>
      </c>
      <c r="CB22" s="10">
        <v>-2364000000</v>
      </c>
      <c r="CC22" s="10">
        <v>5052000000</v>
      </c>
      <c r="CD22" s="10">
        <v>-94000000</v>
      </c>
      <c r="CE22"/>
      <c r="CI22" s="41">
        <v>106000000</v>
      </c>
      <c r="CJ22">
        <v>-3987000000</v>
      </c>
      <c r="CK22">
        <v>200000000</v>
      </c>
      <c r="CM22">
        <v>-2410000000</v>
      </c>
      <c r="CN22" s="10">
        <v>0</v>
      </c>
      <c r="CO22" s="41"/>
      <c r="CP22" s="10">
        <v>0</v>
      </c>
      <c r="CQ22" s="10">
        <v>0</v>
      </c>
      <c r="CR22" s="10"/>
      <c r="CS22" s="10"/>
      <c r="CT22" s="10"/>
      <c r="CU22" s="41">
        <v>2021</v>
      </c>
      <c r="CV22" s="10">
        <v>196000000</v>
      </c>
      <c r="CW22" s="10"/>
      <c r="CX22" s="10"/>
      <c r="CY22" s="151" t="s">
        <v>652</v>
      </c>
    </row>
    <row r="23" spans="1:103" x14ac:dyDescent="0.35">
      <c r="A23" s="151" t="s">
        <v>651</v>
      </c>
      <c r="B23" s="22">
        <v>44926</v>
      </c>
      <c r="C23">
        <v>2022</v>
      </c>
      <c r="D23" s="151" t="s">
        <v>212</v>
      </c>
      <c r="E23" s="151" t="s">
        <v>213</v>
      </c>
      <c r="F23" s="10">
        <v>0</v>
      </c>
      <c r="G23" s="10">
        <v>12043000000</v>
      </c>
      <c r="H23" s="10">
        <v>-5160000000</v>
      </c>
      <c r="I23" s="10">
        <v>-10620000000</v>
      </c>
      <c r="J23" s="10">
        <v>-4620000000</v>
      </c>
      <c r="K23" s="10">
        <v>13299000000</v>
      </c>
      <c r="N23" s="10">
        <v>-1942000000</v>
      </c>
      <c r="R23" s="10">
        <v>1249000000</v>
      </c>
      <c r="S23" s="10">
        <v>1249000000</v>
      </c>
      <c r="U23" s="10">
        <v>-48000000</v>
      </c>
      <c r="V23" s="10">
        <v>-346000000</v>
      </c>
      <c r="X23" s="10">
        <v>-1942000000</v>
      </c>
      <c r="Z23" s="10">
        <v>0</v>
      </c>
      <c r="AA23" s="10">
        <v>1928000000</v>
      </c>
      <c r="AB23" s="10">
        <v>1928000000</v>
      </c>
      <c r="AC23" s="10">
        <v>5078000000</v>
      </c>
      <c r="AD23" s="10">
        <v>5078000000</v>
      </c>
      <c r="AE23" s="10">
        <v>844000000</v>
      </c>
      <c r="AF23" s="10">
        <v>-211000000</v>
      </c>
      <c r="AG23" s="10">
        <v>9890000000</v>
      </c>
      <c r="AH23" s="10">
        <v>-10620000000</v>
      </c>
      <c r="AI23" s="10">
        <v>8138000000</v>
      </c>
      <c r="AN23" s="10">
        <v>-4620000000</v>
      </c>
      <c r="AP23" s="10">
        <v>91000000</v>
      </c>
      <c r="AQ23" s="10">
        <v>91000000</v>
      </c>
      <c r="AR23" s="10">
        <v>-7875000000</v>
      </c>
      <c r="AS23" s="10">
        <v>-70000000</v>
      </c>
      <c r="AT23" s="10">
        <v>0</v>
      </c>
      <c r="AV23" s="10">
        <v>5969000000</v>
      </c>
      <c r="AW23" s="10">
        <v>7597000000</v>
      </c>
      <c r="AY23" s="10">
        <v>-7784000000</v>
      </c>
      <c r="AZ23" s="10">
        <v>-7784000000</v>
      </c>
      <c r="BA23" s="10">
        <v>-394000000</v>
      </c>
      <c r="BB23" s="10">
        <v>288000000</v>
      </c>
      <c r="BC23" s="10">
        <v>-4838000000</v>
      </c>
      <c r="BE23" s="10">
        <v>13298000000</v>
      </c>
      <c r="BF23" s="10">
        <v>621000000</v>
      </c>
      <c r="BH23" s="10">
        <v>4524000000</v>
      </c>
      <c r="BK23" s="10">
        <v>-70000000</v>
      </c>
      <c r="BM23" s="10">
        <v>-5160000000</v>
      </c>
      <c r="BN23" s="10">
        <v>-7875000000</v>
      </c>
      <c r="BO23" s="10">
        <v>0</v>
      </c>
      <c r="BP23" s="10">
        <v>0</v>
      </c>
      <c r="BR23" s="10">
        <v>322000000</v>
      </c>
      <c r="BS23" s="10">
        <v>448000000</v>
      </c>
      <c r="BT23" s="10">
        <v>-606000000</v>
      </c>
      <c r="BX23" s="10">
        <v>-2442000000</v>
      </c>
      <c r="BZ23" s="10">
        <v>-1547000000</v>
      </c>
      <c r="CB23" s="10">
        <v>-2442000000</v>
      </c>
      <c r="CC23" s="10">
        <v>5078000000</v>
      </c>
      <c r="CE23"/>
      <c r="CI23" s="41">
        <v>158000000</v>
      </c>
      <c r="CJ23">
        <v>-4133000000</v>
      </c>
      <c r="CK23">
        <v>611000000</v>
      </c>
      <c r="CM23">
        <v>-2582000000</v>
      </c>
      <c r="CN23" s="10">
        <v>0</v>
      </c>
      <c r="CO23" s="41"/>
      <c r="CP23" s="10">
        <v>0</v>
      </c>
      <c r="CQ23" s="10">
        <v>0</v>
      </c>
      <c r="CR23" s="10"/>
      <c r="CS23" s="10"/>
      <c r="CT23" s="10"/>
      <c r="CU23" s="41">
        <v>2022</v>
      </c>
      <c r="CV23" s="10"/>
      <c r="CW23" s="10"/>
      <c r="CX23" s="10"/>
      <c r="CY23" s="151" t="s">
        <v>652</v>
      </c>
    </row>
    <row r="24" spans="1:103" x14ac:dyDescent="0.35">
      <c r="A24" s="151" t="s">
        <v>651</v>
      </c>
      <c r="B24" s="22">
        <v>45291</v>
      </c>
      <c r="C24">
        <v>2023</v>
      </c>
      <c r="D24" s="151" t="s">
        <v>212</v>
      </c>
      <c r="E24" s="151" t="s">
        <v>213</v>
      </c>
      <c r="G24" s="10">
        <v>9890000000</v>
      </c>
      <c r="H24" s="10">
        <v>-4638000000</v>
      </c>
      <c r="I24" s="10">
        <v>-8596000000</v>
      </c>
      <c r="J24" s="10">
        <v>-4354000000</v>
      </c>
      <c r="K24" s="10">
        <v>13266000000</v>
      </c>
      <c r="N24" s="10">
        <v>315000000</v>
      </c>
      <c r="R24" s="10">
        <v>-1110000000</v>
      </c>
      <c r="S24" s="10">
        <v>-1110000000</v>
      </c>
      <c r="U24" s="10">
        <v>-1147000000</v>
      </c>
      <c r="V24" s="10">
        <v>-1540000000</v>
      </c>
      <c r="X24" s="10">
        <v>315000000</v>
      </c>
      <c r="Z24" s="10">
        <v>-362000000</v>
      </c>
      <c r="AA24" s="10">
        <v>2234000000</v>
      </c>
      <c r="AB24" s="10">
        <v>2234000000</v>
      </c>
      <c r="AC24" s="10">
        <v>5411000000</v>
      </c>
      <c r="AD24" s="10">
        <v>5411000000</v>
      </c>
      <c r="AE24" s="10">
        <v>-260000000</v>
      </c>
      <c r="AF24" s="10">
        <v>109000000</v>
      </c>
      <c r="AG24" s="10">
        <v>10314000000</v>
      </c>
      <c r="AH24" s="10">
        <v>-8596000000</v>
      </c>
      <c r="AI24" s="10">
        <v>8627000000</v>
      </c>
      <c r="AN24" s="10">
        <v>-4354000000</v>
      </c>
      <c r="AP24" s="10">
        <v>202000000</v>
      </c>
      <c r="AQ24" s="10">
        <v>202000000</v>
      </c>
      <c r="AR24" s="10">
        <v>-3878000000</v>
      </c>
      <c r="AS24" s="10">
        <v>9000000</v>
      </c>
      <c r="AT24" s="10">
        <v>-362000000</v>
      </c>
      <c r="AV24" s="10">
        <v>5341000000</v>
      </c>
      <c r="AW24" s="10">
        <v>6891000000</v>
      </c>
      <c r="AY24" s="10">
        <v>-3676000000</v>
      </c>
      <c r="AZ24" s="10">
        <v>-3676000000</v>
      </c>
      <c r="BA24" s="10">
        <v>-1545000000</v>
      </c>
      <c r="BB24" s="10">
        <v>119000000</v>
      </c>
      <c r="BC24" s="10">
        <v>-4482000000</v>
      </c>
      <c r="BE24" s="10">
        <v>13265000000</v>
      </c>
      <c r="BF24" s="10">
        <v>-516000000</v>
      </c>
      <c r="BH24" s="10">
        <v>5738000000</v>
      </c>
      <c r="BM24" s="10">
        <v>-4638000000</v>
      </c>
      <c r="BN24" s="10">
        <v>-3878000000</v>
      </c>
      <c r="BO24" s="10">
        <v>-362000000</v>
      </c>
      <c r="BP24" s="10">
        <v>9000000</v>
      </c>
      <c r="BR24" s="10">
        <v>156000000</v>
      </c>
      <c r="BS24" s="10">
        <v>570000000</v>
      </c>
      <c r="BT24" s="10">
        <v>325000000</v>
      </c>
      <c r="BX24" s="10">
        <v>-3013000000</v>
      </c>
      <c r="BZ24" s="10">
        <v>717000000</v>
      </c>
      <c r="CB24" s="10">
        <v>-3013000000</v>
      </c>
      <c r="CC24" s="10">
        <v>5411000000</v>
      </c>
      <c r="CE24"/>
      <c r="CI24" s="41">
        <v>127000000</v>
      </c>
      <c r="CJ24">
        <v>-3877000000</v>
      </c>
      <c r="CK24">
        <v>598000000</v>
      </c>
      <c r="CM24">
        <v>-2696000000</v>
      </c>
      <c r="CO24" s="41"/>
      <c r="CR24" s="10"/>
      <c r="CS24" s="10"/>
      <c r="CT24" s="10"/>
      <c r="CU24" s="41">
        <v>2023</v>
      </c>
      <c r="CV24" s="10"/>
      <c r="CW24" s="10"/>
      <c r="CX24" s="10"/>
      <c r="CY24" s="151" t="s">
        <v>652</v>
      </c>
    </row>
    <row r="25" spans="1:103" x14ac:dyDescent="0.35">
      <c r="A25" s="151" t="s">
        <v>651</v>
      </c>
      <c r="B25" s="22">
        <v>45473</v>
      </c>
      <c r="C25">
        <v>2024</v>
      </c>
      <c r="D25" s="151" t="s">
        <v>214</v>
      </c>
      <c r="E25" s="151" t="s">
        <v>213</v>
      </c>
      <c r="G25" s="10">
        <v>6794000000</v>
      </c>
      <c r="H25" s="10">
        <v>-4266000000</v>
      </c>
      <c r="I25" s="10">
        <v>-9114000000</v>
      </c>
      <c r="J25" s="10">
        <v>-3996000000</v>
      </c>
      <c r="K25" s="10">
        <v>14236000000</v>
      </c>
      <c r="N25" s="10">
        <v>1126000000</v>
      </c>
      <c r="R25" s="10">
        <v>-739000000</v>
      </c>
      <c r="S25" s="10">
        <v>-739000000</v>
      </c>
      <c r="U25" s="10">
        <v>-976000000</v>
      </c>
      <c r="V25" s="10">
        <v>-1095000000</v>
      </c>
      <c r="X25" s="10">
        <v>1126000000</v>
      </c>
      <c r="Z25" s="10">
        <v>-1200000000</v>
      </c>
      <c r="AA25" s="10">
        <v>2588000000</v>
      </c>
      <c r="AB25" s="10">
        <v>2588000000</v>
      </c>
      <c r="AC25" s="10">
        <v>5557000000</v>
      </c>
      <c r="AD25" s="10">
        <v>5557000000</v>
      </c>
      <c r="AE25" s="10">
        <v>-396000000</v>
      </c>
      <c r="AF25" s="10">
        <v>-545000000</v>
      </c>
      <c r="AG25" s="10">
        <v>7920000000</v>
      </c>
      <c r="AH25" s="10">
        <v>-9114000000</v>
      </c>
      <c r="AI25" s="10">
        <v>9970000000</v>
      </c>
      <c r="AN25" s="10">
        <v>-3997000000</v>
      </c>
      <c r="AP25" s="10">
        <v>5487000000</v>
      </c>
      <c r="AQ25" s="10">
        <v>5487000000</v>
      </c>
      <c r="AR25" s="10">
        <v>-8241000000</v>
      </c>
      <c r="AS25" s="10">
        <v>-2000000</v>
      </c>
      <c r="AT25" s="10">
        <v>-1200000000</v>
      </c>
      <c r="AV25" s="10">
        <v>5928000000</v>
      </c>
      <c r="AW25" s="10">
        <v>7472000000</v>
      </c>
      <c r="AY25" s="10">
        <v>-2754000000</v>
      </c>
      <c r="AZ25" s="10">
        <v>-2754000000</v>
      </c>
      <c r="BA25" s="10">
        <v>-1928000000</v>
      </c>
      <c r="BB25" s="10">
        <v>107000000</v>
      </c>
      <c r="BC25" s="10">
        <v>-4102000000</v>
      </c>
      <c r="BE25" s="10">
        <v>14236000000</v>
      </c>
      <c r="BF25" s="10">
        <v>-652000000</v>
      </c>
      <c r="BH25" s="10">
        <v>5362000000</v>
      </c>
      <c r="BM25" s="10">
        <v>-4266000000</v>
      </c>
      <c r="BN25" s="10">
        <v>-8241000000</v>
      </c>
      <c r="BO25" s="10">
        <v>-1200000000</v>
      </c>
      <c r="BR25" s="10">
        <v>164000000</v>
      </c>
      <c r="BS25" s="10">
        <v>599000000</v>
      </c>
      <c r="BX25" s="10">
        <v>-3232000000</v>
      </c>
      <c r="BZ25" s="10">
        <v>620000000</v>
      </c>
      <c r="CB25" s="10">
        <v>-3232000000</v>
      </c>
      <c r="CE25"/>
      <c r="CI25" s="41">
        <v>207000000</v>
      </c>
      <c r="CJ25">
        <v>-3556000000</v>
      </c>
      <c r="CK25">
        <v>389000000</v>
      </c>
      <c r="CM25">
        <v>-2960000000</v>
      </c>
      <c r="CO25" s="41"/>
      <c r="CR25" s="10"/>
      <c r="CS25" s="10"/>
      <c r="CT25" s="10"/>
      <c r="CU25" s="41">
        <v>2024</v>
      </c>
      <c r="CV25" s="10"/>
      <c r="CW25" s="10"/>
      <c r="CX25" s="10"/>
      <c r="CY25" s="151" t="s">
        <v>652</v>
      </c>
    </row>
    <row r="26" spans="1:103" x14ac:dyDescent="0.35">
      <c r="A26" s="151" t="s">
        <v>653</v>
      </c>
      <c r="B26" s="22">
        <v>43830</v>
      </c>
      <c r="C26">
        <v>2019</v>
      </c>
      <c r="D26" s="151" t="s">
        <v>212</v>
      </c>
      <c r="E26" s="151" t="s">
        <v>213</v>
      </c>
      <c r="F26" s="10">
        <v>0</v>
      </c>
      <c r="AK26" s="10">
        <v>0</v>
      </c>
      <c r="AS26" s="10">
        <v>0</v>
      </c>
      <c r="BK26" s="10">
        <v>0</v>
      </c>
      <c r="CB26" s="10">
        <v>-2556000000</v>
      </c>
      <c r="CD26" s="10">
        <v>-51000000</v>
      </c>
      <c r="CE26"/>
      <c r="CF26" s="10">
        <v>-600000000</v>
      </c>
      <c r="CH26" s="10">
        <v>0</v>
      </c>
      <c r="CI26" s="41"/>
      <c r="CJ26"/>
      <c r="CK26"/>
      <c r="CL26" s="10">
        <v>-600000000</v>
      </c>
      <c r="CM26"/>
      <c r="CO26" s="41"/>
      <c r="CR26" s="10"/>
      <c r="CS26" s="10"/>
      <c r="CT26" s="10"/>
      <c r="CU26" s="41">
        <v>2019</v>
      </c>
      <c r="CV26" s="10"/>
      <c r="CW26" s="10"/>
      <c r="CX26" s="10"/>
      <c r="CY26" s="151" t="s">
        <v>654</v>
      </c>
    </row>
    <row r="27" spans="1:103" x14ac:dyDescent="0.35">
      <c r="A27" s="151" t="s">
        <v>653</v>
      </c>
      <c r="B27" s="22">
        <v>44196</v>
      </c>
      <c r="C27">
        <v>2020</v>
      </c>
      <c r="D27" s="151" t="s">
        <v>212</v>
      </c>
      <c r="E27" s="151" t="s">
        <v>213</v>
      </c>
      <c r="F27" s="10">
        <v>128000000</v>
      </c>
      <c r="G27" s="10">
        <v>1514000000</v>
      </c>
      <c r="H27" s="10">
        <v>-1766000000</v>
      </c>
      <c r="I27" s="10">
        <v>-4527000000</v>
      </c>
      <c r="J27" s="10">
        <v>-2010000000</v>
      </c>
      <c r="K27" s="10">
        <v>8183000000</v>
      </c>
      <c r="L27" s="10">
        <v>-372000000</v>
      </c>
      <c r="N27" s="10">
        <v>1646000000</v>
      </c>
      <c r="Q27" s="10">
        <v>491000000</v>
      </c>
      <c r="R27" s="10">
        <v>-391000000</v>
      </c>
      <c r="S27" s="10">
        <v>-391000000</v>
      </c>
      <c r="U27" s="10">
        <v>-92000000</v>
      </c>
      <c r="V27" s="10">
        <v>82000000</v>
      </c>
      <c r="W27" s="10">
        <v>359000000</v>
      </c>
      <c r="X27" s="10">
        <v>1646000000</v>
      </c>
      <c r="Z27" s="10">
        <v>-1100000000</v>
      </c>
      <c r="AA27" s="10">
        <v>60000000</v>
      </c>
      <c r="AB27" s="10">
        <v>60000000</v>
      </c>
      <c r="AC27" s="10">
        <v>1290000000</v>
      </c>
      <c r="AD27" s="10">
        <v>1290000000</v>
      </c>
      <c r="AG27" s="10">
        <v>3160000000</v>
      </c>
      <c r="AH27" s="10">
        <v>-4527000000</v>
      </c>
      <c r="AI27" s="10">
        <v>6417000000</v>
      </c>
      <c r="AN27" s="10">
        <v>-2010000000</v>
      </c>
      <c r="AP27" s="10">
        <v>1131000000</v>
      </c>
      <c r="AQ27" s="10">
        <v>1131000000</v>
      </c>
      <c r="AR27" s="10">
        <v>-1650000000</v>
      </c>
      <c r="AS27" s="10">
        <v>-282000000</v>
      </c>
      <c r="AT27" s="10">
        <v>-1100000000</v>
      </c>
      <c r="AV27" s="10">
        <v>6833000000</v>
      </c>
      <c r="AW27" s="10">
        <v>6833000000</v>
      </c>
      <c r="AY27" s="10">
        <v>-519000000</v>
      </c>
      <c r="AZ27" s="10">
        <v>-519000000</v>
      </c>
      <c r="BA27" s="10">
        <v>-144000000</v>
      </c>
      <c r="BB27" s="10">
        <v>38000000</v>
      </c>
      <c r="BE27" s="10">
        <v>8183000000</v>
      </c>
      <c r="BF27" s="10">
        <v>-1197000000</v>
      </c>
      <c r="BH27" s="10">
        <v>-431000000</v>
      </c>
      <c r="BK27" s="10">
        <v>-282000000</v>
      </c>
      <c r="BN27" s="10">
        <v>-1650000000</v>
      </c>
      <c r="BO27" s="10">
        <v>-1100000000</v>
      </c>
      <c r="BS27" s="10">
        <v>221000000</v>
      </c>
      <c r="BW27" s="10">
        <v>-1766000000</v>
      </c>
      <c r="BX27" s="10">
        <v>-2764000000</v>
      </c>
      <c r="BY27" s="10">
        <v>-19000000</v>
      </c>
      <c r="BZ27" s="10">
        <v>74000000</v>
      </c>
      <c r="CA27" s="10">
        <v>-19000000</v>
      </c>
      <c r="CB27" s="10">
        <v>-2764000000</v>
      </c>
      <c r="CD27" s="10">
        <v>0</v>
      </c>
      <c r="CE27"/>
      <c r="CF27" s="10">
        <v>0</v>
      </c>
      <c r="CG27" s="10">
        <v>0</v>
      </c>
      <c r="CH27" s="10">
        <v>0</v>
      </c>
      <c r="CI27" s="41"/>
      <c r="CJ27"/>
      <c r="CK27"/>
      <c r="CL27" s="10">
        <v>0</v>
      </c>
      <c r="CM27"/>
      <c r="CO27" s="41"/>
      <c r="CR27" s="10"/>
      <c r="CS27" s="10"/>
      <c r="CT27" s="10"/>
      <c r="CU27" s="41">
        <v>2020</v>
      </c>
      <c r="CV27" s="10"/>
      <c r="CW27" s="10"/>
      <c r="CX27" s="10"/>
      <c r="CY27" s="151" t="s">
        <v>654</v>
      </c>
    </row>
    <row r="28" spans="1:103" x14ac:dyDescent="0.35">
      <c r="A28" s="151" t="s">
        <v>653</v>
      </c>
      <c r="B28" s="22">
        <v>44561</v>
      </c>
      <c r="C28">
        <v>2021</v>
      </c>
      <c r="D28" s="151" t="s">
        <v>212</v>
      </c>
      <c r="E28" s="151" t="s">
        <v>213</v>
      </c>
      <c r="F28" s="10">
        <v>0</v>
      </c>
      <c r="G28" s="10">
        <v>3160000000</v>
      </c>
      <c r="H28" s="10">
        <v>-1522000000</v>
      </c>
      <c r="I28" s="10">
        <v>-7616000000</v>
      </c>
      <c r="J28" s="10">
        <v>-1161000000</v>
      </c>
      <c r="K28" s="10">
        <v>9221000000</v>
      </c>
      <c r="L28" s="10">
        <v>-98000000</v>
      </c>
      <c r="N28" s="10">
        <v>444000000</v>
      </c>
      <c r="Q28" s="10">
        <v>295000000</v>
      </c>
      <c r="R28" s="10">
        <v>-53000000</v>
      </c>
      <c r="S28" s="10">
        <v>-53000000</v>
      </c>
      <c r="U28" s="10">
        <v>-1019000000</v>
      </c>
      <c r="V28" s="10">
        <v>-213000000</v>
      </c>
      <c r="W28" s="10">
        <v>15000000</v>
      </c>
      <c r="X28" s="10">
        <v>444000000</v>
      </c>
      <c r="Z28" s="10">
        <v>-4087000000</v>
      </c>
      <c r="AA28" s="10">
        <v>-183000000</v>
      </c>
      <c r="AB28" s="10">
        <v>-183000000</v>
      </c>
      <c r="AC28" s="10">
        <v>1364000000</v>
      </c>
      <c r="AD28" s="10">
        <v>1364000000</v>
      </c>
      <c r="AG28" s="10">
        <v>3604000000</v>
      </c>
      <c r="AH28" s="10">
        <v>-7616000000</v>
      </c>
      <c r="AI28" s="10">
        <v>7699000000</v>
      </c>
      <c r="AN28" s="10">
        <v>-1161000000</v>
      </c>
      <c r="AP28" s="10">
        <v>0</v>
      </c>
      <c r="AQ28" s="10">
        <v>0</v>
      </c>
      <c r="AR28" s="10">
        <v>-500000000</v>
      </c>
      <c r="AS28" s="10">
        <v>0</v>
      </c>
      <c r="AT28" s="10">
        <v>-4087000000</v>
      </c>
      <c r="AV28" s="10">
        <v>6315000000</v>
      </c>
      <c r="AW28" s="10">
        <v>6315000000</v>
      </c>
      <c r="AY28" s="10">
        <v>-500000000</v>
      </c>
      <c r="AZ28" s="10">
        <v>-500000000</v>
      </c>
      <c r="BA28" s="10">
        <v>-89000000</v>
      </c>
      <c r="BB28" s="10">
        <v>361000000</v>
      </c>
      <c r="BE28" s="10">
        <v>9221000000</v>
      </c>
      <c r="BF28" s="10">
        <v>1701000000</v>
      </c>
      <c r="BH28" s="10">
        <v>10000000</v>
      </c>
      <c r="BK28" s="10">
        <v>0</v>
      </c>
      <c r="BN28" s="10">
        <v>-500000000</v>
      </c>
      <c r="BO28" s="10">
        <v>-4087000000</v>
      </c>
      <c r="BS28" s="10">
        <v>227000000</v>
      </c>
      <c r="BU28" s="10">
        <v>460000000</v>
      </c>
      <c r="BV28" s="10">
        <v>460000000</v>
      </c>
      <c r="BW28" s="10">
        <v>-1522000000</v>
      </c>
      <c r="BX28" s="10">
        <v>-2940000000</v>
      </c>
      <c r="BY28" s="10">
        <v>45000000</v>
      </c>
      <c r="BZ28" s="10">
        <v>564000000</v>
      </c>
      <c r="CA28" s="10">
        <v>45000000</v>
      </c>
      <c r="CC28" s="10">
        <v>904000000</v>
      </c>
      <c r="CD28" s="10">
        <v>0</v>
      </c>
      <c r="CE28"/>
      <c r="CF28" s="10">
        <v>0</v>
      </c>
      <c r="CG28" s="10">
        <v>1701000000</v>
      </c>
      <c r="CI28" s="41"/>
      <c r="CJ28"/>
      <c r="CK28"/>
      <c r="CL28" s="10">
        <v>0</v>
      </c>
      <c r="CM28"/>
      <c r="CO28" s="41"/>
      <c r="CR28" s="10"/>
      <c r="CS28" s="10"/>
      <c r="CT28" s="10"/>
      <c r="CU28" s="41">
        <v>2021</v>
      </c>
      <c r="CV28" s="10"/>
      <c r="CW28" s="10"/>
      <c r="CX28" s="10"/>
      <c r="CY28" s="151" t="s">
        <v>654</v>
      </c>
    </row>
    <row r="29" spans="1:103" x14ac:dyDescent="0.35">
      <c r="A29" s="151" t="s">
        <v>653</v>
      </c>
      <c r="B29" s="22">
        <v>44926</v>
      </c>
      <c r="C29">
        <v>2022</v>
      </c>
      <c r="D29" s="151" t="s">
        <v>212</v>
      </c>
      <c r="E29" s="151" t="s">
        <v>213</v>
      </c>
      <c r="F29" s="10">
        <v>0</v>
      </c>
      <c r="G29" s="10">
        <v>3604000000</v>
      </c>
      <c r="H29" s="10">
        <v>-1670000000</v>
      </c>
      <c r="I29" s="10">
        <v>-7070000000</v>
      </c>
      <c r="J29" s="10">
        <v>-1789000000</v>
      </c>
      <c r="K29" s="10">
        <v>7802000000</v>
      </c>
      <c r="L29" s="10">
        <v>1274000000</v>
      </c>
      <c r="N29" s="10">
        <v>-1057000000</v>
      </c>
      <c r="Q29" s="10">
        <v>-31000000</v>
      </c>
      <c r="R29" s="10">
        <v>1422000000</v>
      </c>
      <c r="S29" s="10">
        <v>1422000000</v>
      </c>
      <c r="U29" s="10">
        <v>-2281000000</v>
      </c>
      <c r="V29" s="10">
        <v>-997000000</v>
      </c>
      <c r="W29" s="10">
        <v>-542000000</v>
      </c>
      <c r="X29" s="10">
        <v>-1057000000</v>
      </c>
      <c r="Z29" s="10">
        <v>-7900000000</v>
      </c>
      <c r="AA29" s="10">
        <v>-757000000</v>
      </c>
      <c r="AB29" s="10">
        <v>-757000000</v>
      </c>
      <c r="AC29" s="10">
        <v>1404000000</v>
      </c>
      <c r="AD29" s="10">
        <v>1404000000</v>
      </c>
      <c r="AG29" s="10">
        <v>2547000000</v>
      </c>
      <c r="AH29" s="10">
        <v>-7070000000</v>
      </c>
      <c r="AI29" s="10">
        <v>6132000000</v>
      </c>
      <c r="AN29" s="10">
        <v>-1789000000</v>
      </c>
      <c r="AP29" s="10">
        <v>6211000000</v>
      </c>
      <c r="AQ29" s="10">
        <v>6211000000</v>
      </c>
      <c r="AR29" s="10">
        <v>-2250000000</v>
      </c>
      <c r="AT29" s="10">
        <v>-7900000000</v>
      </c>
      <c r="AV29" s="10">
        <v>5732000000</v>
      </c>
      <c r="AW29" s="10">
        <v>5732000000</v>
      </c>
      <c r="AY29" s="10">
        <v>3961000000</v>
      </c>
      <c r="AZ29" s="10">
        <v>3961000000</v>
      </c>
      <c r="BA29" s="10">
        <v>-115000000</v>
      </c>
      <c r="BB29" s="10">
        <v>-119000000</v>
      </c>
      <c r="BE29" s="10">
        <v>7802000000</v>
      </c>
      <c r="BF29" s="10">
        <v>1570000000</v>
      </c>
      <c r="BH29" s="10">
        <v>612000000</v>
      </c>
      <c r="BN29" s="10">
        <v>-2250000000</v>
      </c>
      <c r="BO29" s="10">
        <v>-7900000000</v>
      </c>
      <c r="BS29" s="10">
        <v>238000000</v>
      </c>
      <c r="BU29" s="10">
        <v>501000000</v>
      </c>
      <c r="BV29" s="10">
        <v>501000000</v>
      </c>
      <c r="BW29" s="10">
        <v>-1670000000</v>
      </c>
      <c r="BX29" s="10">
        <v>-3016000000</v>
      </c>
      <c r="BY29" s="10">
        <v>148000000</v>
      </c>
      <c r="BZ29" s="10">
        <v>-107000000</v>
      </c>
      <c r="CA29" s="10">
        <v>148000000</v>
      </c>
      <c r="CC29" s="10">
        <v>903000000</v>
      </c>
      <c r="CE29"/>
      <c r="CG29" s="10">
        <v>1570000000</v>
      </c>
      <c r="CI29" s="41"/>
      <c r="CJ29"/>
      <c r="CK29"/>
      <c r="CM29"/>
      <c r="CO29" s="41"/>
      <c r="CR29" s="10"/>
      <c r="CS29" s="10"/>
      <c r="CT29" s="10"/>
      <c r="CU29" s="41">
        <v>2022</v>
      </c>
      <c r="CV29" s="10"/>
      <c r="CW29" s="10"/>
      <c r="CX29" s="10"/>
      <c r="CY29" s="151" t="s">
        <v>654</v>
      </c>
    </row>
    <row r="30" spans="1:103" x14ac:dyDescent="0.35">
      <c r="A30" s="151" t="s">
        <v>653</v>
      </c>
      <c r="B30" s="22">
        <v>45291</v>
      </c>
      <c r="C30">
        <v>2023</v>
      </c>
      <c r="D30" s="151" t="s">
        <v>212</v>
      </c>
      <c r="E30" s="151" t="s">
        <v>213</v>
      </c>
      <c r="G30" s="10">
        <v>2547000000</v>
      </c>
      <c r="H30" s="10">
        <v>-1691000000</v>
      </c>
      <c r="I30" s="10">
        <v>-7331000000</v>
      </c>
      <c r="J30" s="10">
        <v>-1694000000</v>
      </c>
      <c r="K30" s="10">
        <v>7920000000</v>
      </c>
      <c r="L30" s="10">
        <v>151000000</v>
      </c>
      <c r="N30" s="10">
        <v>-1105000000</v>
      </c>
      <c r="Q30" s="10">
        <v>324000000</v>
      </c>
      <c r="R30" s="10">
        <v>18000000</v>
      </c>
      <c r="S30" s="10">
        <v>18000000</v>
      </c>
      <c r="U30" s="10">
        <v>-492000000</v>
      </c>
      <c r="V30" s="10">
        <v>-194000000</v>
      </c>
      <c r="W30" s="10">
        <v>373000000</v>
      </c>
      <c r="X30" s="10">
        <v>-1105000000</v>
      </c>
      <c r="Z30" s="10">
        <v>-6000000000</v>
      </c>
      <c r="AA30" s="10">
        <v>-498000000</v>
      </c>
      <c r="AB30" s="10">
        <v>-498000000</v>
      </c>
      <c r="AC30" s="10">
        <v>1430000000</v>
      </c>
      <c r="AD30" s="10">
        <v>1430000000</v>
      </c>
      <c r="AG30" s="10">
        <v>1442000000</v>
      </c>
      <c r="AH30" s="10">
        <v>-7331000000</v>
      </c>
      <c r="AI30" s="10">
        <v>6229000000</v>
      </c>
      <c r="AN30" s="10">
        <v>-1694000000</v>
      </c>
      <c r="AP30" s="10">
        <v>1975000000</v>
      </c>
      <c r="AQ30" s="10">
        <v>1975000000</v>
      </c>
      <c r="AR30" s="10">
        <v>-115000000</v>
      </c>
      <c r="AT30" s="10">
        <v>-6000000000</v>
      </c>
      <c r="AV30" s="10">
        <v>6920000000</v>
      </c>
      <c r="AW30" s="10">
        <v>6920000000</v>
      </c>
      <c r="AY30" s="10">
        <v>1860000000</v>
      </c>
      <c r="AZ30" s="10">
        <v>1860000000</v>
      </c>
      <c r="BA30" s="10">
        <v>-135000000</v>
      </c>
      <c r="BB30" s="10">
        <v>-3000000</v>
      </c>
      <c r="BE30" s="10">
        <v>7920000000</v>
      </c>
      <c r="BF30" s="10">
        <v>92000000</v>
      </c>
      <c r="BH30" s="10">
        <v>-95000000</v>
      </c>
      <c r="BN30" s="10">
        <v>-115000000</v>
      </c>
      <c r="BO30" s="10">
        <v>-6000000000</v>
      </c>
      <c r="BS30" s="10">
        <v>265000000</v>
      </c>
      <c r="BU30" s="10">
        <v>510000000</v>
      </c>
      <c r="BV30" s="10">
        <v>510000000</v>
      </c>
      <c r="BW30" s="10">
        <v>-1691000000</v>
      </c>
      <c r="BX30" s="10">
        <v>-3056000000</v>
      </c>
      <c r="BY30" s="10">
        <v>-133000000</v>
      </c>
      <c r="BZ30" s="10">
        <v>-44000000</v>
      </c>
      <c r="CA30" s="10">
        <v>-133000000</v>
      </c>
      <c r="CC30" s="10">
        <v>920000000</v>
      </c>
      <c r="CE30"/>
      <c r="CG30" s="10">
        <v>92000000</v>
      </c>
      <c r="CI30" s="41"/>
      <c r="CJ30"/>
      <c r="CK30"/>
      <c r="CM30"/>
      <c r="CO30" s="41"/>
      <c r="CR30" s="10"/>
      <c r="CS30" s="10"/>
      <c r="CT30" s="10"/>
      <c r="CU30" s="41">
        <v>2023</v>
      </c>
      <c r="CV30" s="10"/>
      <c r="CW30" s="10"/>
      <c r="CX30" s="10"/>
      <c r="CY30" s="151" t="s">
        <v>654</v>
      </c>
    </row>
    <row r="31" spans="1:103" x14ac:dyDescent="0.35">
      <c r="A31" s="151" t="s">
        <v>653</v>
      </c>
      <c r="B31" s="22">
        <v>45473</v>
      </c>
      <c r="C31">
        <v>2024</v>
      </c>
      <c r="D31" s="151" t="s">
        <v>214</v>
      </c>
      <c r="E31" s="151" t="s">
        <v>213</v>
      </c>
      <c r="G31" s="10">
        <v>3673000000</v>
      </c>
      <c r="H31" s="10">
        <v>-1816000000</v>
      </c>
      <c r="I31" s="10">
        <v>-8072000000</v>
      </c>
      <c r="J31" s="10">
        <v>-1845000000</v>
      </c>
      <c r="K31" s="10">
        <v>8767000000</v>
      </c>
      <c r="L31" s="10">
        <v>-194000000</v>
      </c>
      <c r="N31" s="10">
        <v>-1150000000</v>
      </c>
      <c r="Q31" s="10">
        <v>686000000</v>
      </c>
      <c r="R31" s="10">
        <v>-327000000</v>
      </c>
      <c r="S31" s="10">
        <v>-327000000</v>
      </c>
      <c r="U31" s="10">
        <v>-402000000</v>
      </c>
      <c r="V31" s="10">
        <v>358000000</v>
      </c>
      <c r="W31" s="10">
        <v>497000000</v>
      </c>
      <c r="X31" s="10">
        <v>-1150000000</v>
      </c>
      <c r="Z31" s="10">
        <v>-6600000000</v>
      </c>
      <c r="AA31" s="10">
        <v>-409000000</v>
      </c>
      <c r="AB31" s="10">
        <v>-409000000</v>
      </c>
      <c r="AC31" s="10">
        <v>1481000000</v>
      </c>
      <c r="AD31" s="10">
        <v>1481000000</v>
      </c>
      <c r="AG31" s="10">
        <v>2523000000</v>
      </c>
      <c r="AH31" s="10">
        <v>-8072000000</v>
      </c>
      <c r="AI31" s="10">
        <v>6951000000</v>
      </c>
      <c r="AN31" s="10">
        <v>-1845000000</v>
      </c>
      <c r="AP31" s="10">
        <v>1980000000</v>
      </c>
      <c r="AQ31" s="10">
        <v>1980000000</v>
      </c>
      <c r="AR31" s="10">
        <v>-283000000</v>
      </c>
      <c r="AT31" s="10">
        <v>-6600000000</v>
      </c>
      <c r="AV31" s="10">
        <v>6736000000</v>
      </c>
      <c r="AW31" s="10">
        <v>6736000000</v>
      </c>
      <c r="AY31" s="10">
        <v>1697000000</v>
      </c>
      <c r="AZ31" s="10">
        <v>1697000000</v>
      </c>
      <c r="BA31" s="10">
        <v>-123000000</v>
      </c>
      <c r="BB31" s="10">
        <v>-29000000</v>
      </c>
      <c r="BE31" s="10">
        <v>8767000000</v>
      </c>
      <c r="BH31" s="10">
        <v>149000000</v>
      </c>
      <c r="BN31" s="10">
        <v>-283000000</v>
      </c>
      <c r="BO31" s="10">
        <v>-6600000000</v>
      </c>
      <c r="BS31" s="10">
        <v>273000000</v>
      </c>
      <c r="BW31" s="10">
        <v>-1816000000</v>
      </c>
      <c r="BX31" s="10">
        <v>-3046000000</v>
      </c>
      <c r="BZ31" s="10">
        <v>401000000</v>
      </c>
      <c r="CE31"/>
      <c r="CI31" s="41"/>
      <c r="CJ31"/>
      <c r="CK31"/>
      <c r="CM31"/>
      <c r="CO31" s="41"/>
      <c r="CR31" s="10"/>
      <c r="CS31" s="10"/>
      <c r="CT31" s="10"/>
      <c r="CU31" s="41">
        <v>2024</v>
      </c>
      <c r="CV31" s="10"/>
      <c r="CW31" s="10"/>
      <c r="CX31" s="10"/>
      <c r="CY31" s="151" t="s">
        <v>654</v>
      </c>
    </row>
    <row r="32" spans="1:103" x14ac:dyDescent="0.35">
      <c r="A32" s="151" t="s">
        <v>655</v>
      </c>
      <c r="B32" s="22">
        <v>43830</v>
      </c>
      <c r="C32">
        <v>2019</v>
      </c>
      <c r="D32" s="151" t="s">
        <v>212</v>
      </c>
      <c r="E32" s="151" t="s">
        <v>213</v>
      </c>
      <c r="AE32" s="10">
        <v>295000000</v>
      </c>
      <c r="BC32" s="10">
        <v>-19435000000</v>
      </c>
      <c r="BD32" s="10">
        <v>1164000000</v>
      </c>
      <c r="BI32" s="10">
        <v>1164000000</v>
      </c>
      <c r="BM32" s="10">
        <v>-19435000000</v>
      </c>
      <c r="CE32"/>
      <c r="CI32" s="41"/>
      <c r="CJ32"/>
      <c r="CK32"/>
      <c r="CM32"/>
      <c r="CO32" s="41">
        <v>-200000000</v>
      </c>
      <c r="CR32" s="10"/>
      <c r="CS32" s="10">
        <v>0</v>
      </c>
      <c r="CT32" s="10">
        <v>0</v>
      </c>
      <c r="CU32" s="41">
        <v>2019</v>
      </c>
      <c r="CV32" s="10"/>
      <c r="CW32" s="10"/>
      <c r="CX32" s="10"/>
      <c r="CY32" s="151" t="s">
        <v>656</v>
      </c>
    </row>
    <row r="33" spans="1:103" x14ac:dyDescent="0.35">
      <c r="A33" s="151" t="s">
        <v>655</v>
      </c>
      <c r="B33" s="22">
        <v>44196</v>
      </c>
      <c r="C33">
        <v>2020</v>
      </c>
      <c r="D33" s="151" t="s">
        <v>212</v>
      </c>
      <c r="E33" s="151" t="s">
        <v>213</v>
      </c>
      <c r="F33" s="10">
        <v>18880000000</v>
      </c>
      <c r="G33" s="10">
        <v>12295000000</v>
      </c>
      <c r="H33" s="10">
        <v>-15675000000</v>
      </c>
      <c r="I33" s="10">
        <v>-32007000000</v>
      </c>
      <c r="J33" s="10">
        <v>-13548000000</v>
      </c>
      <c r="K33" s="10">
        <v>43130000000</v>
      </c>
      <c r="N33" s="10">
        <v>-2425000000</v>
      </c>
      <c r="O33" s="10">
        <v>-13070000000</v>
      </c>
      <c r="Q33" s="10">
        <v>376000000</v>
      </c>
      <c r="S33" s="10">
        <v>-1410000000</v>
      </c>
      <c r="U33" s="10">
        <v>787000000</v>
      </c>
      <c r="V33" s="10">
        <v>-13317000000</v>
      </c>
      <c r="W33" s="10">
        <v>2216000000</v>
      </c>
      <c r="X33" s="10">
        <v>-2425000000</v>
      </c>
      <c r="Y33" s="10">
        <v>105000000</v>
      </c>
      <c r="Z33" s="10">
        <v>-5498000000</v>
      </c>
      <c r="AA33" s="10">
        <v>1675000000</v>
      </c>
      <c r="AB33" s="10">
        <v>1675000000</v>
      </c>
      <c r="AC33" s="10">
        <v>28516000000</v>
      </c>
      <c r="AD33" s="10">
        <v>28516000000</v>
      </c>
      <c r="AE33" s="10">
        <v>38000000</v>
      </c>
      <c r="AG33" s="10">
        <v>9870000000</v>
      </c>
      <c r="AH33" s="10">
        <v>-32007000000</v>
      </c>
      <c r="AI33" s="10">
        <v>27455000000</v>
      </c>
      <c r="AJ33" s="10">
        <v>-742000000</v>
      </c>
      <c r="AN33" s="10">
        <v>-13548000000</v>
      </c>
      <c r="AO33" s="10">
        <v>3974000000</v>
      </c>
      <c r="AP33" s="10">
        <v>41428000000</v>
      </c>
      <c r="AQ33" s="10">
        <v>31988000000</v>
      </c>
      <c r="AR33" s="10">
        <v>-39964000000</v>
      </c>
      <c r="AS33" s="10">
        <v>1790000000</v>
      </c>
      <c r="AT33" s="10">
        <v>-5393000000</v>
      </c>
      <c r="AV33" s="10">
        <v>-5176000000</v>
      </c>
      <c r="AW33" s="10">
        <v>-3821000000</v>
      </c>
      <c r="AX33" s="10">
        <v>497000000</v>
      </c>
      <c r="AY33" s="10">
        <v>-8020000000</v>
      </c>
      <c r="AZ33" s="10">
        <v>-7976000000</v>
      </c>
      <c r="BA33" s="10">
        <v>-7507000000</v>
      </c>
      <c r="BB33" s="10">
        <v>337000000</v>
      </c>
      <c r="BC33" s="10">
        <v>-15675000000</v>
      </c>
      <c r="BD33" s="10">
        <v>3869000000</v>
      </c>
      <c r="BE33" s="10">
        <v>43130000000</v>
      </c>
      <c r="BF33" s="10">
        <v>19353000000</v>
      </c>
      <c r="BH33" s="10">
        <v>8752000000</v>
      </c>
      <c r="BI33" s="10">
        <v>3869000000</v>
      </c>
      <c r="BK33" s="10">
        <v>-1851000000</v>
      </c>
      <c r="BM33" s="10">
        <v>-15675000000</v>
      </c>
      <c r="BN33" s="10">
        <v>-49448000000</v>
      </c>
      <c r="BO33" s="10">
        <v>-5498000000</v>
      </c>
      <c r="BP33" s="10">
        <v>3641000000</v>
      </c>
      <c r="BU33" s="10">
        <v>8603000000</v>
      </c>
      <c r="BV33" s="10">
        <v>8603000000</v>
      </c>
      <c r="BW33" s="10">
        <v>-15675000000</v>
      </c>
      <c r="BX33" s="10">
        <v>-14956000000</v>
      </c>
      <c r="CB33" s="10">
        <v>-14956000000</v>
      </c>
      <c r="CC33" s="10">
        <v>28516000000</v>
      </c>
      <c r="CE33"/>
      <c r="CF33" s="10">
        <v>-44000000</v>
      </c>
      <c r="CG33" s="10">
        <v>1177000000</v>
      </c>
      <c r="CH33" s="10">
        <v>9440000000</v>
      </c>
      <c r="CI33" s="41"/>
      <c r="CJ33"/>
      <c r="CK33"/>
      <c r="CL33" s="10">
        <v>-9484000000</v>
      </c>
      <c r="CM33"/>
      <c r="CO33" s="41"/>
      <c r="CR33" s="10">
        <v>0</v>
      </c>
      <c r="CS33" s="10">
        <v>-1950000000</v>
      </c>
      <c r="CT33" s="10">
        <v>-1950000000</v>
      </c>
      <c r="CU33" s="41">
        <v>2020</v>
      </c>
      <c r="CV33" s="10">
        <v>1972000000</v>
      </c>
      <c r="CW33" s="10"/>
      <c r="CX33" s="10"/>
      <c r="CY33" s="151" t="s">
        <v>656</v>
      </c>
    </row>
    <row r="34" spans="1:103" x14ac:dyDescent="0.35">
      <c r="A34" s="151" t="s">
        <v>655</v>
      </c>
      <c r="B34" s="22">
        <v>44561</v>
      </c>
      <c r="C34">
        <v>2021</v>
      </c>
      <c r="D34" s="151" t="s">
        <v>212</v>
      </c>
      <c r="E34" s="151" t="s">
        <v>213</v>
      </c>
      <c r="F34" s="10">
        <v>213000000</v>
      </c>
      <c r="G34" s="10">
        <v>9870000000</v>
      </c>
      <c r="H34" s="10">
        <v>-15545000000</v>
      </c>
      <c r="I34" s="10">
        <v>1894000000</v>
      </c>
      <c r="J34" s="10">
        <v>-32489000000</v>
      </c>
      <c r="K34" s="10">
        <v>37170000000</v>
      </c>
      <c r="N34" s="10">
        <v>11446000000</v>
      </c>
      <c r="O34" s="10">
        <v>-1288000000</v>
      </c>
      <c r="Q34" s="10">
        <v>18000000</v>
      </c>
      <c r="S34" s="10">
        <v>-1570000000</v>
      </c>
      <c r="U34" s="10">
        <v>-1396000000</v>
      </c>
      <c r="V34" s="10">
        <v>-4236000000</v>
      </c>
      <c r="W34" s="10">
        <v>-1125000000</v>
      </c>
      <c r="X34" s="10">
        <v>11446000000</v>
      </c>
      <c r="Y34" s="10">
        <v>96000000</v>
      </c>
      <c r="Z34" s="10">
        <v>-202000000</v>
      </c>
      <c r="AA34" s="10">
        <v>7412000000</v>
      </c>
      <c r="AB34" s="10">
        <v>7412000000</v>
      </c>
      <c r="AC34" s="10">
        <v>17852000000</v>
      </c>
      <c r="AD34" s="10">
        <v>17852000000</v>
      </c>
      <c r="AE34" s="10">
        <v>184000000</v>
      </c>
      <c r="AG34" s="10">
        <v>21316000000</v>
      </c>
      <c r="AH34" s="10">
        <v>1578000000</v>
      </c>
      <c r="AI34" s="10">
        <v>26413000000</v>
      </c>
      <c r="AJ34" s="10">
        <v>-369000000</v>
      </c>
      <c r="AN34" s="10">
        <v>-32090000000</v>
      </c>
      <c r="AO34" s="10">
        <v>96000000</v>
      </c>
      <c r="AP34" s="10">
        <v>34444000000</v>
      </c>
      <c r="AQ34" s="10">
        <v>9931000000</v>
      </c>
      <c r="AR34" s="10">
        <v>-3039000000</v>
      </c>
      <c r="AS34" s="10">
        <v>-18317000000</v>
      </c>
      <c r="AT34" s="10">
        <v>-106000000</v>
      </c>
      <c r="AV34" s="10">
        <v>20081000000</v>
      </c>
      <c r="AW34" s="10">
        <v>23776000000</v>
      </c>
      <c r="AX34" s="10">
        <v>44000000</v>
      </c>
      <c r="AY34" s="10">
        <v>23895000000</v>
      </c>
      <c r="AZ34" s="10">
        <v>6892000000</v>
      </c>
      <c r="BA34" s="10">
        <v>-6827000000</v>
      </c>
      <c r="BB34" s="10">
        <v>6000000</v>
      </c>
      <c r="BD34" s="10">
        <v>0</v>
      </c>
      <c r="BE34" s="10">
        <v>41958000000</v>
      </c>
      <c r="BF34" s="10">
        <v>-8369000000</v>
      </c>
      <c r="BH34" s="10">
        <v>-719000000</v>
      </c>
      <c r="BI34" s="10">
        <v>0</v>
      </c>
      <c r="BK34" s="10">
        <v>-25453000000</v>
      </c>
      <c r="BN34" s="10">
        <v>-10549000000</v>
      </c>
      <c r="BO34" s="10">
        <v>-202000000</v>
      </c>
      <c r="BP34" s="10">
        <v>7136000000</v>
      </c>
      <c r="BU34" s="10">
        <v>218000000</v>
      </c>
      <c r="BV34" s="10">
        <v>218000000</v>
      </c>
      <c r="BW34" s="10">
        <v>-15545000000</v>
      </c>
      <c r="BX34" s="10">
        <v>-15068000000</v>
      </c>
      <c r="CB34" s="10">
        <v>-15068000000</v>
      </c>
      <c r="CC34" s="10">
        <v>17634000000</v>
      </c>
      <c r="CE34"/>
      <c r="CF34" s="10">
        <v>17003000000</v>
      </c>
      <c r="CG34" s="10">
        <v>-8000000000</v>
      </c>
      <c r="CH34" s="10">
        <v>24513000000</v>
      </c>
      <c r="CI34" s="41"/>
      <c r="CJ34"/>
      <c r="CK34"/>
      <c r="CL34" s="10">
        <v>-7510000000</v>
      </c>
      <c r="CM34"/>
      <c r="CN34" s="10">
        <v>-316000000</v>
      </c>
      <c r="CO34" s="41"/>
      <c r="CP34" s="10">
        <v>399000000</v>
      </c>
      <c r="CQ34" s="10">
        <v>4788000000</v>
      </c>
      <c r="CR34" s="10">
        <v>1323000000</v>
      </c>
      <c r="CS34" s="10"/>
      <c r="CT34" s="10">
        <v>0</v>
      </c>
      <c r="CU34" s="41">
        <v>2021</v>
      </c>
      <c r="CV34" s="10">
        <v>1241000000</v>
      </c>
      <c r="CW34" s="10"/>
      <c r="CX34" s="10"/>
      <c r="CY34" s="151" t="s">
        <v>656</v>
      </c>
    </row>
    <row r="35" spans="1:103" x14ac:dyDescent="0.35">
      <c r="A35" s="151" t="s">
        <v>655</v>
      </c>
      <c r="B35" s="22">
        <v>44926</v>
      </c>
      <c r="C35">
        <v>2022</v>
      </c>
      <c r="D35" s="151" t="s">
        <v>212</v>
      </c>
      <c r="E35" s="151" t="s">
        <v>213</v>
      </c>
      <c r="F35" s="10">
        <v>27498000000</v>
      </c>
      <c r="G35" s="10">
        <v>21316000000</v>
      </c>
      <c r="H35" s="10">
        <v>-19626000000</v>
      </c>
      <c r="I35" s="10">
        <v>-59564000000</v>
      </c>
      <c r="J35" s="10">
        <v>-26899000000</v>
      </c>
      <c r="K35" s="10">
        <v>35812000000</v>
      </c>
      <c r="N35" s="10">
        <v>-17523000000</v>
      </c>
      <c r="O35" s="10">
        <v>-674000000</v>
      </c>
      <c r="Q35" s="10">
        <v>-947000000</v>
      </c>
      <c r="S35" s="10">
        <v>-1109000000</v>
      </c>
      <c r="U35" s="10">
        <v>881000000</v>
      </c>
      <c r="V35" s="10">
        <v>-1849000000</v>
      </c>
      <c r="W35" s="10">
        <v>727000000</v>
      </c>
      <c r="X35" s="10">
        <v>-17523000000</v>
      </c>
      <c r="Y35" s="10">
        <v>28000000</v>
      </c>
      <c r="Z35" s="10">
        <v>-890000000</v>
      </c>
      <c r="AA35" s="10">
        <v>2975000000</v>
      </c>
      <c r="AB35" s="10">
        <v>2975000000</v>
      </c>
      <c r="AC35" s="10">
        <v>18021000000</v>
      </c>
      <c r="AD35" s="10">
        <v>18021000000</v>
      </c>
      <c r="AG35" s="10">
        <v>3793000000</v>
      </c>
      <c r="AH35" s="10">
        <v>-23741000000</v>
      </c>
      <c r="AI35" s="10">
        <v>12397000000</v>
      </c>
      <c r="AJ35" s="10">
        <v>381000000</v>
      </c>
      <c r="AN35" s="10">
        <v>-25805000000</v>
      </c>
      <c r="AO35" s="10">
        <v>28000000</v>
      </c>
      <c r="AP35" s="10">
        <v>6934000000</v>
      </c>
      <c r="AQ35" s="10">
        <v>2979000000</v>
      </c>
      <c r="AR35" s="10">
        <v>-25118000000</v>
      </c>
      <c r="AS35" s="10">
        <v>-10001000000</v>
      </c>
      <c r="AT35" s="10">
        <v>-862000000</v>
      </c>
      <c r="AV35" s="10">
        <v>-8524000000</v>
      </c>
      <c r="AW35" s="10">
        <v>-6874000000</v>
      </c>
      <c r="AX35" s="10">
        <v>82000000</v>
      </c>
      <c r="AY35" s="10">
        <v>-38259000000</v>
      </c>
      <c r="AZ35" s="10">
        <v>-22139000000</v>
      </c>
      <c r="BA35" s="10">
        <v>-10584000000</v>
      </c>
      <c r="BB35" s="10">
        <v>-3000000</v>
      </c>
      <c r="BD35" s="10">
        <v>0</v>
      </c>
      <c r="BE35" s="10">
        <v>32023000000</v>
      </c>
      <c r="BF35" s="10">
        <v>-4855000000</v>
      </c>
      <c r="BH35" s="10">
        <v>-969000000</v>
      </c>
      <c r="BI35" s="10">
        <v>0</v>
      </c>
      <c r="BK35" s="10">
        <v>-10200000000</v>
      </c>
      <c r="BN35" s="10">
        <v>-45193000000</v>
      </c>
      <c r="BO35" s="10">
        <v>-890000000</v>
      </c>
      <c r="BP35" s="10">
        <v>199000000</v>
      </c>
      <c r="BU35" s="10">
        <v>169000000</v>
      </c>
      <c r="BV35" s="10">
        <v>169000000</v>
      </c>
      <c r="BW35" s="10">
        <v>-19626000000</v>
      </c>
      <c r="BX35" s="10">
        <v>-9859000000</v>
      </c>
      <c r="CB35" s="10">
        <v>-9859000000</v>
      </c>
      <c r="CC35" s="10">
        <v>17852000000</v>
      </c>
      <c r="CE35"/>
      <c r="CF35" s="10">
        <v>-16120000000</v>
      </c>
      <c r="CG35" s="10">
        <v>-5236000000</v>
      </c>
      <c r="CH35" s="10">
        <v>3955000000</v>
      </c>
      <c r="CI35" s="41"/>
      <c r="CJ35"/>
      <c r="CK35"/>
      <c r="CL35" s="10">
        <v>-20075000000</v>
      </c>
      <c r="CM35"/>
      <c r="CN35" s="10">
        <v>35823000000</v>
      </c>
      <c r="CO35" s="41"/>
      <c r="CP35" s="10">
        <v>1094000000</v>
      </c>
      <c r="CQ35" s="10">
        <v>-3789000000</v>
      </c>
      <c r="CR35" s="10">
        <v>2649000000</v>
      </c>
      <c r="CS35" s="10"/>
      <c r="CT35" s="10">
        <v>-2665000000</v>
      </c>
      <c r="CU35" s="41">
        <v>2022</v>
      </c>
      <c r="CV35" s="10">
        <v>1865000000</v>
      </c>
      <c r="CW35" s="10"/>
      <c r="CX35" s="10"/>
      <c r="CY35" s="151" t="s">
        <v>656</v>
      </c>
    </row>
    <row r="36" spans="1:103" x14ac:dyDescent="0.35">
      <c r="A36" s="151" t="s">
        <v>655</v>
      </c>
      <c r="B36" s="22">
        <v>45291</v>
      </c>
      <c r="C36">
        <v>2023</v>
      </c>
      <c r="D36" s="151" t="s">
        <v>212</v>
      </c>
      <c r="E36" s="151" t="s">
        <v>213</v>
      </c>
      <c r="F36" s="10">
        <v>1193000000</v>
      </c>
      <c r="G36" s="10">
        <v>3793000000</v>
      </c>
      <c r="H36" s="10">
        <v>-17853000000</v>
      </c>
      <c r="I36" s="10">
        <v>-15614000000</v>
      </c>
      <c r="J36" s="10">
        <v>-19660000000</v>
      </c>
      <c r="K36" s="10">
        <v>38314000000</v>
      </c>
      <c r="N36" s="10">
        <v>3040000000</v>
      </c>
      <c r="O36" s="10">
        <v>-642000000</v>
      </c>
      <c r="Q36" s="10">
        <v>1000000</v>
      </c>
      <c r="S36" s="10">
        <v>-1764000000</v>
      </c>
      <c r="U36" s="10">
        <v>-51000000</v>
      </c>
      <c r="V36" s="10">
        <v>-2456000000</v>
      </c>
      <c r="W36" s="10">
        <v>82000000</v>
      </c>
      <c r="X36" s="10">
        <v>3040000000</v>
      </c>
      <c r="Y36" s="10">
        <v>3000000</v>
      </c>
      <c r="Z36" s="10">
        <v>-194000000</v>
      </c>
      <c r="AA36" s="10">
        <v>3037000000</v>
      </c>
      <c r="AB36" s="10">
        <v>3037000000</v>
      </c>
      <c r="AC36" s="10">
        <v>18777000000</v>
      </c>
      <c r="AD36" s="10">
        <v>18777000000</v>
      </c>
      <c r="AG36" s="10">
        <v>6833000000</v>
      </c>
      <c r="AH36" s="10">
        <v>-15614000000</v>
      </c>
      <c r="AI36" s="10">
        <v>20461000000</v>
      </c>
      <c r="AJ36" s="10">
        <v>441000000</v>
      </c>
      <c r="AN36" s="10">
        <v>-19660000000</v>
      </c>
      <c r="AO36" s="10">
        <v>3000000</v>
      </c>
      <c r="AP36" s="10">
        <v>15410000000</v>
      </c>
      <c r="AQ36" s="10">
        <v>10004000000</v>
      </c>
      <c r="AR36" s="10">
        <v>-12044000000</v>
      </c>
      <c r="AS36" s="10">
        <v>-2870000000</v>
      </c>
      <c r="AT36" s="10">
        <v>-191000000</v>
      </c>
      <c r="AV36" s="10">
        <v>14400000000</v>
      </c>
      <c r="AW36" s="10">
        <v>15623000000</v>
      </c>
      <c r="AX36" s="10">
        <v>-902000000</v>
      </c>
      <c r="AY36" s="10">
        <v>-1093000000</v>
      </c>
      <c r="AZ36" s="10">
        <v>-2040000000</v>
      </c>
      <c r="BA36" s="10">
        <v>-6194000000</v>
      </c>
      <c r="BB36" s="10">
        <v>-84000000</v>
      </c>
      <c r="BE36" s="10">
        <v>38314000000</v>
      </c>
      <c r="BF36" s="10">
        <v>-517000000</v>
      </c>
      <c r="BH36" s="10">
        <v>688000000</v>
      </c>
      <c r="BK36" s="10">
        <v>-2942000000</v>
      </c>
      <c r="BN36" s="10">
        <v>-16503000000</v>
      </c>
      <c r="BO36" s="10">
        <v>-194000000</v>
      </c>
      <c r="BP36" s="10">
        <v>72000000</v>
      </c>
      <c r="BU36" s="10">
        <v>184000000</v>
      </c>
      <c r="BV36" s="10">
        <v>184000000</v>
      </c>
      <c r="BW36" s="10">
        <v>-17853000000</v>
      </c>
      <c r="BX36" s="10">
        <v>-8136000000</v>
      </c>
      <c r="CB36" s="10">
        <v>-8136000000</v>
      </c>
      <c r="CC36" s="10">
        <v>18593000000</v>
      </c>
      <c r="CE36"/>
      <c r="CF36" s="10">
        <v>947000000</v>
      </c>
      <c r="CG36" s="10">
        <v>-958000000</v>
      </c>
      <c r="CH36" s="10">
        <v>5406000000</v>
      </c>
      <c r="CI36" s="41"/>
      <c r="CJ36"/>
      <c r="CK36"/>
      <c r="CL36" s="10">
        <v>-4459000000</v>
      </c>
      <c r="CM36"/>
      <c r="CN36" s="10">
        <v>0</v>
      </c>
      <c r="CO36" s="41"/>
      <c r="CP36" s="10">
        <v>0</v>
      </c>
      <c r="CQ36" s="10">
        <v>0</v>
      </c>
      <c r="CR36" s="10">
        <v>2049000000</v>
      </c>
      <c r="CS36" s="10"/>
      <c r="CT36" s="10"/>
      <c r="CU36" s="41">
        <v>2023</v>
      </c>
      <c r="CV36" s="10">
        <v>1969000000</v>
      </c>
      <c r="CW36" s="10"/>
      <c r="CX36" s="10"/>
      <c r="CY36" s="151" t="s">
        <v>656</v>
      </c>
    </row>
    <row r="37" spans="1:103" x14ac:dyDescent="0.35">
      <c r="A37" s="151" t="s">
        <v>655</v>
      </c>
      <c r="B37" s="22">
        <v>45473</v>
      </c>
      <c r="C37">
        <v>2024</v>
      </c>
      <c r="D37" s="151" t="s">
        <v>214</v>
      </c>
      <c r="E37" s="151" t="s">
        <v>213</v>
      </c>
      <c r="F37" s="10">
        <v>1832000000</v>
      </c>
      <c r="G37" s="10">
        <v>9622000000</v>
      </c>
      <c r="H37" s="10">
        <v>-17366000000</v>
      </c>
      <c r="I37" s="10">
        <v>-27377000000</v>
      </c>
      <c r="J37" s="10">
        <v>-17396000000</v>
      </c>
      <c r="K37" s="10">
        <v>38354000000</v>
      </c>
      <c r="N37" s="10">
        <v>-6419000000</v>
      </c>
      <c r="O37" s="10">
        <v>-599000000</v>
      </c>
      <c r="Q37" s="10">
        <v>261000000</v>
      </c>
      <c r="S37" s="10">
        <v>-826000000</v>
      </c>
      <c r="U37" s="10">
        <v>-1281000000</v>
      </c>
      <c r="V37" s="10">
        <v>-2445000000</v>
      </c>
      <c r="W37" s="10">
        <v>-1130000000</v>
      </c>
      <c r="X37" s="10">
        <v>-6419000000</v>
      </c>
      <c r="Y37" s="10">
        <v>0</v>
      </c>
      <c r="Z37" s="10">
        <v>-164000000</v>
      </c>
      <c r="AA37" s="10">
        <v>2404000000</v>
      </c>
      <c r="AB37" s="10">
        <v>2404000000</v>
      </c>
      <c r="AC37" s="10">
        <v>19590000000</v>
      </c>
      <c r="AD37" s="10">
        <v>19590000000</v>
      </c>
      <c r="AG37" s="10">
        <v>3203000000</v>
      </c>
      <c r="AH37" s="10">
        <v>-27377000000</v>
      </c>
      <c r="AI37" s="10">
        <v>20988000000</v>
      </c>
      <c r="AJ37" s="10">
        <v>786000000</v>
      </c>
      <c r="AN37" s="10">
        <v>-17396000000</v>
      </c>
      <c r="AO37" s="10">
        <v>0</v>
      </c>
      <c r="AP37" s="10">
        <v>3550000000</v>
      </c>
      <c r="AQ37" s="10">
        <v>373000000</v>
      </c>
      <c r="AR37" s="10">
        <v>-11345000000</v>
      </c>
      <c r="AS37" s="10">
        <v>-2627000000</v>
      </c>
      <c r="AT37" s="10">
        <v>-164000000</v>
      </c>
      <c r="AV37" s="10">
        <v>12725000000</v>
      </c>
      <c r="AW37" s="10">
        <v>14108000000</v>
      </c>
      <c r="AX37" s="10">
        <v>1301000000</v>
      </c>
      <c r="AY37" s="10">
        <v>-12830000000</v>
      </c>
      <c r="AZ37" s="10">
        <v>-10972000000</v>
      </c>
      <c r="BA37" s="10">
        <v>-6211000000</v>
      </c>
      <c r="BB37" s="10">
        <v>-365000000</v>
      </c>
      <c r="BE37" s="10">
        <v>38354000000</v>
      </c>
      <c r="BF37" s="10">
        <v>302000000</v>
      </c>
      <c r="BH37" s="10">
        <v>581000000</v>
      </c>
      <c r="BK37" s="10">
        <v>-2697000000</v>
      </c>
      <c r="BN37" s="10">
        <v>-16380000000</v>
      </c>
      <c r="BO37" s="10">
        <v>-164000000</v>
      </c>
      <c r="BP37" s="10">
        <v>70000000</v>
      </c>
      <c r="BW37" s="10">
        <v>-17366000000</v>
      </c>
      <c r="BX37" s="10">
        <v>-8172000000</v>
      </c>
      <c r="CB37" s="10">
        <v>-8172000000</v>
      </c>
      <c r="CE37"/>
      <c r="CF37" s="10">
        <v>-1858000000</v>
      </c>
      <c r="CG37" s="10">
        <v>-484000000</v>
      </c>
      <c r="CH37" s="10">
        <v>3177000000</v>
      </c>
      <c r="CI37" s="41"/>
      <c r="CJ37"/>
      <c r="CK37"/>
      <c r="CL37" s="10">
        <v>-5035000000</v>
      </c>
      <c r="CM37"/>
      <c r="CO37" s="41"/>
      <c r="CR37" s="10">
        <v>1661000000</v>
      </c>
      <c r="CS37" s="10"/>
      <c r="CT37" s="10"/>
      <c r="CU37" s="41">
        <v>2024</v>
      </c>
      <c r="CV37" s="10">
        <v>1982000000</v>
      </c>
      <c r="CW37" s="10"/>
      <c r="CX37" s="10"/>
      <c r="CY37" s="151" t="s">
        <v>656</v>
      </c>
    </row>
    <row r="38" spans="1:103" x14ac:dyDescent="0.35">
      <c r="A38" s="151" t="s">
        <v>657</v>
      </c>
      <c r="B38" s="22">
        <v>43830</v>
      </c>
      <c r="C38">
        <v>2019</v>
      </c>
      <c r="D38" s="151" t="s">
        <v>212</v>
      </c>
      <c r="E38" s="151" t="s">
        <v>213</v>
      </c>
      <c r="Q38" s="10">
        <v>55500000</v>
      </c>
      <c r="Y38" s="10">
        <v>9300000</v>
      </c>
      <c r="AO38" s="10">
        <v>9300000</v>
      </c>
      <c r="AR38" s="10">
        <v>-5327900000</v>
      </c>
      <c r="CB38" s="10">
        <v>-491200000</v>
      </c>
      <c r="CE38"/>
      <c r="CG38" s="10">
        <v>0</v>
      </c>
      <c r="CI38" s="41"/>
      <c r="CJ38"/>
      <c r="CK38"/>
      <c r="CM38"/>
      <c r="CO38" s="41"/>
      <c r="CR38" s="10"/>
      <c r="CS38" s="10"/>
      <c r="CT38" s="10"/>
      <c r="CU38" s="41">
        <v>2019</v>
      </c>
      <c r="CV38" s="10"/>
      <c r="CW38" s="10"/>
      <c r="CX38" s="10"/>
      <c r="CY38" s="151" t="s">
        <v>658</v>
      </c>
    </row>
    <row r="39" spans="1:103" x14ac:dyDescent="0.35">
      <c r="A39" s="151" t="s">
        <v>657</v>
      </c>
      <c r="B39" s="22">
        <v>43830</v>
      </c>
      <c r="C39">
        <v>2019</v>
      </c>
      <c r="D39" s="151" t="s">
        <v>214</v>
      </c>
      <c r="E39" s="151" t="s">
        <v>213</v>
      </c>
      <c r="P39" s="10">
        <v>51900000</v>
      </c>
      <c r="CE39"/>
      <c r="CI39" s="41"/>
      <c r="CJ39"/>
      <c r="CK39"/>
      <c r="CM39"/>
      <c r="CO39" s="41"/>
      <c r="CR39" s="10"/>
      <c r="CS39" s="10"/>
      <c r="CT39" s="10"/>
      <c r="CU39" s="41">
        <v>2019</v>
      </c>
      <c r="CV39" s="10"/>
      <c r="CW39" s="10"/>
      <c r="CX39" s="10"/>
      <c r="CY39" s="151" t="s">
        <v>658</v>
      </c>
    </row>
    <row r="40" spans="1:103" x14ac:dyDescent="0.35">
      <c r="A40" s="151" t="s">
        <v>657</v>
      </c>
      <c r="B40" s="22">
        <v>44104</v>
      </c>
      <c r="C40">
        <v>2020</v>
      </c>
      <c r="D40" s="151" t="s">
        <v>214</v>
      </c>
      <c r="E40" s="151" t="s">
        <v>213</v>
      </c>
      <c r="CE40"/>
      <c r="CG40" s="10">
        <v>4300000</v>
      </c>
      <c r="CI40" s="41"/>
      <c r="CJ40"/>
      <c r="CK40"/>
      <c r="CM40"/>
      <c r="CO40" s="41"/>
      <c r="CR40" s="10"/>
      <c r="CS40" s="10"/>
      <c r="CT40" s="10"/>
      <c r="CU40" s="41">
        <v>2020</v>
      </c>
      <c r="CV40" s="10"/>
      <c r="CW40" s="10"/>
      <c r="CX40" s="10"/>
      <c r="CY40" s="151" t="s">
        <v>658</v>
      </c>
    </row>
    <row r="41" spans="1:103" x14ac:dyDescent="0.35">
      <c r="A41" s="151" t="s">
        <v>657</v>
      </c>
      <c r="B41" s="22">
        <v>44196</v>
      </c>
      <c r="C41">
        <v>2020</v>
      </c>
      <c r="D41" s="151" t="s">
        <v>212</v>
      </c>
      <c r="E41" s="151" t="s">
        <v>213</v>
      </c>
      <c r="G41" s="10">
        <v>177400000</v>
      </c>
      <c r="H41" s="10">
        <v>-1194600000</v>
      </c>
      <c r="I41" s="10">
        <v>-612000000</v>
      </c>
      <c r="J41" s="10">
        <v>-1922800000</v>
      </c>
      <c r="K41" s="10">
        <v>2471600000</v>
      </c>
      <c r="L41" s="10">
        <v>-46700000</v>
      </c>
      <c r="N41" s="10">
        <v>-63200000</v>
      </c>
      <c r="P41" s="10">
        <v>18600000</v>
      </c>
      <c r="Q41" s="10">
        <v>18600000</v>
      </c>
      <c r="R41" s="10">
        <v>-46700000</v>
      </c>
      <c r="S41" s="10">
        <v>-46700000</v>
      </c>
      <c r="T41" s="10">
        <v>6500000</v>
      </c>
      <c r="U41" s="10">
        <v>13800000</v>
      </c>
      <c r="V41" s="10">
        <v>-7800000</v>
      </c>
      <c r="W41" s="10">
        <v>13800000</v>
      </c>
      <c r="X41" s="10">
        <v>-63200000</v>
      </c>
      <c r="Y41" s="10">
        <v>3900000</v>
      </c>
      <c r="Z41" s="10">
        <v>-98800000</v>
      </c>
      <c r="AA41" s="10">
        <v>60800000</v>
      </c>
      <c r="AB41" s="10">
        <v>60800000</v>
      </c>
      <c r="AC41" s="10">
        <v>1158800000</v>
      </c>
      <c r="AD41" s="10">
        <v>1158800000</v>
      </c>
      <c r="AE41" s="10">
        <v>118200000</v>
      </c>
      <c r="AG41" s="10">
        <v>114200000</v>
      </c>
      <c r="AH41" s="10">
        <v>-612000000</v>
      </c>
      <c r="AI41" s="10">
        <v>1277000000</v>
      </c>
      <c r="AN41" s="10">
        <v>-1922800000</v>
      </c>
      <c r="AO41" s="10">
        <v>3900000</v>
      </c>
      <c r="AP41" s="10">
        <v>5341600000</v>
      </c>
      <c r="AQ41" s="10">
        <v>5341600000</v>
      </c>
      <c r="AR41" s="10">
        <v>-5221400000</v>
      </c>
      <c r="AS41" s="10">
        <v>-736600000</v>
      </c>
      <c r="AT41" s="10">
        <v>-94900000</v>
      </c>
      <c r="AV41" s="10">
        <v>967200000</v>
      </c>
      <c r="AW41" s="10">
        <v>969600000</v>
      </c>
      <c r="AY41" s="10">
        <v>120200000</v>
      </c>
      <c r="AZ41" s="10">
        <v>120200000</v>
      </c>
      <c r="BA41" s="10">
        <v>-114800000</v>
      </c>
      <c r="BB41" s="10">
        <v>-21700000</v>
      </c>
      <c r="BC41" s="10">
        <v>-1164500000</v>
      </c>
      <c r="BE41" s="10">
        <v>2471600000</v>
      </c>
      <c r="BF41" s="10">
        <v>295600000</v>
      </c>
      <c r="BH41" s="10">
        <v>-70500000</v>
      </c>
      <c r="BK41" s="10">
        <v>-769500000</v>
      </c>
      <c r="BM41" s="10">
        <v>-1194600000</v>
      </c>
      <c r="BN41" s="10">
        <v>-5221400000</v>
      </c>
      <c r="BO41" s="10">
        <v>-98800000</v>
      </c>
      <c r="BP41" s="10">
        <v>32900000</v>
      </c>
      <c r="BR41" s="10">
        <v>30100000</v>
      </c>
      <c r="BS41" s="10">
        <v>37300000</v>
      </c>
      <c r="BX41" s="10">
        <v>-522500000</v>
      </c>
      <c r="CB41" s="10">
        <v>-522500000</v>
      </c>
      <c r="CC41" s="10">
        <v>1158800000</v>
      </c>
      <c r="CE41"/>
      <c r="CI41" s="41"/>
      <c r="CJ41"/>
      <c r="CK41"/>
      <c r="CM41"/>
      <c r="CO41" s="41"/>
      <c r="CR41" s="10"/>
      <c r="CS41" s="10"/>
      <c r="CT41" s="10"/>
      <c r="CU41" s="41">
        <v>2020</v>
      </c>
      <c r="CV41" s="10">
        <v>27800000</v>
      </c>
      <c r="CW41" s="10"/>
      <c r="CX41" s="10"/>
      <c r="CY41" s="151" t="s">
        <v>658</v>
      </c>
    </row>
    <row r="42" spans="1:103" x14ac:dyDescent="0.35">
      <c r="A42" s="151" t="s">
        <v>657</v>
      </c>
      <c r="B42" s="22">
        <v>44561</v>
      </c>
      <c r="C42">
        <v>2021</v>
      </c>
      <c r="D42" s="151" t="s">
        <v>212</v>
      </c>
      <c r="E42" s="151" t="s">
        <v>213</v>
      </c>
      <c r="G42" s="10">
        <v>114200000</v>
      </c>
      <c r="H42" s="10">
        <v>-1316300000</v>
      </c>
      <c r="I42" s="10">
        <v>-329200000</v>
      </c>
      <c r="J42" s="10">
        <v>-2466100000</v>
      </c>
      <c r="K42" s="10">
        <v>2786700000</v>
      </c>
      <c r="L42" s="10">
        <v>113800000</v>
      </c>
      <c r="N42" s="10">
        <v>-8600000</v>
      </c>
      <c r="P42" s="10">
        <v>101300000</v>
      </c>
      <c r="R42" s="10">
        <v>113800000</v>
      </c>
      <c r="S42" s="10">
        <v>113800000</v>
      </c>
      <c r="T42" s="10">
        <v>-57000000</v>
      </c>
      <c r="U42" s="10">
        <v>-135400000</v>
      </c>
      <c r="V42" s="10">
        <v>22700000</v>
      </c>
      <c r="W42" s="10">
        <v>-135400000</v>
      </c>
      <c r="X42" s="10">
        <v>-8600000</v>
      </c>
      <c r="Z42" s="10">
        <v>-264200000</v>
      </c>
      <c r="AA42" s="10">
        <v>-15500000</v>
      </c>
      <c r="AB42" s="10">
        <v>-15500000</v>
      </c>
      <c r="AC42" s="10">
        <v>1268200000</v>
      </c>
      <c r="AD42" s="10">
        <v>1268200000</v>
      </c>
      <c r="AE42" s="10">
        <v>188500000</v>
      </c>
      <c r="AF42" s="10">
        <v>0</v>
      </c>
      <c r="AG42" s="10">
        <v>105600000</v>
      </c>
      <c r="AH42" s="10">
        <v>-329200000</v>
      </c>
      <c r="AI42" s="10">
        <v>1470400000</v>
      </c>
      <c r="AN42" s="10">
        <v>-2466100000</v>
      </c>
      <c r="AP42" s="10">
        <v>5846600000</v>
      </c>
      <c r="AQ42" s="10">
        <v>692300000</v>
      </c>
      <c r="AR42" s="10">
        <v>-5304500000</v>
      </c>
      <c r="AS42" s="10">
        <v>-1175400000</v>
      </c>
      <c r="AT42" s="10">
        <v>-264200000</v>
      </c>
      <c r="AV42" s="10">
        <v>1290400000</v>
      </c>
      <c r="AW42" s="10">
        <v>1292300000</v>
      </c>
      <c r="AY42" s="10">
        <v>542100000</v>
      </c>
      <c r="AZ42" s="10">
        <v>692300000</v>
      </c>
      <c r="BA42" s="10">
        <v>-54500000</v>
      </c>
      <c r="BB42" s="10">
        <v>6100000</v>
      </c>
      <c r="BC42" s="10">
        <v>-1296800000</v>
      </c>
      <c r="BE42" s="10">
        <v>2786700000</v>
      </c>
      <c r="BF42" s="10">
        <v>188900000</v>
      </c>
      <c r="BH42" s="10">
        <v>-46800000</v>
      </c>
      <c r="BK42" s="10">
        <v>-1221700000</v>
      </c>
      <c r="BM42" s="10">
        <v>-1316300000</v>
      </c>
      <c r="BN42" s="10">
        <v>-5304500000</v>
      </c>
      <c r="BO42" s="10">
        <v>-264200000</v>
      </c>
      <c r="BP42" s="10">
        <v>46300000</v>
      </c>
      <c r="BR42" s="10">
        <v>19500000</v>
      </c>
      <c r="BS42" s="10">
        <v>57000000</v>
      </c>
      <c r="BX42" s="10">
        <v>-552600000</v>
      </c>
      <c r="CB42" s="10">
        <v>-552600000</v>
      </c>
      <c r="CC42" s="10">
        <v>1268200000</v>
      </c>
      <c r="CE42"/>
      <c r="CF42" s="10">
        <v>-150200000</v>
      </c>
      <c r="CH42" s="10">
        <v>5154300000</v>
      </c>
      <c r="CI42" s="41"/>
      <c r="CJ42"/>
      <c r="CK42"/>
      <c r="CL42" s="10">
        <v>-5304500000</v>
      </c>
      <c r="CM42"/>
      <c r="CO42" s="41"/>
      <c r="CR42" s="10"/>
      <c r="CS42" s="10"/>
      <c r="CT42" s="10"/>
      <c r="CU42" s="41">
        <v>2021</v>
      </c>
      <c r="CV42" s="10">
        <v>19900000</v>
      </c>
      <c r="CW42" s="10"/>
      <c r="CX42" s="10"/>
      <c r="CY42" s="151" t="s">
        <v>658</v>
      </c>
    </row>
    <row r="43" spans="1:103" x14ac:dyDescent="0.35">
      <c r="A43" s="151" t="s">
        <v>657</v>
      </c>
      <c r="B43" s="22">
        <v>44926</v>
      </c>
      <c r="C43">
        <v>2022</v>
      </c>
      <c r="D43" s="151" t="s">
        <v>212</v>
      </c>
      <c r="E43" s="151" t="s">
        <v>213</v>
      </c>
      <c r="G43" s="10">
        <v>105600000</v>
      </c>
      <c r="H43" s="10">
        <v>-1454000000</v>
      </c>
      <c r="I43" s="10">
        <v>1344200000</v>
      </c>
      <c r="J43" s="10">
        <v>-4423000000</v>
      </c>
      <c r="K43" s="10">
        <v>3190000000</v>
      </c>
      <c r="L43" s="10">
        <v>106400000</v>
      </c>
      <c r="N43" s="10">
        <v>108700000</v>
      </c>
      <c r="P43" s="10">
        <v>64500000</v>
      </c>
      <c r="R43" s="10">
        <v>106400000</v>
      </c>
      <c r="S43" s="10">
        <v>106400000</v>
      </c>
      <c r="T43" s="10">
        <v>-83800000</v>
      </c>
      <c r="U43" s="10">
        <v>-198800000</v>
      </c>
      <c r="V43" s="10">
        <v>-111700000</v>
      </c>
      <c r="W43" s="10">
        <v>-198800000</v>
      </c>
      <c r="X43" s="10">
        <v>111200000</v>
      </c>
      <c r="Z43" s="10">
        <v>-217100000</v>
      </c>
      <c r="AA43" s="10">
        <v>181100000</v>
      </c>
      <c r="AB43" s="10">
        <v>181100000</v>
      </c>
      <c r="AC43" s="10">
        <v>1441200000</v>
      </c>
      <c r="AD43" s="10">
        <v>1441200000</v>
      </c>
      <c r="AE43" s="10">
        <v>165600000</v>
      </c>
      <c r="AF43" s="10">
        <v>-2500000</v>
      </c>
      <c r="AG43" s="10">
        <v>214300000</v>
      </c>
      <c r="AH43" s="10">
        <v>1344200000</v>
      </c>
      <c r="AI43" s="10">
        <v>1736000000</v>
      </c>
      <c r="AN43" s="10">
        <v>-4423000000</v>
      </c>
      <c r="AP43" s="10">
        <v>16446300000</v>
      </c>
      <c r="AQ43" s="10">
        <v>0</v>
      </c>
      <c r="AS43" s="10">
        <v>-2987900000</v>
      </c>
      <c r="AT43" s="10">
        <v>-217100000</v>
      </c>
      <c r="AV43" s="10">
        <v>1487600000</v>
      </c>
      <c r="AW43" s="10">
        <v>1487600000</v>
      </c>
      <c r="AY43" s="10">
        <v>2164600000</v>
      </c>
      <c r="AZ43" s="10">
        <v>0</v>
      </c>
      <c r="BA43" s="10">
        <v>-10400000</v>
      </c>
      <c r="BB43" s="10">
        <v>-13900000</v>
      </c>
      <c r="BC43" s="10">
        <v>-1421200000</v>
      </c>
      <c r="BE43" s="10">
        <v>3190000000</v>
      </c>
      <c r="BF43" s="10">
        <v>156400000</v>
      </c>
      <c r="BH43" s="10">
        <v>-44900000</v>
      </c>
      <c r="BK43" s="10">
        <v>-3038500000</v>
      </c>
      <c r="BM43" s="10">
        <v>-1454000000</v>
      </c>
      <c r="BN43" s="10">
        <v>-14281700000</v>
      </c>
      <c r="BO43" s="10">
        <v>-217100000</v>
      </c>
      <c r="BP43" s="10">
        <v>50600000</v>
      </c>
      <c r="BR43" s="10">
        <v>32800000</v>
      </c>
      <c r="BS43" s="10">
        <v>38800000</v>
      </c>
      <c r="BX43" s="10">
        <v>-592900000</v>
      </c>
      <c r="CC43" s="10">
        <v>1441200000</v>
      </c>
      <c r="CE43"/>
      <c r="CF43" s="10">
        <v>2164600000</v>
      </c>
      <c r="CH43" s="10">
        <v>16446300000</v>
      </c>
      <c r="CI43" s="41"/>
      <c r="CJ43"/>
      <c r="CK43"/>
      <c r="CL43" s="10">
        <v>-14281700000</v>
      </c>
      <c r="CM43"/>
      <c r="CO43" s="41"/>
      <c r="CR43" s="10"/>
      <c r="CS43" s="10"/>
      <c r="CT43" s="10"/>
      <c r="CU43" s="41">
        <v>2022</v>
      </c>
      <c r="CV43" s="10">
        <v>41500000</v>
      </c>
      <c r="CW43" s="10"/>
      <c r="CX43" s="10"/>
      <c r="CY43" s="151" t="s">
        <v>658</v>
      </c>
    </row>
    <row r="44" spans="1:103" x14ac:dyDescent="0.35">
      <c r="A44" s="151" t="s">
        <v>657</v>
      </c>
      <c r="B44" s="22">
        <v>45291</v>
      </c>
      <c r="C44">
        <v>2023</v>
      </c>
      <c r="D44" s="151" t="s">
        <v>212</v>
      </c>
      <c r="E44" s="151" t="s">
        <v>213</v>
      </c>
      <c r="G44" s="10">
        <v>214300000</v>
      </c>
      <c r="H44" s="10">
        <v>-1631100000</v>
      </c>
      <c r="I44" s="10">
        <v>61900000</v>
      </c>
      <c r="J44" s="10">
        <v>-3666800000</v>
      </c>
      <c r="K44" s="10">
        <v>3617800000</v>
      </c>
      <c r="L44" s="10">
        <v>82800000</v>
      </c>
      <c r="N44" s="10">
        <v>13200000</v>
      </c>
      <c r="P44" s="10">
        <v>43400000</v>
      </c>
      <c r="R44" s="10">
        <v>82800000</v>
      </c>
      <c r="S44" s="10">
        <v>82800000</v>
      </c>
      <c r="T44" s="10">
        <v>-29800000</v>
      </c>
      <c r="U44" s="10">
        <v>-71300000</v>
      </c>
      <c r="V44" s="10">
        <v>25100000</v>
      </c>
      <c r="W44" s="10">
        <v>-71300000</v>
      </c>
      <c r="X44" s="10">
        <v>12900000</v>
      </c>
      <c r="Z44" s="10">
        <v>-263000000</v>
      </c>
      <c r="AA44" s="10">
        <v>101700000</v>
      </c>
      <c r="AB44" s="10">
        <v>101700000</v>
      </c>
      <c r="AC44" s="10">
        <v>1599300000</v>
      </c>
      <c r="AD44" s="10">
        <v>1599300000</v>
      </c>
      <c r="AE44" s="10">
        <v>94300000</v>
      </c>
      <c r="AF44" s="10">
        <v>300000</v>
      </c>
      <c r="AG44" s="10">
        <v>227500000</v>
      </c>
      <c r="AH44" s="10">
        <v>61900000</v>
      </c>
      <c r="AI44" s="10">
        <v>1986700000</v>
      </c>
      <c r="AN44" s="10">
        <v>-3666800000</v>
      </c>
      <c r="AP44" s="10">
        <v>41393400000</v>
      </c>
      <c r="AQ44" s="10">
        <v>2172300000</v>
      </c>
      <c r="AS44" s="10">
        <v>-2058900000</v>
      </c>
      <c r="AT44" s="10">
        <v>-263000000</v>
      </c>
      <c r="AV44" s="10">
        <v>1731000000</v>
      </c>
      <c r="AW44" s="10">
        <v>1731400000</v>
      </c>
      <c r="AY44" s="10">
        <v>982600000</v>
      </c>
      <c r="AZ44" s="10">
        <v>2172300000</v>
      </c>
      <c r="BA44" s="10">
        <v>-19600000</v>
      </c>
      <c r="BB44" s="10">
        <v>-6000000</v>
      </c>
      <c r="BC44" s="10">
        <v>-1601900000</v>
      </c>
      <c r="BE44" s="10">
        <v>3617800000</v>
      </c>
      <c r="BF44" s="10">
        <v>93300000</v>
      </c>
      <c r="BH44" s="10">
        <v>-27100000</v>
      </c>
      <c r="BK44" s="10">
        <v>-2065300000</v>
      </c>
      <c r="BM44" s="10">
        <v>-1631100000</v>
      </c>
      <c r="BN44" s="10">
        <v>-40410800000</v>
      </c>
      <c r="BO44" s="10">
        <v>-263000000</v>
      </c>
      <c r="BP44" s="10">
        <v>6400000</v>
      </c>
      <c r="BR44" s="10">
        <v>29200000</v>
      </c>
      <c r="BS44" s="10">
        <v>40900000</v>
      </c>
      <c r="BX44" s="10">
        <v>-638100000</v>
      </c>
      <c r="CC44" s="10">
        <v>1599300000</v>
      </c>
      <c r="CE44"/>
      <c r="CF44" s="10">
        <v>-1189700000</v>
      </c>
      <c r="CH44" s="10">
        <v>39221100000</v>
      </c>
      <c r="CI44" s="41"/>
      <c r="CJ44"/>
      <c r="CK44"/>
      <c r="CL44" s="10">
        <v>-40410800000</v>
      </c>
      <c r="CM44"/>
      <c r="CO44" s="41"/>
      <c r="CR44" s="10"/>
      <c r="CS44" s="10"/>
      <c r="CT44" s="10"/>
      <c r="CU44" s="41">
        <v>2023</v>
      </c>
      <c r="CV44" s="10">
        <v>53200000</v>
      </c>
      <c r="CW44" s="10"/>
      <c r="CX44" s="10"/>
      <c r="CY44" s="151" t="s">
        <v>658</v>
      </c>
    </row>
    <row r="45" spans="1:103" x14ac:dyDescent="0.35">
      <c r="A45" s="151" t="s">
        <v>657</v>
      </c>
      <c r="B45" s="22">
        <v>45473</v>
      </c>
      <c r="C45">
        <v>2024</v>
      </c>
      <c r="D45" s="151" t="s">
        <v>214</v>
      </c>
      <c r="E45" s="151" t="s">
        <v>213</v>
      </c>
      <c r="G45" s="10">
        <v>273000000</v>
      </c>
      <c r="H45" s="10">
        <v>-1834700000</v>
      </c>
      <c r="I45" s="10">
        <v>-339000000</v>
      </c>
      <c r="J45" s="10">
        <v>-3105200000</v>
      </c>
      <c r="K45" s="10">
        <v>3762500000</v>
      </c>
      <c r="L45" s="10">
        <v>67200000</v>
      </c>
      <c r="N45" s="10">
        <v>318800000</v>
      </c>
      <c r="P45" s="10">
        <v>1500000</v>
      </c>
      <c r="R45" s="10">
        <v>67200000</v>
      </c>
      <c r="S45" s="10">
        <v>67200000</v>
      </c>
      <c r="T45" s="10">
        <v>-132100000</v>
      </c>
      <c r="U45" s="10">
        <v>-88700000</v>
      </c>
      <c r="V45" s="10">
        <v>-152100000</v>
      </c>
      <c r="W45" s="10">
        <v>-88700000</v>
      </c>
      <c r="X45" s="10">
        <v>318300000</v>
      </c>
      <c r="Z45" s="10">
        <v>-444600000</v>
      </c>
      <c r="AA45" s="10">
        <v>115800000</v>
      </c>
      <c r="AB45" s="10">
        <v>115800000</v>
      </c>
      <c r="AC45" s="10">
        <v>1699300000</v>
      </c>
      <c r="AD45" s="10">
        <v>1699300000</v>
      </c>
      <c r="AE45" s="10">
        <v>134100000</v>
      </c>
      <c r="AF45" s="10">
        <v>500000</v>
      </c>
      <c r="AG45" s="10">
        <v>591300000</v>
      </c>
      <c r="AH45" s="10">
        <v>-339000000</v>
      </c>
      <c r="AI45" s="10">
        <v>1927800000</v>
      </c>
      <c r="AN45" s="10">
        <v>-3105200000</v>
      </c>
      <c r="AP45" s="10">
        <v>36181700000</v>
      </c>
      <c r="AQ45" s="10">
        <v>-3039400000</v>
      </c>
      <c r="AS45" s="10">
        <v>-1270200000</v>
      </c>
      <c r="AT45" s="10">
        <v>-444600000</v>
      </c>
      <c r="AV45" s="10">
        <v>1885100000</v>
      </c>
      <c r="AW45" s="10">
        <v>1885600000</v>
      </c>
      <c r="AY45" s="10">
        <v>783800000</v>
      </c>
      <c r="AZ45" s="10">
        <v>1973500000</v>
      </c>
      <c r="BA45" s="10">
        <v>-16300000</v>
      </c>
      <c r="BB45" s="10">
        <v>-17700000</v>
      </c>
      <c r="BC45" s="10">
        <v>-1817300000</v>
      </c>
      <c r="BE45" s="10">
        <v>3762500000</v>
      </c>
      <c r="BF45" s="10">
        <v>137300000</v>
      </c>
      <c r="BH45" s="10">
        <v>-18100000</v>
      </c>
      <c r="BK45" s="10">
        <v>-1278300000</v>
      </c>
      <c r="BM45" s="10">
        <v>-1834700000</v>
      </c>
      <c r="BN45" s="10">
        <v>-35397900000</v>
      </c>
      <c r="BO45" s="10">
        <v>-444600000</v>
      </c>
      <c r="BR45" s="10">
        <v>17400000</v>
      </c>
      <c r="BS45" s="10">
        <v>41300000</v>
      </c>
      <c r="BX45" s="10">
        <v>-661900000</v>
      </c>
      <c r="CC45" s="10">
        <v>1699300000</v>
      </c>
      <c r="CE45"/>
      <c r="CI45" s="41"/>
      <c r="CJ45"/>
      <c r="CK45"/>
      <c r="CM45"/>
      <c r="CO45" s="41"/>
      <c r="CR45" s="10"/>
      <c r="CS45" s="10"/>
      <c r="CT45" s="10"/>
      <c r="CU45" s="41">
        <v>2024</v>
      </c>
      <c r="CV45" s="10">
        <v>53400000</v>
      </c>
      <c r="CW45" s="10"/>
      <c r="CX45" s="10"/>
      <c r="CY45" s="151" t="s">
        <v>658</v>
      </c>
    </row>
    <row r="46" spans="1:103" x14ac:dyDescent="0.35">
      <c r="A46" s="151" t="s">
        <v>659</v>
      </c>
      <c r="B46" s="22">
        <v>43861</v>
      </c>
      <c r="C46">
        <v>2020</v>
      </c>
      <c r="D46" s="151" t="s">
        <v>212</v>
      </c>
      <c r="E46" s="151" t="s">
        <v>213</v>
      </c>
      <c r="Q46" s="10">
        <v>6000000</v>
      </c>
      <c r="T46" s="10">
        <v>-38000000</v>
      </c>
      <c r="U46" s="10">
        <v>82000000</v>
      </c>
      <c r="W46" s="10">
        <v>82000000</v>
      </c>
      <c r="AL46" s="10">
        <v>178000000</v>
      </c>
      <c r="CE46"/>
      <c r="CI46" s="41"/>
      <c r="CJ46"/>
      <c r="CK46"/>
      <c r="CM46"/>
      <c r="CO46" s="41"/>
      <c r="CR46" s="10"/>
      <c r="CS46" s="10"/>
      <c r="CT46" s="10"/>
      <c r="CU46" s="41">
        <v>2020</v>
      </c>
      <c r="CV46" s="10"/>
      <c r="CW46" s="10"/>
      <c r="CX46" s="10"/>
      <c r="CY46" s="151" t="s">
        <v>660</v>
      </c>
    </row>
    <row r="47" spans="1:103" x14ac:dyDescent="0.35">
      <c r="A47" s="151" t="s">
        <v>659</v>
      </c>
      <c r="B47" s="22">
        <v>44227</v>
      </c>
      <c r="C47">
        <v>2021</v>
      </c>
      <c r="D47" s="151" t="s">
        <v>212</v>
      </c>
      <c r="E47" s="151" t="s">
        <v>213</v>
      </c>
      <c r="F47" s="10">
        <v>137000000</v>
      </c>
      <c r="G47" s="10">
        <v>853000000</v>
      </c>
      <c r="H47" s="10">
        <v>-385000000</v>
      </c>
      <c r="I47" s="10">
        <v>530000000</v>
      </c>
      <c r="J47" s="10">
        <v>-347000000</v>
      </c>
      <c r="K47" s="10">
        <v>-348000000</v>
      </c>
      <c r="L47" s="10">
        <v>432000000</v>
      </c>
      <c r="M47" s="10">
        <v>-157000000</v>
      </c>
      <c r="N47" s="10">
        <v>-172000000</v>
      </c>
      <c r="P47" s="10">
        <v>-373000000</v>
      </c>
      <c r="Q47" s="10">
        <v>7000000</v>
      </c>
      <c r="R47" s="10">
        <v>432000000</v>
      </c>
      <c r="S47" s="10">
        <v>275000000</v>
      </c>
      <c r="T47" s="10">
        <v>-607000000</v>
      </c>
      <c r="U47" s="10">
        <v>-46000000</v>
      </c>
      <c r="V47" s="10">
        <v>-698000000</v>
      </c>
      <c r="W47" s="10">
        <v>-46000000</v>
      </c>
      <c r="X47" s="10">
        <v>-165000000</v>
      </c>
      <c r="Z47" s="10">
        <v>0</v>
      </c>
      <c r="AA47" s="10">
        <v>-7000000</v>
      </c>
      <c r="AB47" s="10">
        <v>-7000000</v>
      </c>
      <c r="AC47" s="10">
        <v>839000000</v>
      </c>
      <c r="AD47" s="10">
        <v>839000000</v>
      </c>
      <c r="AF47" s="10">
        <v>-7000000</v>
      </c>
      <c r="AG47" s="10">
        <v>681000000</v>
      </c>
      <c r="AH47" s="10">
        <v>530000000</v>
      </c>
      <c r="AI47" s="10">
        <v>-733000000</v>
      </c>
      <c r="AL47" s="10">
        <v>23000000</v>
      </c>
      <c r="AM47" s="10">
        <v>168000000</v>
      </c>
      <c r="AN47" s="10">
        <v>-347000000</v>
      </c>
      <c r="AP47" s="10">
        <v>1400000000</v>
      </c>
      <c r="AQ47" s="10">
        <v>600000000</v>
      </c>
      <c r="AR47" s="10">
        <v>0</v>
      </c>
      <c r="AT47" s="10">
        <v>0</v>
      </c>
      <c r="AV47" s="10">
        <v>-690000000</v>
      </c>
      <c r="AW47" s="10">
        <v>-690000000</v>
      </c>
      <c r="AY47" s="10">
        <v>600000000</v>
      </c>
      <c r="AZ47" s="10">
        <v>600000000</v>
      </c>
      <c r="BA47" s="10">
        <v>-28000000</v>
      </c>
      <c r="BB47" s="10">
        <v>38000000</v>
      </c>
      <c r="BE47" s="10">
        <v>-348000000</v>
      </c>
      <c r="BH47" s="10">
        <v>4000000</v>
      </c>
      <c r="BJ47" s="10">
        <v>16000000</v>
      </c>
      <c r="BN47" s="10">
        <v>-800000000</v>
      </c>
      <c r="BO47" s="10">
        <v>0</v>
      </c>
      <c r="BS47" s="10">
        <v>67000000</v>
      </c>
      <c r="BW47" s="10">
        <v>-385000000</v>
      </c>
      <c r="BX47" s="10">
        <v>-58000000</v>
      </c>
      <c r="BZ47" s="10">
        <v>53000000</v>
      </c>
      <c r="CB47" s="10">
        <v>-58000000</v>
      </c>
      <c r="CC47" s="10">
        <v>839000000</v>
      </c>
      <c r="CE47"/>
      <c r="CF47" s="10">
        <v>0</v>
      </c>
      <c r="CH47" s="10">
        <v>800000000</v>
      </c>
      <c r="CI47" s="41"/>
      <c r="CJ47"/>
      <c r="CK47"/>
      <c r="CL47" s="10">
        <v>-800000000</v>
      </c>
      <c r="CM47"/>
      <c r="CO47" s="41"/>
      <c r="CR47" s="10"/>
      <c r="CS47" s="10"/>
      <c r="CT47" s="10"/>
      <c r="CU47" s="41">
        <v>2021</v>
      </c>
      <c r="CV47" s="10"/>
      <c r="CW47" s="10"/>
      <c r="CX47" s="10"/>
      <c r="CY47" s="151" t="s">
        <v>660</v>
      </c>
    </row>
    <row r="48" spans="1:103" x14ac:dyDescent="0.35">
      <c r="A48" s="151" t="s">
        <v>659</v>
      </c>
      <c r="B48" s="22">
        <v>44592</v>
      </c>
      <c r="C48">
        <v>2022</v>
      </c>
      <c r="D48" s="151" t="s">
        <v>212</v>
      </c>
      <c r="E48" s="151" t="s">
        <v>213</v>
      </c>
      <c r="F48" s="10">
        <v>0</v>
      </c>
      <c r="G48" s="10">
        <v>681000000</v>
      </c>
      <c r="H48" s="10">
        <v>-506000000</v>
      </c>
      <c r="I48" s="10">
        <v>-544000000</v>
      </c>
      <c r="J48" s="10">
        <v>-521000000</v>
      </c>
      <c r="K48" s="10">
        <v>705000000</v>
      </c>
      <c r="L48" s="10">
        <v>-400000000</v>
      </c>
      <c r="M48" s="10">
        <v>31000000</v>
      </c>
      <c r="N48" s="10">
        <v>-359000000</v>
      </c>
      <c r="O48" s="10">
        <v>532000000</v>
      </c>
      <c r="P48" s="10">
        <v>-192000000</v>
      </c>
      <c r="R48" s="10">
        <v>-400000000</v>
      </c>
      <c r="S48" s="10">
        <v>-369000000</v>
      </c>
      <c r="T48" s="10">
        <v>542000000</v>
      </c>
      <c r="U48" s="10">
        <v>-10000000</v>
      </c>
      <c r="V48" s="10">
        <v>-412000000</v>
      </c>
      <c r="W48" s="10">
        <v>-10000000</v>
      </c>
      <c r="X48" s="10">
        <v>-360000000</v>
      </c>
      <c r="Z48" s="10">
        <v>0</v>
      </c>
      <c r="AA48" s="10">
        <v>-11000000</v>
      </c>
      <c r="AB48" s="10">
        <v>-11000000</v>
      </c>
      <c r="AC48" s="10">
        <v>790000000</v>
      </c>
      <c r="AD48" s="10">
        <v>790000000</v>
      </c>
      <c r="AF48" s="10">
        <v>1000000</v>
      </c>
      <c r="AG48" s="10">
        <v>322000000</v>
      </c>
      <c r="AH48" s="10">
        <v>-544000000</v>
      </c>
      <c r="AI48" s="10">
        <v>199000000</v>
      </c>
      <c r="AM48" s="10">
        <v>164000000</v>
      </c>
      <c r="AN48" s="10">
        <v>-521000000</v>
      </c>
      <c r="AP48" s="10">
        <v>1075000000</v>
      </c>
      <c r="AQ48" s="10">
        <v>675000000</v>
      </c>
      <c r="AR48" s="10">
        <v>-1100000000</v>
      </c>
      <c r="AS48" s="10">
        <v>0</v>
      </c>
      <c r="AT48" s="10">
        <v>0</v>
      </c>
      <c r="AV48" s="10">
        <v>178000000</v>
      </c>
      <c r="AW48" s="10">
        <v>178000000</v>
      </c>
      <c r="AY48" s="10">
        <v>-425000000</v>
      </c>
      <c r="AZ48" s="10">
        <v>-425000000</v>
      </c>
      <c r="BA48" s="10">
        <v>-133000000</v>
      </c>
      <c r="BB48" s="10">
        <v>-15000000</v>
      </c>
      <c r="BE48" s="10">
        <v>705000000</v>
      </c>
      <c r="BH48" s="10">
        <v>81000000</v>
      </c>
      <c r="BJ48" s="10">
        <v>14000000</v>
      </c>
      <c r="BK48" s="10">
        <v>0</v>
      </c>
      <c r="BN48" s="10">
        <v>-1500000000</v>
      </c>
      <c r="BO48" s="10">
        <v>0</v>
      </c>
      <c r="BS48" s="10">
        <v>79000000</v>
      </c>
      <c r="BW48" s="10">
        <v>-506000000</v>
      </c>
      <c r="BX48" s="10">
        <v>0</v>
      </c>
      <c r="BZ48" s="10">
        <v>-383000000</v>
      </c>
      <c r="CB48" s="10">
        <v>0</v>
      </c>
      <c r="CC48" s="10">
        <v>790000000</v>
      </c>
      <c r="CE48"/>
      <c r="CF48" s="10">
        <v>0</v>
      </c>
      <c r="CH48" s="10">
        <v>400000000</v>
      </c>
      <c r="CI48" s="41"/>
      <c r="CJ48"/>
      <c r="CK48"/>
      <c r="CL48" s="10">
        <v>-400000000</v>
      </c>
      <c r="CM48"/>
      <c r="CO48" s="41"/>
      <c r="CR48" s="10"/>
      <c r="CS48" s="10"/>
      <c r="CT48" s="10"/>
      <c r="CU48" s="41">
        <v>2022</v>
      </c>
      <c r="CV48" s="10"/>
      <c r="CW48" s="10"/>
      <c r="CX48" s="10"/>
      <c r="CY48" s="151" t="s">
        <v>660</v>
      </c>
    </row>
    <row r="49" spans="1:103" x14ac:dyDescent="0.35">
      <c r="A49" s="151" t="s">
        <v>659</v>
      </c>
      <c r="B49" s="22">
        <v>44957</v>
      </c>
      <c r="C49">
        <v>2023</v>
      </c>
      <c r="D49" s="151" t="s">
        <v>212</v>
      </c>
      <c r="E49" s="151" t="s">
        <v>213</v>
      </c>
      <c r="F49" s="10">
        <v>80000000</v>
      </c>
      <c r="G49" s="10">
        <v>322000000</v>
      </c>
      <c r="H49" s="10">
        <v>-473000000</v>
      </c>
      <c r="I49" s="10">
        <v>-186000000</v>
      </c>
      <c r="J49" s="10">
        <v>-393000000</v>
      </c>
      <c r="K49" s="10">
        <v>946000000</v>
      </c>
      <c r="L49" s="10">
        <v>-190000000</v>
      </c>
      <c r="M49" s="10">
        <v>-94000000</v>
      </c>
      <c r="N49" s="10">
        <v>365000000</v>
      </c>
      <c r="O49" s="10">
        <v>-1000000</v>
      </c>
      <c r="P49" s="10">
        <v>-78000000</v>
      </c>
      <c r="R49" s="10">
        <v>-190000000</v>
      </c>
      <c r="S49" s="10">
        <v>-284000000</v>
      </c>
      <c r="T49" s="10">
        <v>-24000000</v>
      </c>
      <c r="U49" s="10">
        <v>23000000</v>
      </c>
      <c r="V49" s="10">
        <v>-98000000</v>
      </c>
      <c r="W49" s="10">
        <v>23000000</v>
      </c>
      <c r="X49" s="10">
        <v>367000000</v>
      </c>
      <c r="Z49" s="10">
        <v>-62000000</v>
      </c>
      <c r="AA49" s="10">
        <v>-83000000</v>
      </c>
      <c r="AB49" s="10">
        <v>-83000000</v>
      </c>
      <c r="AC49" s="10">
        <v>789000000</v>
      </c>
      <c r="AD49" s="10">
        <v>789000000</v>
      </c>
      <c r="AF49" s="10">
        <v>-2000000</v>
      </c>
      <c r="AG49" s="10">
        <v>687000000</v>
      </c>
      <c r="AH49" s="10">
        <v>-186000000</v>
      </c>
      <c r="AI49" s="10">
        <v>473000000</v>
      </c>
      <c r="AL49" s="10">
        <v>211000000</v>
      </c>
      <c r="AM49" s="10">
        <v>136000000</v>
      </c>
      <c r="AN49" s="10">
        <v>-393000000</v>
      </c>
      <c r="AP49" s="10">
        <v>100000000</v>
      </c>
      <c r="AQ49" s="10">
        <v>0</v>
      </c>
      <c r="AR49" s="10">
        <v>0</v>
      </c>
      <c r="AS49" s="10">
        <v>0</v>
      </c>
      <c r="AT49" s="10">
        <v>-62000000</v>
      </c>
      <c r="AV49" s="10">
        <v>245000000</v>
      </c>
      <c r="AW49" s="10">
        <v>245000000</v>
      </c>
      <c r="AY49" s="10">
        <v>0</v>
      </c>
      <c r="AZ49" s="10">
        <v>0</v>
      </c>
      <c r="BA49" s="10">
        <v>-34000000</v>
      </c>
      <c r="BB49" s="10">
        <v>80000000</v>
      </c>
      <c r="BE49" s="10">
        <v>946000000</v>
      </c>
      <c r="BH49" s="10">
        <v>-46000000</v>
      </c>
      <c r="BJ49" s="10">
        <v>29000000</v>
      </c>
      <c r="BK49" s="10">
        <v>0</v>
      </c>
      <c r="BN49" s="10">
        <v>-100000000</v>
      </c>
      <c r="BO49" s="10">
        <v>-62000000</v>
      </c>
      <c r="BS49" s="10">
        <v>59000000</v>
      </c>
      <c r="BW49" s="10">
        <v>-473000000</v>
      </c>
      <c r="BX49" s="10">
        <v>-119000000</v>
      </c>
      <c r="BZ49" s="10">
        <v>265000000</v>
      </c>
      <c r="CB49" s="10">
        <v>-119000000</v>
      </c>
      <c r="CC49" s="10">
        <v>789000000</v>
      </c>
      <c r="CE49"/>
      <c r="CF49" s="10">
        <v>0</v>
      </c>
      <c r="CH49" s="10">
        <v>100000000</v>
      </c>
      <c r="CI49" s="41"/>
      <c r="CJ49"/>
      <c r="CK49"/>
      <c r="CL49" s="10">
        <v>-100000000</v>
      </c>
      <c r="CM49"/>
      <c r="CO49" s="41"/>
      <c r="CR49" s="10"/>
      <c r="CS49" s="10"/>
      <c r="CT49" s="10"/>
      <c r="CU49" s="41">
        <v>2023</v>
      </c>
      <c r="CV49" s="10"/>
      <c r="CW49" s="10"/>
      <c r="CX49" s="10"/>
      <c r="CY49" s="151" t="s">
        <v>660</v>
      </c>
    </row>
    <row r="50" spans="1:103" x14ac:dyDescent="0.35">
      <c r="A50" s="151" t="s">
        <v>659</v>
      </c>
      <c r="B50" s="22">
        <v>45322</v>
      </c>
      <c r="C50">
        <v>2024</v>
      </c>
      <c r="D50" s="151" t="s">
        <v>212</v>
      </c>
      <c r="E50" s="151" t="s">
        <v>213</v>
      </c>
      <c r="F50" s="10">
        <v>30000000</v>
      </c>
      <c r="G50" s="10">
        <v>687000000</v>
      </c>
      <c r="H50" s="10">
        <v>-569000000</v>
      </c>
      <c r="I50" s="10">
        <v>-109000000</v>
      </c>
      <c r="J50" s="10">
        <v>-571000000</v>
      </c>
      <c r="K50" s="10">
        <v>621000000</v>
      </c>
      <c r="L50" s="10">
        <v>40000000</v>
      </c>
      <c r="M50" s="10">
        <v>-42000000</v>
      </c>
      <c r="N50" s="10">
        <v>-59000000</v>
      </c>
      <c r="O50" s="10">
        <v>-39000000</v>
      </c>
      <c r="P50" s="10">
        <v>-339000000</v>
      </c>
      <c r="R50" s="10">
        <v>40000000</v>
      </c>
      <c r="S50" s="10">
        <v>-2000000</v>
      </c>
      <c r="V50" s="10">
        <v>-441000000</v>
      </c>
      <c r="X50" s="10">
        <v>-59000000</v>
      </c>
      <c r="Z50" s="10">
        <v>-1000000</v>
      </c>
      <c r="AA50" s="10">
        <v>-60000000</v>
      </c>
      <c r="AB50" s="10">
        <v>-60000000</v>
      </c>
      <c r="AC50" s="10">
        <v>770000000</v>
      </c>
      <c r="AD50" s="10">
        <v>770000000</v>
      </c>
      <c r="AF50" s="10">
        <v>0</v>
      </c>
      <c r="AG50" s="10">
        <v>628000000</v>
      </c>
      <c r="AH50" s="10">
        <v>-109000000</v>
      </c>
      <c r="AI50" s="10">
        <v>52000000</v>
      </c>
      <c r="AL50" s="10">
        <v>53000000</v>
      </c>
      <c r="AM50" s="10">
        <v>143000000</v>
      </c>
      <c r="AN50" s="10">
        <v>-571000000</v>
      </c>
      <c r="AP50" s="10">
        <v>0</v>
      </c>
      <c r="AQ50" s="10">
        <v>0</v>
      </c>
      <c r="AR50" s="10">
        <v>0</v>
      </c>
      <c r="AS50" s="10">
        <v>-33000000</v>
      </c>
      <c r="AT50" s="10">
        <v>-1000000</v>
      </c>
      <c r="AV50" s="10">
        <v>134000000</v>
      </c>
      <c r="AW50" s="10">
        <v>134000000</v>
      </c>
      <c r="AY50" s="10">
        <v>0</v>
      </c>
      <c r="AZ50" s="10">
        <v>0</v>
      </c>
      <c r="BA50" s="10">
        <v>-5000000</v>
      </c>
      <c r="BB50" s="10">
        <v>31000000</v>
      </c>
      <c r="BE50" s="10">
        <v>621000000</v>
      </c>
      <c r="BH50" s="10">
        <v>136000000</v>
      </c>
      <c r="BJ50" s="10">
        <v>20000000</v>
      </c>
      <c r="BK50" s="10">
        <v>-33000000</v>
      </c>
      <c r="BN50" s="10">
        <v>0</v>
      </c>
      <c r="BO50" s="10">
        <v>-1000000</v>
      </c>
      <c r="BS50" s="10">
        <v>52000000</v>
      </c>
      <c r="BW50" s="10">
        <v>-569000000</v>
      </c>
      <c r="BX50" s="10">
        <v>-123000000</v>
      </c>
      <c r="BZ50" s="10">
        <v>-61000000</v>
      </c>
      <c r="CB50" s="10">
        <v>-123000000</v>
      </c>
      <c r="CC50" s="10">
        <v>770000000</v>
      </c>
      <c r="CE50"/>
      <c r="CF50" s="10">
        <v>0</v>
      </c>
      <c r="CH50" s="10">
        <v>0</v>
      </c>
      <c r="CI50" s="41"/>
      <c r="CJ50"/>
      <c r="CK50"/>
      <c r="CL50" s="10">
        <v>0</v>
      </c>
      <c r="CM50"/>
      <c r="CO50" s="41"/>
      <c r="CR50" s="10"/>
      <c r="CS50" s="10"/>
      <c r="CT50" s="10"/>
      <c r="CU50" s="41">
        <v>2024</v>
      </c>
      <c r="CV50" s="10"/>
      <c r="CW50" s="10"/>
      <c r="CX50" s="10"/>
      <c r="CY50" s="151" t="s">
        <v>660</v>
      </c>
    </row>
    <row r="51" spans="1:103" x14ac:dyDescent="0.35">
      <c r="A51" s="151" t="s">
        <v>659</v>
      </c>
      <c r="B51" s="22">
        <v>45412</v>
      </c>
      <c r="C51">
        <v>2024</v>
      </c>
      <c r="D51" s="151" t="s">
        <v>214</v>
      </c>
      <c r="E51" s="151" t="s">
        <v>213</v>
      </c>
      <c r="G51" s="10">
        <v>581000000</v>
      </c>
      <c r="H51" s="10">
        <v>-554000000</v>
      </c>
      <c r="I51" s="10">
        <v>-367000000</v>
      </c>
      <c r="J51" s="10">
        <v>-530000000</v>
      </c>
      <c r="K51" s="10">
        <v>744000000</v>
      </c>
      <c r="L51" s="10">
        <v>-96000000</v>
      </c>
      <c r="M51" s="10">
        <v>54000000</v>
      </c>
      <c r="N51" s="10">
        <v>-153000000</v>
      </c>
      <c r="O51" s="10">
        <v>18000000</v>
      </c>
      <c r="P51" s="10">
        <v>-372000000</v>
      </c>
      <c r="R51" s="10">
        <v>-96000000</v>
      </c>
      <c r="S51" s="10">
        <v>-42000000</v>
      </c>
      <c r="V51" s="10">
        <v>-308000000</v>
      </c>
      <c r="X51" s="10">
        <v>-153000000</v>
      </c>
      <c r="AA51" s="10">
        <v>-49000000</v>
      </c>
      <c r="AB51" s="10">
        <v>-49000000</v>
      </c>
      <c r="AC51" s="10">
        <v>782000000</v>
      </c>
      <c r="AD51" s="10">
        <v>782000000</v>
      </c>
      <c r="AG51" s="10">
        <v>428000000</v>
      </c>
      <c r="AH51" s="10">
        <v>-367000000</v>
      </c>
      <c r="AI51" s="10">
        <v>190000000</v>
      </c>
      <c r="AM51" s="10">
        <v>134000000</v>
      </c>
      <c r="AN51" s="10">
        <v>-530000000</v>
      </c>
      <c r="AR51" s="10">
        <v>-250000000</v>
      </c>
      <c r="AS51" s="10">
        <v>0</v>
      </c>
      <c r="AV51" s="10">
        <v>300000000</v>
      </c>
      <c r="AW51" s="10">
        <v>300000000</v>
      </c>
      <c r="AY51" s="10">
        <v>-250000000</v>
      </c>
      <c r="AZ51" s="10">
        <v>-250000000</v>
      </c>
      <c r="BA51" s="10">
        <v>-8000000</v>
      </c>
      <c r="BB51" s="10">
        <v>24000000</v>
      </c>
      <c r="BE51" s="10">
        <v>744000000</v>
      </c>
      <c r="BH51" s="10">
        <v>-67000000</v>
      </c>
      <c r="BJ51" s="10">
        <v>16000000</v>
      </c>
      <c r="BK51" s="10">
        <v>0</v>
      </c>
      <c r="BN51" s="10">
        <v>-250000000</v>
      </c>
      <c r="BS51" s="10">
        <v>56000000</v>
      </c>
      <c r="BW51" s="10">
        <v>-554000000</v>
      </c>
      <c r="BX51" s="10">
        <v>-124000000</v>
      </c>
      <c r="BZ51" s="10">
        <v>88000000</v>
      </c>
      <c r="CB51" s="10">
        <v>-124000000</v>
      </c>
      <c r="CC51" s="10">
        <v>782000000</v>
      </c>
      <c r="CE51"/>
      <c r="CI51" s="41"/>
      <c r="CJ51"/>
      <c r="CK51"/>
      <c r="CM51"/>
      <c r="CO51" s="41"/>
      <c r="CR51" s="10"/>
      <c r="CS51" s="10"/>
      <c r="CT51" s="10"/>
      <c r="CU51" s="41">
        <v>2024</v>
      </c>
      <c r="CV51" s="10"/>
      <c r="CW51" s="10"/>
      <c r="CX51" s="10"/>
      <c r="CY51" s="151" t="s">
        <v>660</v>
      </c>
    </row>
    <row r="52" spans="1:103" x14ac:dyDescent="0.35">
      <c r="A52" s="151" t="s">
        <v>661</v>
      </c>
      <c r="B52" s="22">
        <v>43830</v>
      </c>
      <c r="C52">
        <v>2019</v>
      </c>
      <c r="D52" s="151" t="s">
        <v>212</v>
      </c>
      <c r="E52" s="151" t="s">
        <v>213</v>
      </c>
      <c r="BA52" s="10">
        <v>-53000000</v>
      </c>
      <c r="CE52"/>
      <c r="CG52" s="10">
        <v>1688000000</v>
      </c>
      <c r="CI52" s="41"/>
      <c r="CJ52"/>
      <c r="CK52"/>
      <c r="CM52"/>
      <c r="CO52" s="41"/>
      <c r="CR52" s="10"/>
      <c r="CS52" s="10"/>
      <c r="CT52" s="10"/>
      <c r="CU52" s="41">
        <v>2019</v>
      </c>
      <c r="CV52" s="10"/>
      <c r="CW52" s="10"/>
      <c r="CX52" s="10"/>
      <c r="CY52" s="151" t="s">
        <v>662</v>
      </c>
    </row>
    <row r="53" spans="1:103" x14ac:dyDescent="0.35">
      <c r="A53" s="151" t="s">
        <v>661</v>
      </c>
      <c r="B53" s="22">
        <v>44196</v>
      </c>
      <c r="C53">
        <v>2020</v>
      </c>
      <c r="D53" s="151" t="s">
        <v>212</v>
      </c>
      <c r="E53" s="151" t="s">
        <v>213</v>
      </c>
      <c r="F53" s="10">
        <v>1203000000</v>
      </c>
      <c r="G53" s="10">
        <v>12820000000</v>
      </c>
      <c r="H53" s="10">
        <v>-753000000</v>
      </c>
      <c r="I53" s="10">
        <v>-1151000000</v>
      </c>
      <c r="J53" s="10">
        <v>-10859000000</v>
      </c>
      <c r="K53" s="10">
        <v>14052000000</v>
      </c>
      <c r="L53" s="10">
        <v>188000000</v>
      </c>
      <c r="N53" s="10">
        <v>2153000000</v>
      </c>
      <c r="Q53" s="10">
        <v>1074000000</v>
      </c>
      <c r="R53" s="10">
        <v>-2117000000</v>
      </c>
      <c r="S53" s="10">
        <v>-2117000000</v>
      </c>
      <c r="U53" s="10">
        <v>-646000000</v>
      </c>
      <c r="V53" s="10">
        <v>983000000</v>
      </c>
      <c r="X53" s="10">
        <v>2042000000</v>
      </c>
      <c r="Z53" s="10">
        <v>-1546000000</v>
      </c>
      <c r="AA53" s="10">
        <v>983000000</v>
      </c>
      <c r="AB53" s="10">
        <v>983000000</v>
      </c>
      <c r="AC53" s="10">
        <v>10380000000</v>
      </c>
      <c r="AD53" s="10">
        <v>10380000000</v>
      </c>
      <c r="AE53" s="10">
        <v>-1228000000</v>
      </c>
      <c r="AF53" s="10">
        <v>111000000</v>
      </c>
      <c r="AG53" s="10">
        <v>14973000000</v>
      </c>
      <c r="AH53" s="10">
        <v>-1151000000</v>
      </c>
      <c r="AI53" s="10">
        <v>13299000000</v>
      </c>
      <c r="AK53" s="10">
        <v>-699000000</v>
      </c>
      <c r="AN53" s="10">
        <v>-10859000000</v>
      </c>
      <c r="AP53" s="10">
        <v>6945000000</v>
      </c>
      <c r="AQ53" s="10">
        <v>6945000000</v>
      </c>
      <c r="AR53" s="10">
        <v>-2750000000</v>
      </c>
      <c r="AS53" s="10">
        <v>-12343000000</v>
      </c>
      <c r="AT53" s="10">
        <v>-1546000000</v>
      </c>
      <c r="AV53" s="10">
        <v>-9015000000</v>
      </c>
      <c r="AW53" s="10">
        <v>-8995000000</v>
      </c>
      <c r="AX53" s="10">
        <v>2237000000</v>
      </c>
      <c r="AY53" s="10">
        <v>3928000000</v>
      </c>
      <c r="AZ53" s="10">
        <v>4195000000</v>
      </c>
      <c r="BA53" s="10">
        <v>542000000</v>
      </c>
      <c r="BE53" s="10">
        <v>14052000000</v>
      </c>
      <c r="BF53" s="10">
        <v>-785000000</v>
      </c>
      <c r="BH53" s="10">
        <v>9504000000</v>
      </c>
      <c r="BK53" s="10">
        <v>-13084000000</v>
      </c>
      <c r="BL53" s="10">
        <v>-4172000000</v>
      </c>
      <c r="BN53" s="10">
        <v>-2750000000</v>
      </c>
      <c r="BO53" s="10">
        <v>-1546000000</v>
      </c>
      <c r="BP53" s="10">
        <v>741000000</v>
      </c>
      <c r="BQ53" s="10">
        <v>6409000000</v>
      </c>
      <c r="BS53" s="10">
        <v>779000000</v>
      </c>
      <c r="BW53" s="10">
        <v>-753000000</v>
      </c>
      <c r="BX53" s="10">
        <v>-4075000000</v>
      </c>
      <c r="BY53" s="10">
        <v>-2305000000</v>
      </c>
      <c r="BZ53" s="10">
        <v>2672000000</v>
      </c>
      <c r="CA53" s="10">
        <v>-2305000000</v>
      </c>
      <c r="CB53" s="10">
        <v>-4075000000</v>
      </c>
      <c r="CE53"/>
      <c r="CF53" s="10">
        <v>-267000000</v>
      </c>
      <c r="CG53" s="10">
        <v>43000000</v>
      </c>
      <c r="CI53" s="41"/>
      <c r="CJ53"/>
      <c r="CK53"/>
      <c r="CM53"/>
      <c r="CO53" s="41"/>
      <c r="CR53" s="10"/>
      <c r="CS53" s="10"/>
      <c r="CT53" s="10"/>
      <c r="CU53" s="41">
        <v>2020</v>
      </c>
      <c r="CV53" s="10"/>
      <c r="CW53" s="10"/>
      <c r="CX53" s="10"/>
      <c r="CY53" s="151" t="s">
        <v>662</v>
      </c>
    </row>
    <row r="54" spans="1:103" x14ac:dyDescent="0.35">
      <c r="A54" s="151" t="s">
        <v>661</v>
      </c>
      <c r="B54" s="22">
        <v>44561</v>
      </c>
      <c r="C54">
        <v>2021</v>
      </c>
      <c r="D54" s="151" t="s">
        <v>212</v>
      </c>
      <c r="E54" s="151" t="s">
        <v>213</v>
      </c>
      <c r="F54" s="10">
        <v>1207000000</v>
      </c>
      <c r="G54" s="10">
        <v>14973000000</v>
      </c>
      <c r="H54" s="10">
        <v>-973000000</v>
      </c>
      <c r="I54" s="10">
        <v>-16224000000</v>
      </c>
      <c r="J54" s="10">
        <v>-538000000</v>
      </c>
      <c r="K54" s="10">
        <v>16207000000</v>
      </c>
      <c r="L54" s="10">
        <v>245000000</v>
      </c>
      <c r="N54" s="10">
        <v>-657000000</v>
      </c>
      <c r="Q54" s="10">
        <v>598000000</v>
      </c>
      <c r="R54" s="10">
        <v>-818000000</v>
      </c>
      <c r="S54" s="10">
        <v>-818000000</v>
      </c>
      <c r="U54" s="10">
        <v>-1054000000</v>
      </c>
      <c r="V54" s="10">
        <v>-1261000000</v>
      </c>
      <c r="X54" s="10">
        <v>-555000000</v>
      </c>
      <c r="Z54" s="10">
        <v>-6287000000</v>
      </c>
      <c r="AA54" s="10">
        <v>-1393000000</v>
      </c>
      <c r="AB54" s="10">
        <v>-1393000000</v>
      </c>
      <c r="AC54" s="10">
        <v>10686000000</v>
      </c>
      <c r="AD54" s="10">
        <v>10686000000</v>
      </c>
      <c r="AE54" s="10">
        <v>-745000000</v>
      </c>
      <c r="AF54" s="10">
        <v>-102000000</v>
      </c>
      <c r="AG54" s="10">
        <v>14316000000</v>
      </c>
      <c r="AH54" s="10">
        <v>-16224000000</v>
      </c>
      <c r="AI54" s="10">
        <v>15234000000</v>
      </c>
      <c r="AK54" s="10">
        <v>-684000000</v>
      </c>
      <c r="AN54" s="10">
        <v>-538000000</v>
      </c>
      <c r="AP54" s="10">
        <v>0</v>
      </c>
      <c r="AQ54" s="10">
        <v>0</v>
      </c>
      <c r="AR54" s="10">
        <v>-6022000000</v>
      </c>
      <c r="AS54" s="10">
        <v>-862000000</v>
      </c>
      <c r="AT54" s="10">
        <v>-6287000000</v>
      </c>
      <c r="AV54" s="10">
        <v>6994000000</v>
      </c>
      <c r="AW54" s="10">
        <v>7014000000</v>
      </c>
      <c r="AX54" s="10">
        <v>1297000000</v>
      </c>
      <c r="AY54" s="10">
        <v>-6182000000</v>
      </c>
      <c r="AZ54" s="10">
        <v>-6022000000</v>
      </c>
      <c r="BA54" s="10">
        <v>641000000</v>
      </c>
      <c r="BE54" s="10">
        <v>16207000000</v>
      </c>
      <c r="BF54" s="10">
        <v>-1429000000</v>
      </c>
      <c r="BH54" s="10">
        <v>800000000</v>
      </c>
      <c r="BJ54" s="10">
        <v>641000000</v>
      </c>
      <c r="BK54" s="10">
        <v>-1610000000</v>
      </c>
      <c r="BL54" s="10">
        <v>-5478000000</v>
      </c>
      <c r="BN54" s="10">
        <v>-6022000000</v>
      </c>
      <c r="BO54" s="10">
        <v>-6287000000</v>
      </c>
      <c r="BP54" s="10">
        <v>748000000</v>
      </c>
      <c r="BQ54" s="10">
        <v>6775000000</v>
      </c>
      <c r="BS54" s="10">
        <v>583000000</v>
      </c>
      <c r="BW54" s="10">
        <v>-973000000</v>
      </c>
      <c r="BX54" s="10">
        <v>-4396000000</v>
      </c>
      <c r="BY54" s="10">
        <v>-1063000000</v>
      </c>
      <c r="BZ54" s="10">
        <v>13000000</v>
      </c>
      <c r="CA54" s="10">
        <v>-1063000000</v>
      </c>
      <c r="CB54" s="10">
        <v>-4396000000</v>
      </c>
      <c r="CE54"/>
      <c r="CF54" s="10">
        <v>-160000000</v>
      </c>
      <c r="CG54" s="10">
        <v>35000000</v>
      </c>
      <c r="CI54" s="41"/>
      <c r="CJ54"/>
      <c r="CK54"/>
      <c r="CM54"/>
      <c r="CO54" s="41"/>
      <c r="CR54" s="10"/>
      <c r="CS54" s="10"/>
      <c r="CT54" s="10"/>
      <c r="CU54" s="41">
        <v>2021</v>
      </c>
      <c r="CV54" s="10"/>
      <c r="CW54" s="10"/>
      <c r="CX54" s="10"/>
      <c r="CY54" s="151" t="s">
        <v>662</v>
      </c>
    </row>
    <row r="55" spans="1:103" x14ac:dyDescent="0.35">
      <c r="A55" s="151" t="s">
        <v>661</v>
      </c>
      <c r="B55" s="22">
        <v>44926</v>
      </c>
      <c r="C55">
        <v>2022</v>
      </c>
      <c r="D55" s="151" t="s">
        <v>212</v>
      </c>
      <c r="E55" s="151" t="s">
        <v>213</v>
      </c>
      <c r="F55" s="10">
        <v>179000000</v>
      </c>
      <c r="G55" s="10">
        <v>14316000000</v>
      </c>
      <c r="H55" s="10">
        <v>-1118000000</v>
      </c>
      <c r="I55" s="10">
        <v>-16962000000</v>
      </c>
      <c r="J55" s="10">
        <v>-1062000000</v>
      </c>
      <c r="K55" s="10">
        <v>13066000000</v>
      </c>
      <c r="L55" s="10">
        <v>109000000</v>
      </c>
      <c r="N55" s="10">
        <v>-4991000000</v>
      </c>
      <c r="Q55" s="10">
        <v>-183000000</v>
      </c>
      <c r="R55" s="10">
        <v>-1314000000</v>
      </c>
      <c r="S55" s="10">
        <v>-1314000000</v>
      </c>
      <c r="U55" s="10">
        <v>-663000000</v>
      </c>
      <c r="V55" s="10">
        <v>-2229000000</v>
      </c>
      <c r="X55" s="10">
        <v>-4958000000</v>
      </c>
      <c r="Z55" s="10">
        <v>-8001000000</v>
      </c>
      <c r="AA55" s="10">
        <v>-2738000000</v>
      </c>
      <c r="AB55" s="10">
        <v>-2738000000</v>
      </c>
      <c r="AC55" s="10">
        <v>10276000000</v>
      </c>
      <c r="AD55" s="10">
        <v>10276000000</v>
      </c>
      <c r="AE55" s="10">
        <v>801000000</v>
      </c>
      <c r="AF55" s="10">
        <v>-33000000</v>
      </c>
      <c r="AG55" s="10">
        <v>9325000000</v>
      </c>
      <c r="AH55" s="10">
        <v>-16962000000</v>
      </c>
      <c r="AI55" s="10">
        <v>11948000000</v>
      </c>
      <c r="AK55" s="10">
        <v>-1063000000</v>
      </c>
      <c r="AN55" s="10">
        <v>-1062000000</v>
      </c>
      <c r="AP55" s="10">
        <v>5926000000</v>
      </c>
      <c r="AQ55" s="10">
        <v>5926000000</v>
      </c>
      <c r="AR55" s="10">
        <v>-11431000000</v>
      </c>
      <c r="AS55" s="10">
        <v>-2981000000</v>
      </c>
      <c r="AT55" s="10">
        <v>-8001000000</v>
      </c>
      <c r="AV55" s="10">
        <v>6327000000</v>
      </c>
      <c r="AW55" s="10">
        <v>6345000000</v>
      </c>
      <c r="AX55" s="10">
        <v>3037000000</v>
      </c>
      <c r="AY55" s="10">
        <v>-5311000000</v>
      </c>
      <c r="AZ55" s="10">
        <v>-5505000000</v>
      </c>
      <c r="BE55" s="10">
        <v>13066000000</v>
      </c>
      <c r="BF55" s="10">
        <v>-262000000</v>
      </c>
      <c r="BH55" s="10">
        <v>1038000000</v>
      </c>
      <c r="BJ55" s="10">
        <v>984000000</v>
      </c>
      <c r="BK55" s="10">
        <v>-4286000000</v>
      </c>
      <c r="BL55" s="10">
        <v>-3592000000</v>
      </c>
      <c r="BN55" s="10">
        <v>-11431000000</v>
      </c>
      <c r="BO55" s="10">
        <v>-8001000000</v>
      </c>
      <c r="BP55" s="10">
        <v>1305000000</v>
      </c>
      <c r="BQ55" s="10">
        <v>6629000000</v>
      </c>
      <c r="BS55" s="10">
        <v>457000000</v>
      </c>
      <c r="BW55" s="10">
        <v>-1118000000</v>
      </c>
      <c r="BX55" s="10">
        <v>-4634000000</v>
      </c>
      <c r="BY55" s="10">
        <v>-1423000000</v>
      </c>
      <c r="BZ55" s="10">
        <v>-69000000</v>
      </c>
      <c r="CA55" s="10">
        <v>-1423000000</v>
      </c>
      <c r="CB55" s="10">
        <v>-4634000000</v>
      </c>
      <c r="CE55"/>
      <c r="CF55" s="10">
        <v>194000000</v>
      </c>
      <c r="CI55" s="41"/>
      <c r="CJ55"/>
      <c r="CK55"/>
      <c r="CM55"/>
      <c r="CO55" s="41"/>
      <c r="CR55" s="10"/>
      <c r="CS55" s="10"/>
      <c r="CT55" s="10"/>
      <c r="CU55" s="41">
        <v>2022</v>
      </c>
      <c r="CV55" s="10"/>
      <c r="CW55" s="10"/>
      <c r="CX55" s="10"/>
      <c r="CY55" s="151" t="s">
        <v>662</v>
      </c>
    </row>
    <row r="56" spans="1:103" x14ac:dyDescent="0.35">
      <c r="A56" s="151" t="s">
        <v>661</v>
      </c>
      <c r="B56" s="22">
        <v>45291</v>
      </c>
      <c r="C56">
        <v>2023</v>
      </c>
      <c r="D56" s="151" t="s">
        <v>212</v>
      </c>
      <c r="E56" s="151" t="s">
        <v>213</v>
      </c>
      <c r="F56" s="10">
        <v>255000000</v>
      </c>
      <c r="G56" s="10">
        <v>9325000000</v>
      </c>
      <c r="H56" s="10">
        <v>-1209000000</v>
      </c>
      <c r="I56" s="10">
        <v>-9416000000</v>
      </c>
      <c r="J56" s="10">
        <v>-2295000000</v>
      </c>
      <c r="K56" s="10">
        <v>13860000000</v>
      </c>
      <c r="L56" s="10">
        <v>198000000</v>
      </c>
      <c r="N56" s="10">
        <v>2194000000</v>
      </c>
      <c r="Q56" s="10">
        <v>237000000</v>
      </c>
      <c r="R56" s="10">
        <v>-405000000</v>
      </c>
      <c r="S56" s="10">
        <v>-405000000</v>
      </c>
      <c r="U56" s="10">
        <v>-995000000</v>
      </c>
      <c r="V56" s="10">
        <v>-1914000000</v>
      </c>
      <c r="X56" s="10">
        <v>2149000000</v>
      </c>
      <c r="Z56" s="10">
        <v>-5155000000</v>
      </c>
      <c r="AA56" s="10">
        <v>-3288000000</v>
      </c>
      <c r="AB56" s="10">
        <v>-3288000000</v>
      </c>
      <c r="AC56" s="10">
        <v>9760000000</v>
      </c>
      <c r="AD56" s="10">
        <v>9760000000</v>
      </c>
      <c r="AE56" s="10">
        <v>160000000</v>
      </c>
      <c r="AF56" s="10">
        <v>45000000</v>
      </c>
      <c r="AG56" s="10">
        <v>11519000000</v>
      </c>
      <c r="AH56" s="10">
        <v>-9416000000</v>
      </c>
      <c r="AI56" s="10">
        <v>12651000000</v>
      </c>
      <c r="AK56" s="10">
        <v>-884000000</v>
      </c>
      <c r="AN56" s="10">
        <v>-2295000000</v>
      </c>
      <c r="AP56" s="10">
        <v>4455000000</v>
      </c>
      <c r="AQ56" s="10">
        <v>4455000000</v>
      </c>
      <c r="AR56" s="10">
        <v>-3879000000</v>
      </c>
      <c r="AS56" s="10">
        <v>-260000000</v>
      </c>
      <c r="AT56" s="10">
        <v>-5155000000</v>
      </c>
      <c r="AV56" s="10">
        <v>8025000000</v>
      </c>
      <c r="AW56" s="10">
        <v>8040000000</v>
      </c>
      <c r="AX56" s="10">
        <v>-826000000</v>
      </c>
      <c r="AY56" s="10">
        <v>456000000</v>
      </c>
      <c r="AZ56" s="10">
        <v>576000000</v>
      </c>
      <c r="BE56" s="10">
        <v>13860000000</v>
      </c>
      <c r="BF56" s="10">
        <v>-724000000</v>
      </c>
      <c r="BH56" s="10">
        <v>1213000000</v>
      </c>
      <c r="BJ56" s="10">
        <v>27000000</v>
      </c>
      <c r="BK56" s="10">
        <v>-1169000000</v>
      </c>
      <c r="BL56" s="10">
        <v>-1774000000</v>
      </c>
      <c r="BN56" s="10">
        <v>-3879000000</v>
      </c>
      <c r="BO56" s="10">
        <v>-5155000000</v>
      </c>
      <c r="BP56" s="10">
        <v>909000000</v>
      </c>
      <c r="BQ56" s="10">
        <v>948000000</v>
      </c>
      <c r="BS56" s="10">
        <v>518000000</v>
      </c>
      <c r="BW56" s="10">
        <v>-1209000000</v>
      </c>
      <c r="BX56" s="10">
        <v>-4744000000</v>
      </c>
      <c r="BY56" s="10">
        <v>-603000000</v>
      </c>
      <c r="BZ56" s="10">
        <v>-751000000</v>
      </c>
      <c r="CA56" s="10">
        <v>-603000000</v>
      </c>
      <c r="CB56" s="10">
        <v>-4744000000</v>
      </c>
      <c r="CE56"/>
      <c r="CF56" s="10">
        <v>-120000000</v>
      </c>
      <c r="CI56" s="41"/>
      <c r="CJ56"/>
      <c r="CK56"/>
      <c r="CM56"/>
      <c r="CO56" s="41"/>
      <c r="CR56" s="10"/>
      <c r="CS56" s="10"/>
      <c r="CT56" s="10"/>
      <c r="CU56" s="41">
        <v>2023</v>
      </c>
      <c r="CV56" s="10"/>
      <c r="CW56" s="10"/>
      <c r="CX56" s="10"/>
      <c r="CY56" s="151" t="s">
        <v>662</v>
      </c>
    </row>
    <row r="57" spans="1:103" x14ac:dyDescent="0.35">
      <c r="A57" s="151" t="s">
        <v>661</v>
      </c>
      <c r="B57" s="22">
        <v>45473</v>
      </c>
      <c r="C57">
        <v>2024</v>
      </c>
      <c r="D57" s="151" t="s">
        <v>214</v>
      </c>
      <c r="E57" s="151" t="s">
        <v>213</v>
      </c>
      <c r="F57" s="10">
        <v>1059000000</v>
      </c>
      <c r="G57" s="10">
        <v>8425000000</v>
      </c>
      <c r="H57" s="10">
        <v>-1218000000</v>
      </c>
      <c r="I57" s="10">
        <v>6428000000</v>
      </c>
      <c r="J57" s="10">
        <v>-22693000000</v>
      </c>
      <c r="K57" s="10">
        <v>14163000000</v>
      </c>
      <c r="L57" s="10">
        <v>217000000</v>
      </c>
      <c r="N57" s="10">
        <v>-2129000000</v>
      </c>
      <c r="Q57" s="10">
        <v>1348000000</v>
      </c>
      <c r="R57" s="10">
        <v>-184000000</v>
      </c>
      <c r="S57" s="10">
        <v>-184000000</v>
      </c>
      <c r="U57" s="10">
        <v>-1295000000</v>
      </c>
      <c r="V57" s="10">
        <v>-1027000000</v>
      </c>
      <c r="X57" s="10">
        <v>-2102000000</v>
      </c>
      <c r="Z57" s="10">
        <v>-4000000000</v>
      </c>
      <c r="AA57" s="10">
        <v>-2696000000</v>
      </c>
      <c r="AB57" s="10">
        <v>-2696000000</v>
      </c>
      <c r="AC57" s="10">
        <v>10027000000</v>
      </c>
      <c r="AD57" s="10">
        <v>10027000000</v>
      </c>
      <c r="AE57" s="10">
        <v>-262000000</v>
      </c>
      <c r="AF57" s="10">
        <v>-27000000</v>
      </c>
      <c r="AG57" s="10">
        <v>6323000000</v>
      </c>
      <c r="AH57" s="10">
        <v>6428000000</v>
      </c>
      <c r="AI57" s="10">
        <v>12945000000</v>
      </c>
      <c r="AK57" s="10">
        <v>-1017000000</v>
      </c>
      <c r="AN57" s="10">
        <v>-22693000000</v>
      </c>
      <c r="AP57" s="10">
        <v>20491000000</v>
      </c>
      <c r="AQ57" s="10">
        <v>17338000000</v>
      </c>
      <c r="AR57" s="10">
        <v>-2395000000</v>
      </c>
      <c r="AS57" s="10">
        <v>-21334000000</v>
      </c>
      <c r="AT57" s="10">
        <v>-4000000000</v>
      </c>
      <c r="AV57" s="10">
        <v>-6541000000</v>
      </c>
      <c r="AW57" s="10">
        <v>-6528000000</v>
      </c>
      <c r="AX57" s="10">
        <v>-141000000</v>
      </c>
      <c r="AY57" s="10">
        <v>15245000000</v>
      </c>
      <c r="AZ57" s="10">
        <v>14943000000</v>
      </c>
      <c r="BE57" s="10">
        <v>14163000000</v>
      </c>
      <c r="BF57" s="10">
        <v>-1279000000</v>
      </c>
      <c r="BH57" s="10">
        <v>14090000000</v>
      </c>
      <c r="BJ57" s="10">
        <v>-37000000</v>
      </c>
      <c r="BK57" s="10">
        <v>-22333000000</v>
      </c>
      <c r="BL57" s="10">
        <v>-1577000000</v>
      </c>
      <c r="BN57" s="10">
        <v>-5126000000</v>
      </c>
      <c r="BO57" s="10">
        <v>-4000000000</v>
      </c>
      <c r="BP57" s="10">
        <v>999000000</v>
      </c>
      <c r="BQ57" s="10">
        <v>1436000000</v>
      </c>
      <c r="BS57" s="10">
        <v>517000000</v>
      </c>
      <c r="BW57" s="10">
        <v>-1218000000</v>
      </c>
      <c r="BX57" s="10">
        <v>-4780000000</v>
      </c>
      <c r="BY57" s="10">
        <v>-401000000</v>
      </c>
      <c r="BZ57" s="10">
        <v>-896000000</v>
      </c>
      <c r="CA57" s="10">
        <v>-401000000</v>
      </c>
      <c r="CB57" s="10">
        <v>-4780000000</v>
      </c>
      <c r="CE57"/>
      <c r="CF57" s="10">
        <v>302000000</v>
      </c>
      <c r="CI57" s="41"/>
      <c r="CJ57"/>
      <c r="CK57"/>
      <c r="CM57"/>
      <c r="CO57" s="41"/>
      <c r="CR57" s="10"/>
      <c r="CS57" s="10"/>
      <c r="CT57" s="10"/>
      <c r="CU57" s="41">
        <v>2024</v>
      </c>
      <c r="CV57" s="10"/>
      <c r="CW57" s="10"/>
      <c r="CX57" s="10"/>
      <c r="CY57" s="151" t="s">
        <v>662</v>
      </c>
    </row>
  </sheetData>
  <phoneticPr fontId="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A531-872E-4EFA-8AD0-D830F0B9014C}">
  <sheetPr>
    <tabColor theme="7" tint="0.79998168889431442"/>
  </sheetPr>
  <dimension ref="A1:AV10"/>
  <sheetViews>
    <sheetView showGridLines="0" workbookViewId="0">
      <pane xSplit="1" ySplit="1" topLeftCell="O2" activePane="bottomRight" state="frozen"/>
      <selection pane="topRight" activeCell="B1" sqref="B1"/>
      <selection pane="bottomLeft" activeCell="A2" sqref="A2"/>
      <selection pane="bottomRight" activeCell="T2" sqref="T2"/>
    </sheetView>
  </sheetViews>
  <sheetFormatPr defaultRowHeight="14.5" x14ac:dyDescent="0.35"/>
  <cols>
    <col min="1" max="1" width="13.453125" bestFit="1" customWidth="1"/>
    <col min="2" max="2" width="18.90625" style="10" bestFit="1" customWidth="1"/>
    <col min="3" max="3" width="30" bestFit="1" customWidth="1"/>
    <col min="4" max="4" width="27" bestFit="1" customWidth="1"/>
    <col min="5" max="5" width="21.36328125" bestFit="1" customWidth="1"/>
    <col min="6" max="6" width="80.7265625" bestFit="1" customWidth="1"/>
    <col min="7" max="7" width="9.453125" bestFit="1" customWidth="1"/>
    <col min="8" max="8" width="14.36328125" bestFit="1" customWidth="1"/>
    <col min="9" max="10" width="11.81640625" bestFit="1" customWidth="1"/>
    <col min="11" max="11" width="18" style="78" bestFit="1" customWidth="1"/>
    <col min="12" max="12" width="16.36328125" style="78" bestFit="1" customWidth="1"/>
    <col min="13" max="13" width="18.7265625" bestFit="1" customWidth="1"/>
    <col min="14" max="14" width="17.54296875" bestFit="1" customWidth="1"/>
    <col min="15" max="15" width="11.81640625" bestFit="1" customWidth="1"/>
    <col min="16" max="16" width="16.36328125" style="78" bestFit="1" customWidth="1"/>
    <col min="17" max="17" width="14.54296875" style="78" bestFit="1" customWidth="1"/>
    <col min="18" max="18" width="13" bestFit="1" customWidth="1"/>
    <col min="19" max="19" width="16.6328125" style="78" bestFit="1" customWidth="1"/>
    <col min="20" max="20" width="14.54296875" bestFit="1" customWidth="1"/>
    <col min="21" max="21" width="16.26953125" style="78" bestFit="1" customWidth="1"/>
    <col min="22" max="22" width="11.90625" bestFit="1" customWidth="1"/>
    <col min="23" max="23" width="13.6328125" bestFit="1" customWidth="1"/>
    <col min="24" max="24" width="18.90625" bestFit="1" customWidth="1"/>
    <col min="25" max="25" width="17.1796875" bestFit="1" customWidth="1"/>
    <col min="26" max="26" width="14.7265625" bestFit="1" customWidth="1"/>
    <col min="27" max="27" width="14.08984375" style="78" bestFit="1" customWidth="1"/>
    <col min="28" max="28" width="14.26953125" bestFit="1" customWidth="1"/>
    <col min="29" max="29" width="16.453125" bestFit="1" customWidth="1"/>
    <col min="30" max="30" width="24.453125" bestFit="1" customWidth="1"/>
    <col min="31" max="31" width="6.90625" bestFit="1" customWidth="1"/>
    <col min="32" max="32" width="11" bestFit="1" customWidth="1"/>
    <col min="33" max="33" width="11.90625" bestFit="1" customWidth="1"/>
    <col min="34" max="34" width="22.08984375" bestFit="1" customWidth="1"/>
    <col min="35" max="35" width="18.26953125" bestFit="1" customWidth="1"/>
    <col min="36" max="36" width="18.6328125" bestFit="1" customWidth="1"/>
    <col min="37" max="37" width="28.453125" bestFit="1" customWidth="1"/>
    <col min="38" max="38" width="26.26953125" bestFit="1" customWidth="1"/>
    <col min="39" max="39" width="26.453125" bestFit="1" customWidth="1"/>
    <col min="40" max="40" width="17.08984375" bestFit="1" customWidth="1"/>
    <col min="41" max="41" width="19" bestFit="1" customWidth="1"/>
    <col min="42" max="42" width="12.08984375" bestFit="1" customWidth="1"/>
    <col min="43" max="43" width="13.54296875" bestFit="1" customWidth="1"/>
    <col min="44" max="44" width="17.54296875" bestFit="1" customWidth="1"/>
    <col min="45" max="45" width="18.26953125" bestFit="1" customWidth="1"/>
    <col min="46" max="46" width="19.90625" bestFit="1" customWidth="1"/>
    <col min="47" max="47" width="10.453125" bestFit="1" customWidth="1"/>
    <col min="48" max="48" width="8.08984375" bestFit="1" customWidth="1"/>
  </cols>
  <sheetData>
    <row r="1" spans="1:48" x14ac:dyDescent="0.35">
      <c r="A1" t="s">
        <v>139</v>
      </c>
      <c r="B1" s="10" t="s">
        <v>425</v>
      </c>
      <c r="C1" t="s">
        <v>426</v>
      </c>
      <c r="D1" t="s">
        <v>427</v>
      </c>
      <c r="E1" t="s">
        <v>428</v>
      </c>
      <c r="F1" t="s">
        <v>429</v>
      </c>
      <c r="G1" t="s">
        <v>89</v>
      </c>
      <c r="H1" t="s">
        <v>430</v>
      </c>
      <c r="I1" t="s">
        <v>431</v>
      </c>
      <c r="J1" t="s">
        <v>432</v>
      </c>
      <c r="K1" s="78" t="s">
        <v>433</v>
      </c>
      <c r="L1" s="78" t="s">
        <v>434</v>
      </c>
      <c r="M1" t="s">
        <v>435</v>
      </c>
      <c r="N1" t="s">
        <v>436</v>
      </c>
      <c r="O1" t="s">
        <v>437</v>
      </c>
      <c r="P1" s="78" t="s">
        <v>438</v>
      </c>
      <c r="Q1" s="78" t="s">
        <v>439</v>
      </c>
      <c r="R1" t="s">
        <v>440</v>
      </c>
      <c r="S1" s="78" t="s">
        <v>441</v>
      </c>
      <c r="T1" t="s">
        <v>442</v>
      </c>
      <c r="U1" s="78" t="s">
        <v>443</v>
      </c>
      <c r="V1" t="s">
        <v>444</v>
      </c>
      <c r="W1" t="s">
        <v>445</v>
      </c>
      <c r="X1" t="s">
        <v>446</v>
      </c>
      <c r="Y1" t="s">
        <v>639</v>
      </c>
      <c r="Z1" t="s">
        <v>447</v>
      </c>
      <c r="AA1" t="s">
        <v>448</v>
      </c>
      <c r="AB1" s="78" t="s">
        <v>449</v>
      </c>
      <c r="AC1" t="s">
        <v>450</v>
      </c>
      <c r="AD1" t="s">
        <v>451</v>
      </c>
      <c r="AE1" t="s">
        <v>452</v>
      </c>
      <c r="AF1" t="s">
        <v>453</v>
      </c>
      <c r="AG1" t="s">
        <v>454</v>
      </c>
      <c r="AH1" t="s">
        <v>455</v>
      </c>
      <c r="AI1" t="s">
        <v>456</v>
      </c>
      <c r="AJ1" t="s">
        <v>457</v>
      </c>
      <c r="AK1" t="s">
        <v>458</v>
      </c>
      <c r="AL1" t="s">
        <v>459</v>
      </c>
      <c r="AM1" t="s">
        <v>460</v>
      </c>
      <c r="AN1" t="s">
        <v>461</v>
      </c>
      <c r="AO1" t="s">
        <v>462</v>
      </c>
      <c r="AP1" t="s">
        <v>463</v>
      </c>
      <c r="AQ1" t="s">
        <v>464</v>
      </c>
      <c r="AR1" t="s">
        <v>465</v>
      </c>
      <c r="AS1" t="s">
        <v>466</v>
      </c>
      <c r="AT1" t="s">
        <v>467</v>
      </c>
      <c r="AU1" t="s">
        <v>468</v>
      </c>
      <c r="AV1" t="s">
        <v>211</v>
      </c>
    </row>
    <row r="2" spans="1:48" x14ac:dyDescent="0.35">
      <c r="A2" t="s">
        <v>645</v>
      </c>
      <c r="B2" s="10">
        <v>16000</v>
      </c>
      <c r="C2" t="s">
        <v>667</v>
      </c>
      <c r="D2" t="s">
        <v>668</v>
      </c>
      <c r="E2" t="s">
        <v>469</v>
      </c>
      <c r="F2" t="s">
        <v>669</v>
      </c>
      <c r="G2" s="22">
        <v>45530</v>
      </c>
      <c r="H2">
        <v>166.089</v>
      </c>
      <c r="I2">
        <v>2776999936</v>
      </c>
      <c r="J2">
        <v>1240999936</v>
      </c>
      <c r="K2" s="78">
        <v>0.23136999</v>
      </c>
      <c r="L2" s="78">
        <v>2.8000000000000001E-2</v>
      </c>
      <c r="M2">
        <v>4.2210000000000001</v>
      </c>
      <c r="N2">
        <v>20.571000000000002</v>
      </c>
      <c r="O2">
        <v>1043000000</v>
      </c>
      <c r="P2" s="78">
        <v>0.13528999999999999</v>
      </c>
      <c r="Q2" s="78">
        <v>0.156</v>
      </c>
      <c r="S2" s="78">
        <v>-4.4999999999999998E-2</v>
      </c>
      <c r="T2" s="10">
        <v>896124992</v>
      </c>
      <c r="U2" s="78">
        <v>0.31947999999999999</v>
      </c>
      <c r="V2">
        <v>1.5509999999999999</v>
      </c>
      <c r="W2">
        <v>1.9610000000000001</v>
      </c>
      <c r="X2">
        <v>872000000</v>
      </c>
      <c r="Y2">
        <v>111.95</v>
      </c>
      <c r="Z2">
        <v>111.78</v>
      </c>
      <c r="AA2">
        <v>0.36</v>
      </c>
      <c r="AB2" s="78">
        <v>3.2000000000000002E-3</v>
      </c>
      <c r="AC2" s="45">
        <v>45470.833333333336</v>
      </c>
      <c r="AF2">
        <v>34.570095000000002</v>
      </c>
      <c r="AG2">
        <v>29.911049999999999</v>
      </c>
      <c r="AH2">
        <v>983010</v>
      </c>
      <c r="AI2">
        <v>65.510000000000005</v>
      </c>
      <c r="AJ2">
        <v>112.22</v>
      </c>
      <c r="AK2">
        <v>5.4010939999999996</v>
      </c>
      <c r="AL2">
        <v>0.27</v>
      </c>
      <c r="AM2">
        <v>2.4154591E-3</v>
      </c>
      <c r="AN2" s="10">
        <v>27421353984</v>
      </c>
      <c r="AO2">
        <v>247106000</v>
      </c>
      <c r="AP2">
        <v>6.742</v>
      </c>
      <c r="AQ2">
        <v>16.459506999999999</v>
      </c>
      <c r="AR2" s="45">
        <v>45290.791666666664</v>
      </c>
      <c r="AS2" s="45">
        <v>45656.791666666664</v>
      </c>
      <c r="AT2" s="45">
        <v>45470.833333333336</v>
      </c>
      <c r="AU2">
        <v>4.62</v>
      </c>
      <c r="AV2" t="s">
        <v>646</v>
      </c>
    </row>
    <row r="3" spans="1:48" x14ac:dyDescent="0.35">
      <c r="A3" t="s">
        <v>647</v>
      </c>
      <c r="B3" s="10">
        <v>2100000</v>
      </c>
      <c r="C3" t="s">
        <v>670</v>
      </c>
      <c r="D3" t="s">
        <v>671</v>
      </c>
      <c r="E3" t="s">
        <v>633</v>
      </c>
      <c r="F3" t="s">
        <v>672</v>
      </c>
      <c r="G3" s="22">
        <v>45530</v>
      </c>
      <c r="H3">
        <v>67.537000000000006</v>
      </c>
      <c r="I3">
        <v>61304999936</v>
      </c>
      <c r="J3">
        <v>40933998592</v>
      </c>
      <c r="K3" s="78">
        <v>4.6890000000000001E-2</v>
      </c>
      <c r="L3" s="78">
        <v>4.8000000000000001E-2</v>
      </c>
      <c r="M3">
        <v>1.095</v>
      </c>
      <c r="N3">
        <v>82.504999999999995</v>
      </c>
      <c r="O3">
        <v>8810999808</v>
      </c>
      <c r="P3" s="78">
        <v>6.9889999999999994E-2</v>
      </c>
      <c r="Q3" s="78">
        <v>2.3390000000000001E-2</v>
      </c>
      <c r="S3" s="78">
        <v>-0.42499999999999999</v>
      </c>
      <c r="T3" s="10">
        <v>7798249984</v>
      </c>
      <c r="U3" s="78">
        <v>0.18531998999999999</v>
      </c>
      <c r="V3">
        <v>0.183</v>
      </c>
      <c r="W3">
        <v>0.80300000000000005</v>
      </c>
      <c r="X3">
        <v>33881999360</v>
      </c>
      <c r="Y3">
        <v>71.92</v>
      </c>
      <c r="Z3">
        <v>75.7</v>
      </c>
      <c r="AA3">
        <v>0.83</v>
      </c>
      <c r="AB3" s="78">
        <v>1.0999999999999999E-2</v>
      </c>
      <c r="AC3" s="45">
        <v>45637.791666666664</v>
      </c>
      <c r="AD3">
        <v>1.56</v>
      </c>
      <c r="AE3">
        <v>0.501</v>
      </c>
      <c r="AF3">
        <v>39.510418000000001</v>
      </c>
      <c r="AG3">
        <v>31.218107</v>
      </c>
      <c r="AH3">
        <v>20808250</v>
      </c>
      <c r="AI3">
        <v>49.846670000000003</v>
      </c>
      <c r="AJ3">
        <v>76.22</v>
      </c>
      <c r="AK3">
        <v>0.91752005000000003</v>
      </c>
      <c r="AL3">
        <v>0.79500000000000004</v>
      </c>
      <c r="AM3">
        <v>1.0501982E-2</v>
      </c>
      <c r="AN3" s="10">
        <v>610182955008</v>
      </c>
      <c r="AO3">
        <v>8043539968</v>
      </c>
      <c r="AP3">
        <v>10.494999999999999</v>
      </c>
      <c r="AQ3">
        <v>7.2282042999999998</v>
      </c>
      <c r="AR3" s="45">
        <v>45321.791666666664</v>
      </c>
      <c r="AS3" s="45">
        <v>45687.791666666664</v>
      </c>
      <c r="AT3" s="45">
        <v>45503.833333333336</v>
      </c>
      <c r="AU3">
        <v>3.83</v>
      </c>
      <c r="AV3" t="s">
        <v>648</v>
      </c>
    </row>
    <row r="4" spans="1:48" x14ac:dyDescent="0.35">
      <c r="A4" t="s">
        <v>649</v>
      </c>
      <c r="B4" s="10">
        <v>228000</v>
      </c>
      <c r="C4" t="s">
        <v>673</v>
      </c>
      <c r="D4" t="s">
        <v>674</v>
      </c>
      <c r="E4" t="s">
        <v>634</v>
      </c>
      <c r="F4" t="s">
        <v>675</v>
      </c>
      <c r="G4" s="22">
        <v>45530</v>
      </c>
      <c r="H4">
        <v>36.447000000000003</v>
      </c>
      <c r="I4">
        <v>97851998208</v>
      </c>
      <c r="J4">
        <v>129433001984</v>
      </c>
      <c r="K4" s="78">
        <v>0.43142999999999998</v>
      </c>
      <c r="L4" s="78">
        <v>0.152</v>
      </c>
      <c r="M4">
        <v>10.162000000000001</v>
      </c>
      <c r="N4">
        <v>32.985999999999997</v>
      </c>
      <c r="O4">
        <v>75531001856</v>
      </c>
      <c r="P4" s="78">
        <v>0.14802000000000001</v>
      </c>
      <c r="Q4" s="78">
        <v>0.35955999999999999</v>
      </c>
      <c r="S4" s="78">
        <v>9.7000000000000003E-2</v>
      </c>
      <c r="T4" s="10">
        <v>56705249280</v>
      </c>
      <c r="U4" s="78">
        <v>0.37132999999999999</v>
      </c>
      <c r="V4">
        <v>1.141</v>
      </c>
      <c r="W4">
        <v>1.2749999999999999</v>
      </c>
      <c r="X4">
        <v>118547996672</v>
      </c>
      <c r="Y4">
        <v>443.99</v>
      </c>
      <c r="Z4">
        <v>416.79</v>
      </c>
      <c r="AA4">
        <v>3</v>
      </c>
      <c r="AB4" s="78">
        <v>7.2000003000000003E-3</v>
      </c>
      <c r="AC4" s="45">
        <v>45518.833333333336</v>
      </c>
      <c r="AD4">
        <v>0.91</v>
      </c>
      <c r="AE4">
        <v>0.89400000000000002</v>
      </c>
      <c r="AF4">
        <v>34.899149999999999</v>
      </c>
      <c r="AG4">
        <v>30.302427000000002</v>
      </c>
      <c r="AH4">
        <v>18349570</v>
      </c>
      <c r="AI4">
        <v>309.45</v>
      </c>
      <c r="AJ4">
        <v>468.35</v>
      </c>
      <c r="AK4">
        <v>12.487659000000001</v>
      </c>
      <c r="AL4">
        <v>3</v>
      </c>
      <c r="AM4">
        <v>7.1978694999999997E-3</v>
      </c>
      <c r="AN4" s="10">
        <v>3061000175616</v>
      </c>
      <c r="AO4">
        <v>7433039872</v>
      </c>
      <c r="AP4">
        <v>36.115000000000002</v>
      </c>
      <c r="AQ4">
        <v>11.4027405</v>
      </c>
      <c r="AR4" s="45">
        <v>45472.833333333336</v>
      </c>
      <c r="AS4" s="45">
        <v>45837.833333333336</v>
      </c>
      <c r="AT4" s="45">
        <v>45472.833333333336</v>
      </c>
      <c r="AU4">
        <v>2.74</v>
      </c>
      <c r="AV4" t="s">
        <v>650</v>
      </c>
    </row>
    <row r="5" spans="1:48" x14ac:dyDescent="0.35">
      <c r="A5" t="s">
        <v>651</v>
      </c>
      <c r="B5" s="10">
        <v>155000</v>
      </c>
      <c r="C5" t="s">
        <v>676</v>
      </c>
      <c r="D5" t="s">
        <v>677</v>
      </c>
      <c r="E5" t="s">
        <v>633</v>
      </c>
      <c r="F5" t="s">
        <v>678</v>
      </c>
      <c r="G5" s="22">
        <v>45530</v>
      </c>
      <c r="H5">
        <v>87.69</v>
      </c>
      <c r="I5">
        <v>78255996928</v>
      </c>
      <c r="J5">
        <v>18001999872</v>
      </c>
      <c r="K5" s="78">
        <v>0.25318000000000002</v>
      </c>
      <c r="L5" s="78">
        <v>1.4E-2</v>
      </c>
      <c r="M5">
        <v>3.8759999999999999</v>
      </c>
      <c r="N5">
        <v>4.9777690000000003</v>
      </c>
      <c r="O5">
        <v>7644000256</v>
      </c>
      <c r="P5" s="78">
        <v>4.3470003E-2</v>
      </c>
      <c r="Q5" s="78">
        <v>9.8919999999999994E-2</v>
      </c>
      <c r="S5" s="78">
        <v>3.419</v>
      </c>
      <c r="T5" s="10">
        <v>6822374912</v>
      </c>
      <c r="U5" s="78">
        <v>8.3940000000000001E-2</v>
      </c>
      <c r="V5">
        <v>0.46899999999999997</v>
      </c>
      <c r="W5">
        <v>0.68799999999999994</v>
      </c>
      <c r="X5">
        <v>14236000256</v>
      </c>
      <c r="Y5">
        <v>71.39</v>
      </c>
      <c r="Z5">
        <v>61.69</v>
      </c>
      <c r="AA5">
        <v>0.87</v>
      </c>
      <c r="AB5" s="78">
        <v>1.4099999E-2</v>
      </c>
      <c r="AC5" s="45">
        <v>45414.833333333336</v>
      </c>
      <c r="AD5">
        <v>1.63</v>
      </c>
      <c r="AE5">
        <v>0.98699999999999999</v>
      </c>
      <c r="AF5">
        <v>21.063572000000001</v>
      </c>
      <c r="AG5">
        <v>15.716666</v>
      </c>
      <c r="AH5">
        <v>1028360</v>
      </c>
      <c r="AI5">
        <v>51.66</v>
      </c>
      <c r="AJ5">
        <v>67.489999999999995</v>
      </c>
      <c r="AK5">
        <v>2.0059184999999999</v>
      </c>
      <c r="AL5">
        <v>0.90600000000000003</v>
      </c>
      <c r="AM5">
        <v>1.4686335999999999E-2</v>
      </c>
      <c r="AN5" s="10">
        <v>120208678912</v>
      </c>
      <c r="AO5">
        <v>1749939968</v>
      </c>
      <c r="AP5">
        <v>39.816000000000003</v>
      </c>
      <c r="AQ5">
        <v>1.5394563999999999</v>
      </c>
      <c r="AR5" s="45">
        <v>45290.791666666664</v>
      </c>
      <c r="AS5" s="45">
        <v>45656.791666666664</v>
      </c>
      <c r="AT5" s="45">
        <v>45472.833333333336</v>
      </c>
      <c r="AU5">
        <v>1.3</v>
      </c>
      <c r="AV5" t="s">
        <v>652</v>
      </c>
    </row>
    <row r="6" spans="1:48" x14ac:dyDescent="0.35">
      <c r="A6" t="s">
        <v>653</v>
      </c>
      <c r="B6" s="10">
        <v>122000</v>
      </c>
      <c r="C6" t="s">
        <v>679</v>
      </c>
      <c r="D6" t="s">
        <v>680</v>
      </c>
      <c r="E6" t="s">
        <v>633</v>
      </c>
      <c r="F6" t="s">
        <v>681</v>
      </c>
      <c r="G6" s="22">
        <v>45530</v>
      </c>
      <c r="H6">
        <v>311.85399999999998</v>
      </c>
      <c r="I6">
        <v>19256999936</v>
      </c>
      <c r="J6">
        <v>10167000064</v>
      </c>
      <c r="K6" s="78">
        <v>0.12465999</v>
      </c>
      <c r="L6" s="78">
        <v>8.5999999999999993E-2</v>
      </c>
      <c r="M6">
        <v>10.585000000000001</v>
      </c>
      <c r="N6">
        <v>292.04399999999998</v>
      </c>
      <c r="O6">
        <v>2523000064</v>
      </c>
      <c r="P6" s="78">
        <v>9.9830000000000002E-2</v>
      </c>
      <c r="Q6" s="78">
        <v>9.4780000000000003E-2</v>
      </c>
      <c r="S6" s="78">
        <v>3.3000000000000002E-2</v>
      </c>
      <c r="T6" s="10">
        <v>5801750016</v>
      </c>
      <c r="U6" s="78">
        <v>0.87394994000000004</v>
      </c>
      <c r="V6">
        <v>1.0469999999999999</v>
      </c>
      <c r="W6">
        <v>1.242</v>
      </c>
      <c r="X6">
        <v>8766999552</v>
      </c>
      <c r="Y6">
        <v>545.11</v>
      </c>
      <c r="Z6">
        <v>555.01</v>
      </c>
      <c r="AA6">
        <v>12.6</v>
      </c>
      <c r="AB6" s="78">
        <v>2.2700000000000001E-2</v>
      </c>
      <c r="AC6" s="45">
        <v>45537.833333333336</v>
      </c>
      <c r="AD6">
        <v>2.62</v>
      </c>
      <c r="AE6">
        <v>0.45400000000000001</v>
      </c>
      <c r="AF6">
        <v>20.288592999999999</v>
      </c>
      <c r="AG6">
        <v>19.604948</v>
      </c>
      <c r="AH6">
        <v>848010</v>
      </c>
      <c r="AI6">
        <v>393.77</v>
      </c>
      <c r="AJ6">
        <v>564.22</v>
      </c>
      <c r="AK6">
        <v>1.8733015</v>
      </c>
      <c r="AL6">
        <v>12.45</v>
      </c>
      <c r="AM6">
        <v>2.2432027E-2</v>
      </c>
      <c r="AN6" s="10">
        <v>133133664256</v>
      </c>
      <c r="AO6">
        <v>238358000</v>
      </c>
      <c r="AP6">
        <v>26.055</v>
      </c>
      <c r="AQ6">
        <v>21.437151</v>
      </c>
      <c r="AR6" s="45">
        <v>45290.791666666664</v>
      </c>
      <c r="AS6" s="45">
        <v>45656.791666666664</v>
      </c>
      <c r="AT6" s="45">
        <v>45472.833333333336</v>
      </c>
      <c r="AU6">
        <v>4.13</v>
      </c>
      <c r="AV6" t="s">
        <v>654</v>
      </c>
    </row>
    <row r="7" spans="1:48" x14ac:dyDescent="0.35">
      <c r="A7" t="s">
        <v>655</v>
      </c>
      <c r="B7" s="10">
        <v>146040</v>
      </c>
      <c r="C7" t="s">
        <v>682</v>
      </c>
      <c r="D7" t="s">
        <v>470</v>
      </c>
      <c r="E7" t="s">
        <v>471</v>
      </c>
      <c r="F7" t="s">
        <v>683</v>
      </c>
      <c r="G7" s="22">
        <v>45530</v>
      </c>
      <c r="H7">
        <v>123.31</v>
      </c>
      <c r="I7">
        <v>149605007360</v>
      </c>
      <c r="J7">
        <v>42100998144</v>
      </c>
      <c r="K7" s="78">
        <v>0.22944999999999999</v>
      </c>
      <c r="L7" s="78">
        <v>-4.0000000000000001E-3</v>
      </c>
      <c r="M7">
        <v>0.44</v>
      </c>
      <c r="N7">
        <v>16.992999999999999</v>
      </c>
      <c r="O7">
        <v>3155000064</v>
      </c>
      <c r="P7" s="78">
        <v>3.9579999999999997E-2</v>
      </c>
      <c r="Q7" s="78">
        <v>0.10414</v>
      </c>
      <c r="S7" s="78">
        <v>-0.19700000000000001</v>
      </c>
      <c r="T7" s="10">
        <v>17859874816</v>
      </c>
      <c r="U7" s="78">
        <v>0.11788</v>
      </c>
      <c r="V7">
        <v>0.42799999999999999</v>
      </c>
      <c r="W7">
        <v>0.70399999999999996</v>
      </c>
      <c r="X7">
        <v>38354001920</v>
      </c>
      <c r="Y7">
        <v>21.14</v>
      </c>
      <c r="Z7">
        <v>19.73</v>
      </c>
      <c r="AA7">
        <v>1.1100000000000001</v>
      </c>
      <c r="AB7" s="78">
        <v>5.6300000000000003E-2</v>
      </c>
      <c r="AC7" s="45">
        <v>45482.833333333336</v>
      </c>
      <c r="AD7">
        <v>7.11</v>
      </c>
      <c r="AE7">
        <v>0.72</v>
      </c>
      <c r="AF7">
        <v>11.356322</v>
      </c>
      <c r="AG7">
        <v>8.7048459999999999</v>
      </c>
      <c r="AH7">
        <v>23090730</v>
      </c>
      <c r="AI7">
        <v>14.11</v>
      </c>
      <c r="AJ7">
        <v>19.989999999999998</v>
      </c>
      <c r="AK7">
        <v>1.1594716</v>
      </c>
      <c r="AL7">
        <v>1.1100000000000001</v>
      </c>
      <c r="AM7">
        <v>5.6259505000000001E-2</v>
      </c>
      <c r="AN7" s="10">
        <v>141683949568</v>
      </c>
      <c r="AO7">
        <v>7170240000</v>
      </c>
      <c r="AP7">
        <v>14.686999999999999</v>
      </c>
      <c r="AQ7">
        <v>1.3454075000000001</v>
      </c>
      <c r="AR7" s="45">
        <v>45290.791666666664</v>
      </c>
      <c r="AS7" s="45">
        <v>45656.791666666664</v>
      </c>
      <c r="AT7" s="45">
        <v>45472.833333333336</v>
      </c>
      <c r="AU7">
        <v>6.85</v>
      </c>
      <c r="AV7" t="s">
        <v>656</v>
      </c>
    </row>
    <row r="8" spans="1:48" x14ac:dyDescent="0.35">
      <c r="A8" t="s">
        <v>657</v>
      </c>
      <c r="B8" s="10">
        <v>41000</v>
      </c>
      <c r="C8" t="s">
        <v>684</v>
      </c>
      <c r="D8" t="s">
        <v>685</v>
      </c>
      <c r="E8" t="s">
        <v>469</v>
      </c>
      <c r="F8" t="s">
        <v>686</v>
      </c>
      <c r="G8" s="22">
        <v>45530</v>
      </c>
      <c r="H8">
        <v>119.94499999999999</v>
      </c>
      <c r="I8">
        <v>13201500160</v>
      </c>
      <c r="J8">
        <v>4647099904</v>
      </c>
      <c r="K8" s="78">
        <v>0.2021</v>
      </c>
      <c r="L8" s="78">
        <v>8.5999999999999993E-2</v>
      </c>
      <c r="M8">
        <v>1.5620000000000001</v>
      </c>
      <c r="N8">
        <v>49.366</v>
      </c>
      <c r="O8">
        <v>490600000</v>
      </c>
      <c r="P8" s="78">
        <v>6.1010000000000002E-2</v>
      </c>
      <c r="Q8" s="78">
        <v>0.12109</v>
      </c>
      <c r="S8" s="78">
        <v>0.20100000000000001</v>
      </c>
      <c r="T8" s="10">
        <v>1648724992</v>
      </c>
      <c r="U8" s="78">
        <v>0.17778999000000001</v>
      </c>
      <c r="V8">
        <v>0.53700000000000003</v>
      </c>
      <c r="W8">
        <v>0.58699999999999997</v>
      </c>
      <c r="X8">
        <v>3762500096</v>
      </c>
      <c r="Y8">
        <v>216.26</v>
      </c>
      <c r="Z8">
        <v>206.27</v>
      </c>
      <c r="AA8">
        <v>2.3199999999999998</v>
      </c>
      <c r="AB8" s="78">
        <v>1.12E-2</v>
      </c>
      <c r="AC8" s="45">
        <v>45566.833333333336</v>
      </c>
      <c r="AD8">
        <v>1.49</v>
      </c>
      <c r="AE8">
        <v>0.69899999999999995</v>
      </c>
      <c r="AF8">
        <v>34.708053999999997</v>
      </c>
      <c r="AG8">
        <v>30.023222000000001</v>
      </c>
      <c r="AH8">
        <v>621200</v>
      </c>
      <c r="AI8">
        <v>140.22999999999999</v>
      </c>
      <c r="AJ8">
        <v>208.62</v>
      </c>
      <c r="AK8">
        <v>4.1733703999999996</v>
      </c>
      <c r="AL8">
        <v>2.14</v>
      </c>
      <c r="AM8">
        <v>1.0374751999999999E-2</v>
      </c>
      <c r="AN8" s="10">
        <v>64968105984</v>
      </c>
      <c r="AO8">
        <v>314068000</v>
      </c>
      <c r="AP8">
        <v>35.048000000000002</v>
      </c>
      <c r="AQ8">
        <v>5.9021910000000002</v>
      </c>
      <c r="AR8" s="45">
        <v>45290.791666666664</v>
      </c>
      <c r="AS8" s="45">
        <v>45656.791666666664</v>
      </c>
      <c r="AT8" s="45">
        <v>45472.833333333336</v>
      </c>
      <c r="AU8">
        <v>3.37</v>
      </c>
      <c r="AV8" t="s">
        <v>658</v>
      </c>
    </row>
    <row r="9" spans="1:48" x14ac:dyDescent="0.35">
      <c r="A9" t="s">
        <v>659</v>
      </c>
      <c r="B9" s="10">
        <v>54000</v>
      </c>
      <c r="C9" t="s">
        <v>687</v>
      </c>
      <c r="D9" t="s">
        <v>688</v>
      </c>
      <c r="E9" t="s">
        <v>635</v>
      </c>
      <c r="F9" t="s">
        <v>689</v>
      </c>
      <c r="G9" s="22">
        <v>45530</v>
      </c>
      <c r="H9">
        <v>506.93799999999999</v>
      </c>
      <c r="I9">
        <v>4238000128</v>
      </c>
      <c r="J9">
        <v>1091000064</v>
      </c>
      <c r="K9" s="138">
        <v>-6.3E-3</v>
      </c>
      <c r="L9" s="138">
        <v>4.8000000000000001E-2</v>
      </c>
      <c r="M9">
        <v>2.6150000000000002</v>
      </c>
      <c r="N9">
        <v>91.421999999999997</v>
      </c>
      <c r="O9">
        <v>428000000</v>
      </c>
      <c r="P9" s="138">
        <v>3.5830000000000001E-2</v>
      </c>
      <c r="Q9" s="138">
        <v>2.0209999999999999E-2</v>
      </c>
      <c r="S9" s="138"/>
      <c r="T9" s="48">
        <v>383000000</v>
      </c>
      <c r="U9" s="138">
        <v>0.43258997999999999</v>
      </c>
      <c r="V9">
        <v>0.252</v>
      </c>
      <c r="W9">
        <v>1.026</v>
      </c>
      <c r="X9">
        <v>744000000</v>
      </c>
      <c r="Y9">
        <v>19.48</v>
      </c>
      <c r="Z9">
        <v>21.73</v>
      </c>
      <c r="AA9">
        <v>0.76</v>
      </c>
      <c r="AB9" s="138">
        <v>3.5000000000000003E-2</v>
      </c>
      <c r="AC9" s="45">
        <v>45537.833333333336</v>
      </c>
      <c r="AD9">
        <v>3.88</v>
      </c>
      <c r="AE9">
        <v>2.6259999999999999</v>
      </c>
      <c r="AF9">
        <v>11.697297000000001</v>
      </c>
      <c r="AG9">
        <v>11.270833</v>
      </c>
      <c r="AH9">
        <v>1961390</v>
      </c>
      <c r="AI9">
        <v>12.88</v>
      </c>
      <c r="AJ9">
        <v>24.03</v>
      </c>
      <c r="AK9">
        <v>0.23852388999999999</v>
      </c>
      <c r="AL9">
        <v>0.76</v>
      </c>
      <c r="AM9">
        <v>3.4974690000000003E-2</v>
      </c>
      <c r="AN9" s="48">
        <v>3541363968</v>
      </c>
      <c r="AO9">
        <v>163648992</v>
      </c>
      <c r="AP9">
        <v>5.1100000000000003</v>
      </c>
      <c r="AQ9">
        <v>4.2348331999999997</v>
      </c>
      <c r="AR9" s="45">
        <v>45324.791666666664</v>
      </c>
      <c r="AS9" s="45">
        <v>45690.791666666664</v>
      </c>
      <c r="AT9" s="45">
        <v>45415.833333333336</v>
      </c>
      <c r="AU9">
        <v>1.78</v>
      </c>
      <c r="AV9" t="s">
        <v>660</v>
      </c>
    </row>
    <row r="10" spans="1:48" x14ac:dyDescent="0.35">
      <c r="A10" t="s">
        <v>661</v>
      </c>
      <c r="B10" s="10">
        <v>34100</v>
      </c>
      <c r="C10" t="s">
        <v>690</v>
      </c>
      <c r="D10" t="s">
        <v>691</v>
      </c>
      <c r="E10" t="s">
        <v>642</v>
      </c>
      <c r="F10" t="s">
        <v>692</v>
      </c>
      <c r="G10" s="22">
        <v>45530</v>
      </c>
      <c r="H10">
        <v>316.38600000000002</v>
      </c>
      <c r="I10">
        <v>54003998720</v>
      </c>
      <c r="J10">
        <v>19047999488</v>
      </c>
      <c r="K10" s="78">
        <v>0.21293000000000001</v>
      </c>
      <c r="L10" s="78">
        <v>8.6999999999999994E-2</v>
      </c>
      <c r="M10">
        <v>3.282</v>
      </c>
      <c r="N10">
        <v>22.870999999999999</v>
      </c>
      <c r="O10">
        <v>6653000192</v>
      </c>
      <c r="P10" s="78">
        <v>6.0019999999999997E-2</v>
      </c>
      <c r="Q10" s="78">
        <v>-0.14063999999999999</v>
      </c>
      <c r="S10" s="78">
        <v>-0.16300000000000001</v>
      </c>
      <c r="T10" s="10">
        <v>15692250112</v>
      </c>
      <c r="U10" s="78">
        <v>-0.26590999999999998</v>
      </c>
      <c r="V10">
        <v>0.93700000000000006</v>
      </c>
      <c r="W10">
        <v>1.1559999999999999</v>
      </c>
      <c r="X10">
        <v>14163000320</v>
      </c>
      <c r="Y10">
        <v>46.27</v>
      </c>
      <c r="Z10">
        <v>48.11</v>
      </c>
      <c r="AA10">
        <v>2.4</v>
      </c>
      <c r="AB10" s="78">
        <v>4.99E-2</v>
      </c>
      <c r="AC10" s="45">
        <v>45477.833333333336</v>
      </c>
      <c r="AD10">
        <v>3.34</v>
      </c>
      <c r="AE10">
        <v>0.439</v>
      </c>
      <c r="AG10">
        <v>7.7047996999999997</v>
      </c>
      <c r="AH10">
        <v>11366980</v>
      </c>
      <c r="AI10">
        <v>39.35</v>
      </c>
      <c r="AJ10">
        <v>63.41</v>
      </c>
      <c r="AK10">
        <v>2.0991515999999999</v>
      </c>
      <c r="AL10">
        <v>2.37</v>
      </c>
      <c r="AM10">
        <v>4.9262106E-2</v>
      </c>
      <c r="AN10" s="10">
        <v>97629437952</v>
      </c>
      <c r="AO10">
        <v>2027399936</v>
      </c>
      <c r="AP10">
        <v>8.3940000000000001</v>
      </c>
      <c r="AQ10">
        <v>5.7368354999999998</v>
      </c>
      <c r="AR10" s="45">
        <v>45290.791666666664</v>
      </c>
      <c r="AS10" s="45">
        <v>45656.791666666664</v>
      </c>
      <c r="AT10" s="45">
        <v>45472.833333333336</v>
      </c>
      <c r="AU10">
        <v>-16.489999999999998</v>
      </c>
      <c r="AV10" t="s">
        <v>662</v>
      </c>
    </row>
  </sheetData>
  <conditionalFormatting sqref="B2:B10">
    <cfRule type="dataBar" priority="1">
      <dataBar>
        <cfvo type="min"/>
        <cfvo type="max"/>
        <color rgb="FF008AEF"/>
      </dataBar>
      <extLst>
        <ext xmlns:x14="http://schemas.microsoft.com/office/spreadsheetml/2009/9/main" uri="{B025F937-C7B1-47D3-B67F-A62EFF666E3E}">
          <x14:id>{4382D669-1C4D-4600-B627-72D8168C3E7F}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382D669-1C4D-4600-B627-72D8168C3E7F}">
            <x14:dataBar minLength="0" maxLength="100" border="1" negativeBarBorderColorSameAsPositive="0">
              <x14:cfvo type="autoMin"/>
              <x14:cfvo type="autoMax"/>
              <x14:borderColor rgb="FF008AEF"/>
              <x14:negativeFillColor rgb="FFFF0000"/>
              <x14:negativeBorderColor rgb="FFFF0000"/>
              <x14:axisColor rgb="FF000000"/>
            </x14:dataBar>
          </x14:cfRule>
          <xm:sqref>B2:B10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4AFB-9FA6-4E86-9944-593D9D510BB0}">
  <sheetPr>
    <tabColor theme="7" tint="0.79998168889431442"/>
  </sheetPr>
  <dimension ref="A1:A10"/>
  <sheetViews>
    <sheetView showGridLines="0" workbookViewId="0">
      <selection sqref="A1:A10"/>
    </sheetView>
  </sheetViews>
  <sheetFormatPr defaultRowHeight="14.5" x14ac:dyDescent="0.35"/>
  <cols>
    <col min="1" max="1" width="8.08984375" bestFit="1" customWidth="1"/>
  </cols>
  <sheetData>
    <row r="1" spans="1:1" x14ac:dyDescent="0.35">
      <c r="A1" t="s">
        <v>211</v>
      </c>
    </row>
    <row r="2" spans="1:1" x14ac:dyDescent="0.35">
      <c r="A2" t="s">
        <v>662</v>
      </c>
    </row>
    <row r="3" spans="1:1" x14ac:dyDescent="0.35">
      <c r="A3" t="s">
        <v>652</v>
      </c>
    </row>
    <row r="4" spans="1:1" x14ac:dyDescent="0.35">
      <c r="A4" t="s">
        <v>660</v>
      </c>
    </row>
    <row r="5" spans="1:1" x14ac:dyDescent="0.35">
      <c r="A5" t="s">
        <v>654</v>
      </c>
    </row>
    <row r="6" spans="1:1" x14ac:dyDescent="0.35">
      <c r="A6" t="s">
        <v>650</v>
      </c>
    </row>
    <row r="7" spans="1:1" x14ac:dyDescent="0.35">
      <c r="A7" t="s">
        <v>658</v>
      </c>
    </row>
    <row r="8" spans="1:1" x14ac:dyDescent="0.35">
      <c r="A8" t="s">
        <v>656</v>
      </c>
    </row>
    <row r="9" spans="1:1" x14ac:dyDescent="0.35">
      <c r="A9" t="s">
        <v>646</v>
      </c>
    </row>
    <row r="10" spans="1:1" x14ac:dyDescent="0.35">
      <c r="A10" t="s">
        <v>648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35DC9-7461-44EF-A8B8-906D94031C6F}">
  <sheetPr>
    <tabColor theme="7" tint="0.79998168889431442"/>
  </sheetPr>
  <dimension ref="A1:E37"/>
  <sheetViews>
    <sheetView showGridLines="0" workbookViewId="0">
      <selection activeCell="D3" sqref="D3"/>
    </sheetView>
  </sheetViews>
  <sheetFormatPr defaultRowHeight="14.5" x14ac:dyDescent="0.35"/>
  <cols>
    <col min="1" max="1" width="8.08984375" bestFit="1" customWidth="1"/>
    <col min="2" max="2" width="10.90625" bestFit="1" customWidth="1"/>
    <col min="3" max="3" width="15.26953125" bestFit="1" customWidth="1"/>
    <col min="4" max="4" width="15.6328125" bestFit="1" customWidth="1"/>
    <col min="5" max="5" width="6.81640625" bestFit="1" customWidth="1"/>
  </cols>
  <sheetData>
    <row r="1" spans="1:5" x14ac:dyDescent="0.35">
      <c r="A1" t="s">
        <v>211</v>
      </c>
      <c r="B1" t="s">
        <v>140</v>
      </c>
      <c r="C1" t="s">
        <v>474</v>
      </c>
      <c r="D1" t="s">
        <v>475</v>
      </c>
      <c r="E1" t="s">
        <v>476</v>
      </c>
    </row>
    <row r="2" spans="1:5" x14ac:dyDescent="0.35">
      <c r="A2" t="s">
        <v>662</v>
      </c>
      <c r="B2" s="22">
        <v>44196</v>
      </c>
      <c r="C2" s="22">
        <v>44196</v>
      </c>
      <c r="D2" s="22">
        <v>44196</v>
      </c>
      <c r="E2">
        <v>2020</v>
      </c>
    </row>
    <row r="3" spans="1:5" x14ac:dyDescent="0.35">
      <c r="A3" t="s">
        <v>662</v>
      </c>
      <c r="B3" s="22">
        <v>44561</v>
      </c>
      <c r="C3" s="22">
        <v>44561</v>
      </c>
      <c r="D3" s="22">
        <v>44561</v>
      </c>
      <c r="E3">
        <v>2021</v>
      </c>
    </row>
    <row r="4" spans="1:5" x14ac:dyDescent="0.35">
      <c r="A4" t="s">
        <v>662</v>
      </c>
      <c r="B4" s="22">
        <v>44926</v>
      </c>
      <c r="C4" s="22">
        <v>44926</v>
      </c>
      <c r="D4" s="22">
        <v>44926</v>
      </c>
      <c r="E4">
        <v>2022</v>
      </c>
    </row>
    <row r="5" spans="1:5" x14ac:dyDescent="0.35">
      <c r="A5" t="s">
        <v>662</v>
      </c>
      <c r="B5" s="22">
        <v>45291</v>
      </c>
      <c r="C5" s="22">
        <v>45291</v>
      </c>
      <c r="D5" s="22">
        <v>45291</v>
      </c>
      <c r="E5">
        <v>2023</v>
      </c>
    </row>
    <row r="6" spans="1:5" x14ac:dyDescent="0.35">
      <c r="A6" t="s">
        <v>652</v>
      </c>
      <c r="B6" s="22">
        <v>44196</v>
      </c>
      <c r="C6" s="22">
        <v>44196</v>
      </c>
      <c r="D6" s="22">
        <v>44196</v>
      </c>
      <c r="E6">
        <v>2020</v>
      </c>
    </row>
    <row r="7" spans="1:5" x14ac:dyDescent="0.35">
      <c r="A7" t="s">
        <v>652</v>
      </c>
      <c r="B7" s="22">
        <v>44561</v>
      </c>
      <c r="C7" s="22">
        <v>44561</v>
      </c>
      <c r="D7" s="22">
        <v>44561</v>
      </c>
      <c r="E7">
        <v>2021</v>
      </c>
    </row>
    <row r="8" spans="1:5" x14ac:dyDescent="0.35">
      <c r="A8" t="s">
        <v>652</v>
      </c>
      <c r="B8" s="22">
        <v>44926</v>
      </c>
      <c r="C8" s="22">
        <v>44926</v>
      </c>
      <c r="D8" s="22">
        <v>44926</v>
      </c>
      <c r="E8">
        <v>2022</v>
      </c>
    </row>
    <row r="9" spans="1:5" x14ac:dyDescent="0.35">
      <c r="A9" t="s">
        <v>652</v>
      </c>
      <c r="B9" s="22">
        <v>45291</v>
      </c>
      <c r="C9" s="22">
        <v>45291</v>
      </c>
      <c r="D9" s="22">
        <v>45291</v>
      </c>
      <c r="E9">
        <v>2023</v>
      </c>
    </row>
    <row r="10" spans="1:5" x14ac:dyDescent="0.35">
      <c r="A10" t="s">
        <v>660</v>
      </c>
      <c r="B10" s="22">
        <v>44227</v>
      </c>
      <c r="C10" s="22">
        <v>44227</v>
      </c>
      <c r="D10" s="22">
        <v>44227</v>
      </c>
      <c r="E10">
        <v>2021</v>
      </c>
    </row>
    <row r="11" spans="1:5" x14ac:dyDescent="0.35">
      <c r="A11" t="s">
        <v>660</v>
      </c>
      <c r="B11" s="22">
        <v>44592</v>
      </c>
      <c r="C11" s="22">
        <v>44592</v>
      </c>
      <c r="D11" s="22">
        <v>44592</v>
      </c>
      <c r="E11">
        <v>2022</v>
      </c>
    </row>
    <row r="12" spans="1:5" x14ac:dyDescent="0.35">
      <c r="A12" t="s">
        <v>660</v>
      </c>
      <c r="B12" s="22">
        <v>44957</v>
      </c>
      <c r="C12" s="22">
        <v>44957</v>
      </c>
      <c r="D12" s="22">
        <v>44957</v>
      </c>
      <c r="E12">
        <v>2023</v>
      </c>
    </row>
    <row r="13" spans="1:5" x14ac:dyDescent="0.35">
      <c r="A13" t="s">
        <v>660</v>
      </c>
      <c r="B13" s="22">
        <v>45322</v>
      </c>
      <c r="C13" s="22">
        <v>45322</v>
      </c>
      <c r="D13" s="22">
        <v>45322</v>
      </c>
      <c r="E13">
        <v>2024</v>
      </c>
    </row>
    <row r="14" spans="1:5" x14ac:dyDescent="0.35">
      <c r="A14" t="s">
        <v>654</v>
      </c>
      <c r="B14" s="22">
        <v>44196</v>
      </c>
      <c r="C14" s="22">
        <v>44196</v>
      </c>
      <c r="D14" s="22">
        <v>44196</v>
      </c>
      <c r="E14">
        <v>2020</v>
      </c>
    </row>
    <row r="15" spans="1:5" x14ac:dyDescent="0.35">
      <c r="A15" t="s">
        <v>654</v>
      </c>
      <c r="B15" s="22">
        <v>44561</v>
      </c>
      <c r="C15" s="22">
        <v>44561</v>
      </c>
      <c r="D15" s="22">
        <v>44561</v>
      </c>
      <c r="E15">
        <v>2021</v>
      </c>
    </row>
    <row r="16" spans="1:5" x14ac:dyDescent="0.35">
      <c r="A16" t="s">
        <v>654</v>
      </c>
      <c r="B16" s="22">
        <v>44926</v>
      </c>
      <c r="C16" s="22">
        <v>44926</v>
      </c>
      <c r="D16" s="22">
        <v>44926</v>
      </c>
      <c r="E16">
        <v>2022</v>
      </c>
    </row>
    <row r="17" spans="1:5" x14ac:dyDescent="0.35">
      <c r="A17" t="s">
        <v>654</v>
      </c>
      <c r="B17" s="22">
        <v>45291</v>
      </c>
      <c r="C17" s="22">
        <v>45291</v>
      </c>
      <c r="D17" s="22">
        <v>45291</v>
      </c>
      <c r="E17">
        <v>2023</v>
      </c>
    </row>
    <row r="18" spans="1:5" x14ac:dyDescent="0.35">
      <c r="A18" t="s">
        <v>650</v>
      </c>
      <c r="B18" s="22">
        <v>44377</v>
      </c>
      <c r="C18" s="22">
        <v>44377</v>
      </c>
      <c r="D18" s="22">
        <v>44377</v>
      </c>
      <c r="E18">
        <v>2021</v>
      </c>
    </row>
    <row r="19" spans="1:5" x14ac:dyDescent="0.35">
      <c r="A19" t="s">
        <v>650</v>
      </c>
      <c r="B19" s="22">
        <v>44742</v>
      </c>
      <c r="C19" s="22">
        <v>44742</v>
      </c>
      <c r="D19" s="22">
        <v>44742</v>
      </c>
      <c r="E19">
        <v>2022</v>
      </c>
    </row>
    <row r="20" spans="1:5" x14ac:dyDescent="0.35">
      <c r="A20" t="s">
        <v>650</v>
      </c>
      <c r="B20" s="22">
        <v>45107</v>
      </c>
      <c r="C20" s="22">
        <v>45107</v>
      </c>
      <c r="D20" s="22">
        <v>45107</v>
      </c>
      <c r="E20">
        <v>2023</v>
      </c>
    </row>
    <row r="21" spans="1:5" x14ac:dyDescent="0.35">
      <c r="A21" t="s">
        <v>650</v>
      </c>
      <c r="B21" s="22">
        <v>45473</v>
      </c>
      <c r="C21" s="22">
        <v>45473</v>
      </c>
      <c r="D21" s="22">
        <v>45473</v>
      </c>
      <c r="E21">
        <v>2024</v>
      </c>
    </row>
    <row r="22" spans="1:5" x14ac:dyDescent="0.35">
      <c r="A22" t="s">
        <v>658</v>
      </c>
      <c r="B22" s="22">
        <v>44196</v>
      </c>
      <c r="C22" s="22">
        <v>44196</v>
      </c>
      <c r="D22" s="22">
        <v>44196</v>
      </c>
      <c r="E22">
        <v>2020</v>
      </c>
    </row>
    <row r="23" spans="1:5" x14ac:dyDescent="0.35">
      <c r="A23" t="s">
        <v>658</v>
      </c>
      <c r="B23" s="22">
        <v>44561</v>
      </c>
      <c r="C23" s="22">
        <v>44561</v>
      </c>
      <c r="D23" s="22">
        <v>44561</v>
      </c>
      <c r="E23">
        <v>2021</v>
      </c>
    </row>
    <row r="24" spans="1:5" x14ac:dyDescent="0.35">
      <c r="A24" t="s">
        <v>658</v>
      </c>
      <c r="B24" s="22">
        <v>44926</v>
      </c>
      <c r="C24" s="22">
        <v>44926</v>
      </c>
      <c r="D24" s="22">
        <v>44926</v>
      </c>
      <c r="E24">
        <v>2022</v>
      </c>
    </row>
    <row r="25" spans="1:5" x14ac:dyDescent="0.35">
      <c r="A25" t="s">
        <v>658</v>
      </c>
      <c r="B25" s="22">
        <v>45291</v>
      </c>
      <c r="C25" s="22">
        <v>45291</v>
      </c>
      <c r="D25" s="22">
        <v>45291</v>
      </c>
      <c r="E25">
        <v>2023</v>
      </c>
    </row>
    <row r="26" spans="1:5" x14ac:dyDescent="0.35">
      <c r="A26" t="s">
        <v>656</v>
      </c>
      <c r="B26" s="22">
        <v>44196</v>
      </c>
      <c r="C26" s="22">
        <v>44196</v>
      </c>
      <c r="D26" s="22">
        <v>44196</v>
      </c>
      <c r="E26">
        <v>2020</v>
      </c>
    </row>
    <row r="27" spans="1:5" x14ac:dyDescent="0.35">
      <c r="A27" t="s">
        <v>656</v>
      </c>
      <c r="B27" s="22">
        <v>44561</v>
      </c>
      <c r="C27" s="22">
        <v>44561</v>
      </c>
      <c r="D27" s="22">
        <v>44561</v>
      </c>
      <c r="E27">
        <v>2021</v>
      </c>
    </row>
    <row r="28" spans="1:5" x14ac:dyDescent="0.35">
      <c r="A28" t="s">
        <v>656</v>
      </c>
      <c r="B28" s="22">
        <v>44926</v>
      </c>
      <c r="C28" s="22">
        <v>44926</v>
      </c>
      <c r="D28" s="22">
        <v>44926</v>
      </c>
      <c r="E28">
        <v>2022</v>
      </c>
    </row>
    <row r="29" spans="1:5" x14ac:dyDescent="0.35">
      <c r="A29" t="s">
        <v>656</v>
      </c>
      <c r="B29" s="22">
        <v>45291</v>
      </c>
      <c r="C29" s="22">
        <v>45291</v>
      </c>
      <c r="D29" s="22">
        <v>45291</v>
      </c>
      <c r="E29">
        <v>2023</v>
      </c>
    </row>
    <row r="30" spans="1:5" x14ac:dyDescent="0.35">
      <c r="A30" t="s">
        <v>646</v>
      </c>
      <c r="B30" s="22">
        <v>44196</v>
      </c>
      <c r="C30" s="22">
        <v>44196</v>
      </c>
      <c r="D30" s="22">
        <v>44196</v>
      </c>
      <c r="E30">
        <v>2020</v>
      </c>
    </row>
    <row r="31" spans="1:5" x14ac:dyDescent="0.35">
      <c r="A31" t="s">
        <v>646</v>
      </c>
      <c r="B31" s="22">
        <v>44561</v>
      </c>
      <c r="C31" s="22">
        <v>44561</v>
      </c>
      <c r="D31" s="22">
        <v>44561</v>
      </c>
      <c r="E31">
        <v>2021</v>
      </c>
    </row>
    <row r="32" spans="1:5" x14ac:dyDescent="0.35">
      <c r="A32" t="s">
        <v>646</v>
      </c>
      <c r="B32" s="22">
        <v>44926</v>
      </c>
      <c r="C32" s="22">
        <v>44926</v>
      </c>
      <c r="D32" s="22">
        <v>44926</v>
      </c>
      <c r="E32">
        <v>2022</v>
      </c>
    </row>
    <row r="33" spans="1:5" x14ac:dyDescent="0.35">
      <c r="A33" t="s">
        <v>646</v>
      </c>
      <c r="B33" s="22">
        <v>45291</v>
      </c>
      <c r="C33" s="22">
        <v>45291</v>
      </c>
      <c r="D33" s="22">
        <v>45291</v>
      </c>
      <c r="E33">
        <v>2023</v>
      </c>
    </row>
    <row r="34" spans="1:5" x14ac:dyDescent="0.35">
      <c r="A34" t="s">
        <v>648</v>
      </c>
      <c r="B34" s="22">
        <v>44227</v>
      </c>
      <c r="C34" s="22">
        <v>44227</v>
      </c>
      <c r="D34" s="22">
        <v>44227</v>
      </c>
      <c r="E34">
        <v>2021</v>
      </c>
    </row>
    <row r="35" spans="1:5" x14ac:dyDescent="0.35">
      <c r="A35" t="s">
        <v>648</v>
      </c>
      <c r="B35" s="22">
        <v>44592</v>
      </c>
      <c r="C35" s="22">
        <v>44592</v>
      </c>
      <c r="D35" s="22">
        <v>44592</v>
      </c>
      <c r="E35">
        <v>2022</v>
      </c>
    </row>
    <row r="36" spans="1:5" x14ac:dyDescent="0.35">
      <c r="A36" t="s">
        <v>648</v>
      </c>
      <c r="B36" s="22">
        <v>44957</v>
      </c>
      <c r="C36" s="22">
        <v>44957</v>
      </c>
      <c r="D36" s="22">
        <v>44957</v>
      </c>
      <c r="E36">
        <v>2023</v>
      </c>
    </row>
    <row r="37" spans="1:5" x14ac:dyDescent="0.35">
      <c r="A37" t="s">
        <v>648</v>
      </c>
      <c r="B37" s="22">
        <v>45322</v>
      </c>
      <c r="C37" s="22">
        <v>45322</v>
      </c>
      <c r="D37" s="22">
        <v>45322</v>
      </c>
      <c r="E37">
        <v>2024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7B353-DC05-4F8D-9712-7E1489397AB5}">
  <sheetPr>
    <tabColor rgb="FF009999"/>
  </sheetPr>
  <dimension ref="A1:P144"/>
  <sheetViews>
    <sheetView showGridLines="0" zoomScaleNormal="100" workbookViewId="0">
      <pane ySplit="2" topLeftCell="A114" activePane="bottomLeft" state="frozen"/>
      <selection pane="bottomLeft" activeCell="E119" sqref="E119"/>
    </sheetView>
  </sheetViews>
  <sheetFormatPr defaultRowHeight="14.5" outlineLevelRow="1" x14ac:dyDescent="0.35"/>
  <cols>
    <col min="4" max="4" width="11.7265625" bestFit="1" customWidth="1"/>
    <col min="5" max="12" width="12.7265625" style="10" customWidth="1"/>
    <col min="13" max="14" width="12.7265625" customWidth="1"/>
    <col min="16" max="16" width="11.1796875" bestFit="1" customWidth="1"/>
  </cols>
  <sheetData>
    <row r="1" spans="1:14" ht="21" customHeight="1" x14ac:dyDescent="0.35">
      <c r="A1" s="150" t="s">
        <v>0</v>
      </c>
      <c r="B1" s="150"/>
      <c r="C1" s="150"/>
      <c r="D1" s="150"/>
      <c r="E1" s="144" t="s">
        <v>1</v>
      </c>
      <c r="F1" s="144"/>
      <c r="G1" s="144"/>
      <c r="H1" s="144"/>
      <c r="I1" s="144"/>
      <c r="J1" s="145" t="s">
        <v>2</v>
      </c>
      <c r="K1" s="145"/>
      <c r="L1" s="145"/>
      <c r="M1" s="145"/>
      <c r="N1" s="145"/>
    </row>
    <row r="2" spans="1:14" x14ac:dyDescent="0.35">
      <c r="A2" s="150"/>
      <c r="B2" s="150"/>
      <c r="C2" s="150"/>
      <c r="D2" s="150"/>
      <c r="E2" s="28">
        <v>2013</v>
      </c>
      <c r="F2" s="28">
        <v>2014</v>
      </c>
      <c r="G2" s="28">
        <v>2015</v>
      </c>
      <c r="H2" s="28">
        <v>2016</v>
      </c>
      <c r="I2" s="28">
        <v>2017</v>
      </c>
      <c r="J2" s="29">
        <v>2018</v>
      </c>
      <c r="K2" s="29">
        <v>2019</v>
      </c>
      <c r="L2" s="29">
        <v>2020</v>
      </c>
      <c r="M2" s="29">
        <v>2021</v>
      </c>
      <c r="N2" s="29">
        <v>2022</v>
      </c>
    </row>
    <row r="3" spans="1:14" ht="15" thickBot="1" x14ac:dyDescent="0.4">
      <c r="A3" s="1" t="s">
        <v>3</v>
      </c>
      <c r="B3" s="1"/>
      <c r="C3" s="1"/>
      <c r="D3" s="1"/>
      <c r="E3" s="9"/>
      <c r="F3" s="9"/>
      <c r="G3" s="9"/>
      <c r="H3" s="9"/>
      <c r="I3" s="9"/>
      <c r="J3" s="9"/>
      <c r="K3" s="9"/>
      <c r="L3" s="9"/>
      <c r="M3" s="9"/>
      <c r="N3" s="9"/>
    </row>
    <row r="4" spans="1:14" ht="15" thickTop="1" x14ac:dyDescent="0.35"/>
    <row r="5" spans="1:14" x14ac:dyDescent="0.35">
      <c r="A5" s="2" t="s">
        <v>4</v>
      </c>
      <c r="B5" s="2"/>
      <c r="C5" s="2"/>
      <c r="D5" s="2"/>
      <c r="E5" s="11"/>
      <c r="F5" s="11"/>
      <c r="G5" s="11"/>
      <c r="H5" s="11"/>
      <c r="I5" s="11"/>
      <c r="J5" s="11"/>
      <c r="K5" s="11"/>
      <c r="L5" s="11"/>
      <c r="M5" s="11"/>
      <c r="N5" s="11"/>
    </row>
    <row r="6" spans="1:14" outlineLevel="1" x14ac:dyDescent="0.35">
      <c r="A6" s="3" t="s">
        <v>5</v>
      </c>
    </row>
    <row r="7" spans="1:14" outlineLevel="1" x14ac:dyDescent="0.35">
      <c r="A7" t="s">
        <v>11</v>
      </c>
      <c r="E7" s="47" t="str">
        <f>IFERROR((E24-D24)/D24,"")</f>
        <v/>
      </c>
      <c r="F7" s="47">
        <f>IFERROR((F24-E24)/E24,"")</f>
        <v>0.15762643740135482</v>
      </c>
      <c r="G7" s="47">
        <f>IFERROR((G24-F24)/F24,"")</f>
        <v>0.11228257371746016</v>
      </c>
      <c r="H7" s="47">
        <f>IFERROR((H24-G24)/G24,"")</f>
        <v>8.3718451406600933E-2</v>
      </c>
      <c r="I7" s="47">
        <f>IFERROR((I24-H24)/H24,"")</f>
        <v>5.9231001608812638E-2</v>
      </c>
      <c r="J7" s="30">
        <v>0.05</v>
      </c>
      <c r="K7" s="30">
        <v>4.4999999999999998E-2</v>
      </c>
      <c r="L7" s="30">
        <v>0.04</v>
      </c>
      <c r="M7" s="30">
        <v>3.5000000000000003E-2</v>
      </c>
      <c r="N7" s="30">
        <v>0.03</v>
      </c>
    </row>
    <row r="8" spans="1:14" outlineLevel="1" x14ac:dyDescent="0.35">
      <c r="A8" t="s">
        <v>12</v>
      </c>
      <c r="E8" s="47">
        <f>IFERROR(E25/E24,"")</f>
        <v>0.38255217779172018</v>
      </c>
      <c r="F8" s="47">
        <f>IFERROR(F25/F24,"")</f>
        <v>0.40651728401334619</v>
      </c>
      <c r="G8" s="47">
        <f>IFERROR(G25/G24,"")</f>
        <v>0.37399977159389397</v>
      </c>
      <c r="H8" s="47">
        <f>IFERROR(H25/H24,"")</f>
        <v>0.369914501092447</v>
      </c>
      <c r="I8" s="47">
        <f>IFERROR(I25/I24,"")</f>
        <v>0.37613084657628737</v>
      </c>
      <c r="J8" s="30">
        <v>0.37</v>
      </c>
      <c r="K8" s="30">
        <v>0.37</v>
      </c>
      <c r="L8" s="30">
        <v>0.36</v>
      </c>
      <c r="M8" s="30">
        <v>0.36</v>
      </c>
      <c r="N8" s="30">
        <v>0.35</v>
      </c>
    </row>
    <row r="9" spans="1:14" outlineLevel="1" x14ac:dyDescent="0.35">
      <c r="A9" t="s">
        <v>13</v>
      </c>
      <c r="E9" s="47">
        <f>IFERROR(E28/E24,"")</f>
        <v>0.25907045594910155</v>
      </c>
      <c r="F9" s="47">
        <f>IFERROR(F28/F24,"")</f>
        <v>0.19187710651559034</v>
      </c>
      <c r="G9" s="47">
        <f>IFERROR(G28/G24,"")</f>
        <v>0.18175035212608018</v>
      </c>
      <c r="H9" s="47">
        <f>IFERROR(H28/H24,"")</f>
        <v>0.16159785304304453</v>
      </c>
      <c r="I9" s="47">
        <f>IFERROR(I28/I24,"")</f>
        <v>0.16743825113416283</v>
      </c>
      <c r="J9" s="30">
        <v>0.17</v>
      </c>
      <c r="K9" s="30">
        <v>0.17</v>
      </c>
      <c r="L9" s="30">
        <v>0.17</v>
      </c>
      <c r="M9" s="30">
        <v>0.17</v>
      </c>
      <c r="N9" s="30">
        <v>0.17</v>
      </c>
    </row>
    <row r="10" spans="1:14" outlineLevel="1" x14ac:dyDescent="0.35">
      <c r="A10" t="s">
        <v>14</v>
      </c>
      <c r="E10" s="17">
        <f>E29</f>
        <v>10963</v>
      </c>
      <c r="F10" s="17">
        <f>F29</f>
        <v>10125</v>
      </c>
      <c r="G10" s="17">
        <f>G29</f>
        <v>10087</v>
      </c>
      <c r="H10" s="17">
        <f>H29</f>
        <v>11020</v>
      </c>
      <c r="I10" s="17">
        <f>I29</f>
        <v>11412</v>
      </c>
      <c r="J10" s="31">
        <v>10000</v>
      </c>
      <c r="K10" s="31">
        <v>10000</v>
      </c>
      <c r="L10" s="31">
        <v>10000</v>
      </c>
      <c r="M10" s="31">
        <v>10000</v>
      </c>
      <c r="N10" s="31">
        <v>10000</v>
      </c>
    </row>
    <row r="11" spans="1:14" outlineLevel="1" x14ac:dyDescent="0.35">
      <c r="A11" t="s">
        <v>15</v>
      </c>
      <c r="E11" s="47">
        <f>E30/E92</f>
        <v>0.39</v>
      </c>
      <c r="F11" s="47">
        <f>F30/F92</f>
        <v>0.39890109890109893</v>
      </c>
      <c r="G11" s="47">
        <f>G30/G92</f>
        <v>0.4062573789846517</v>
      </c>
      <c r="H11" s="47">
        <f>H30/H92</f>
        <v>0.41210611533192176</v>
      </c>
      <c r="I11" s="47">
        <f>I30/I92</f>
        <v>0.41656951892438021</v>
      </c>
      <c r="J11" s="30">
        <v>0.4</v>
      </c>
      <c r="K11" s="30">
        <v>0.4</v>
      </c>
      <c r="L11" s="30">
        <v>0.4</v>
      </c>
      <c r="M11" s="30">
        <v>0.4</v>
      </c>
      <c r="N11" s="30">
        <v>0.4</v>
      </c>
    </row>
    <row r="12" spans="1:14" outlineLevel="1" x14ac:dyDescent="0.35">
      <c r="A12" t="s">
        <v>16</v>
      </c>
      <c r="E12" s="47">
        <f>E31/E49</f>
        <v>0.05</v>
      </c>
      <c r="F12" s="47">
        <f>F31/F49</f>
        <v>0.05</v>
      </c>
      <c r="G12" s="47">
        <f>G31/G49</f>
        <v>0.05</v>
      </c>
      <c r="H12" s="47">
        <f>H31/H49</f>
        <v>0.05</v>
      </c>
      <c r="I12" s="47">
        <f>I31/I49</f>
        <v>0.05</v>
      </c>
      <c r="J12" s="30">
        <v>0.05</v>
      </c>
      <c r="K12" s="30">
        <v>0.05</v>
      </c>
      <c r="L12" s="30">
        <v>0.05</v>
      </c>
      <c r="M12" s="30">
        <v>0.05</v>
      </c>
      <c r="N12" s="30">
        <v>0.05</v>
      </c>
    </row>
    <row r="13" spans="1:14" outlineLevel="1" x14ac:dyDescent="0.35">
      <c r="A13" t="s">
        <v>17</v>
      </c>
      <c r="E13" s="47">
        <f>E35/E33</f>
        <v>0.31163049526989428</v>
      </c>
      <c r="F13" s="47">
        <f>F35/F33</f>
        <v>0.29178929665445374</v>
      </c>
      <c r="G13" s="47">
        <f>G35/G33</f>
        <v>0.28699506055890112</v>
      </c>
      <c r="H13" s="47">
        <f>H35/H33</f>
        <v>0.28994444592116103</v>
      </c>
      <c r="I13" s="47">
        <f>I35/I33</f>
        <v>0.2912241054613936</v>
      </c>
      <c r="J13" s="30">
        <v>0.28000000000000003</v>
      </c>
      <c r="K13" s="30">
        <v>0.28000000000000003</v>
      </c>
      <c r="L13" s="30">
        <v>0.28000000000000003</v>
      </c>
      <c r="M13" s="30">
        <v>0.28000000000000003</v>
      </c>
      <c r="N13" s="30">
        <v>0.28000000000000003</v>
      </c>
    </row>
    <row r="14" spans="1:14" outlineLevel="1" x14ac:dyDescent="0.35">
      <c r="A14" s="3" t="s">
        <v>6</v>
      </c>
      <c r="J14" s="48"/>
      <c r="K14" s="48"/>
      <c r="L14" s="48"/>
    </row>
    <row r="15" spans="1:14" outlineLevel="1" x14ac:dyDescent="0.35">
      <c r="A15" t="s">
        <v>18</v>
      </c>
      <c r="E15" s="17">
        <f t="shared" ref="E15:I16" si="0">E42/E24*365</f>
        <v>18.248747634966229</v>
      </c>
      <c r="F15" s="17">
        <f t="shared" si="0"/>
        <v>18.249072709720032</v>
      </c>
      <c r="G15" s="17">
        <f t="shared" si="0"/>
        <v>18.249305264760743</v>
      </c>
      <c r="H15" s="17">
        <f t="shared" si="0"/>
        <v>18.249871786765585</v>
      </c>
      <c r="I15" s="17">
        <f t="shared" si="0"/>
        <v>18.250968349560925</v>
      </c>
      <c r="J15" s="31">
        <v>18</v>
      </c>
      <c r="K15" s="31">
        <v>18</v>
      </c>
      <c r="L15" s="31">
        <v>18</v>
      </c>
      <c r="M15" s="31">
        <v>18</v>
      </c>
      <c r="N15" s="31">
        <v>18</v>
      </c>
    </row>
    <row r="16" spans="1:14" outlineLevel="1" x14ac:dyDescent="0.35">
      <c r="A16" t="s">
        <v>19</v>
      </c>
      <c r="E16" s="17">
        <f t="shared" si="0"/>
        <v>73.00374138328678</v>
      </c>
      <c r="F16" s="17">
        <f t="shared" si="0"/>
        <v>73.001520706607778</v>
      </c>
      <c r="G16" s="17">
        <f t="shared" si="0"/>
        <v>73.002972131180911</v>
      </c>
      <c r="H16" s="17">
        <f t="shared" si="0"/>
        <v>73.001386409389596</v>
      </c>
      <c r="I16" s="17">
        <f t="shared" si="0"/>
        <v>73</v>
      </c>
      <c r="J16" s="31">
        <v>73</v>
      </c>
      <c r="K16" s="31">
        <v>73</v>
      </c>
      <c r="L16" s="31">
        <v>73</v>
      </c>
      <c r="M16" s="31">
        <v>73</v>
      </c>
      <c r="N16" s="31">
        <v>73</v>
      </c>
    </row>
    <row r="17" spans="1:15" outlineLevel="1" x14ac:dyDescent="0.35">
      <c r="A17" t="s">
        <v>20</v>
      </c>
      <c r="E17" s="17">
        <f>E48/E25*365</f>
        <v>36.497193962534915</v>
      </c>
      <c r="F17" s="17">
        <f>F48/F25*365</f>
        <v>36.496958586784437</v>
      </c>
      <c r="G17" s="17">
        <f>G48/G25*365</f>
        <v>36.497770901614317</v>
      </c>
      <c r="H17" s="17">
        <f>H48/H25*365</f>
        <v>36.497227181220801</v>
      </c>
      <c r="I17" s="17">
        <f>I48/I25*365</f>
        <v>36.5</v>
      </c>
      <c r="J17" s="31">
        <v>37</v>
      </c>
      <c r="K17" s="31">
        <v>37</v>
      </c>
      <c r="L17" s="31">
        <v>37</v>
      </c>
      <c r="M17" s="31">
        <v>37</v>
      </c>
      <c r="N17" s="31">
        <v>37</v>
      </c>
    </row>
    <row r="18" spans="1:15" outlineLevel="1" x14ac:dyDescent="0.35">
      <c r="A18" t="s">
        <v>21</v>
      </c>
      <c r="E18" s="17">
        <f>E93</f>
        <v>15000</v>
      </c>
      <c r="F18" s="17">
        <f>F93</f>
        <v>15000</v>
      </c>
      <c r="G18" s="17">
        <f>G93</f>
        <v>15000</v>
      </c>
      <c r="H18" s="17">
        <f>H93</f>
        <v>15000</v>
      </c>
      <c r="I18" s="17">
        <f>I93</f>
        <v>15000</v>
      </c>
      <c r="J18" s="31">
        <v>15000</v>
      </c>
      <c r="K18" s="31">
        <v>15000</v>
      </c>
      <c r="L18" s="31">
        <v>15000</v>
      </c>
      <c r="M18" s="31">
        <v>15000</v>
      </c>
      <c r="N18" s="31">
        <v>15000</v>
      </c>
    </row>
    <row r="19" spans="1:15" outlineLevel="1" x14ac:dyDescent="0.35">
      <c r="A19" t="s">
        <v>22</v>
      </c>
      <c r="E19" s="17">
        <f t="shared" ref="E19:I20" si="1">E72</f>
        <v>0</v>
      </c>
      <c r="F19" s="17">
        <f t="shared" si="1"/>
        <v>0</v>
      </c>
      <c r="G19" s="17">
        <f t="shared" si="1"/>
        <v>-20000</v>
      </c>
      <c r="H19" s="17">
        <f t="shared" si="1"/>
        <v>0</v>
      </c>
      <c r="I19" s="17">
        <f t="shared" si="1"/>
        <v>0</v>
      </c>
      <c r="J19" s="31">
        <f>E19</f>
        <v>0</v>
      </c>
      <c r="K19" s="31">
        <f>F19</f>
        <v>0</v>
      </c>
      <c r="L19" s="31">
        <f>G19</f>
        <v>-20000</v>
      </c>
      <c r="M19" s="31">
        <f>H19</f>
        <v>0</v>
      </c>
      <c r="N19" s="31">
        <f>I19</f>
        <v>0</v>
      </c>
    </row>
    <row r="20" spans="1:15" outlineLevel="1" x14ac:dyDescent="0.35">
      <c r="A20" t="s">
        <v>23</v>
      </c>
      <c r="E20" s="17">
        <f t="shared" si="1"/>
        <v>170000</v>
      </c>
      <c r="F20" s="17">
        <f t="shared" si="1"/>
        <v>0</v>
      </c>
      <c r="G20" s="17">
        <f t="shared" si="1"/>
        <v>0</v>
      </c>
      <c r="H20" s="17">
        <f t="shared" si="1"/>
        <v>0</v>
      </c>
      <c r="I20" s="17">
        <f t="shared" si="1"/>
        <v>0</v>
      </c>
      <c r="J20" s="31">
        <v>0</v>
      </c>
      <c r="K20" s="31">
        <v>0</v>
      </c>
      <c r="L20" s="31">
        <v>0</v>
      </c>
      <c r="M20" s="31">
        <v>0</v>
      </c>
      <c r="N20" s="31">
        <v>0</v>
      </c>
    </row>
    <row r="21" spans="1:15" outlineLevel="1" x14ac:dyDescent="0.35"/>
    <row r="23" spans="1:15" x14ac:dyDescent="0.35">
      <c r="A23" s="2" t="s">
        <v>5</v>
      </c>
      <c r="B23" s="2"/>
      <c r="C23" s="2"/>
      <c r="D23" s="2"/>
      <c r="E23" s="11"/>
      <c r="F23" s="11"/>
      <c r="G23" s="11"/>
      <c r="H23" s="11"/>
      <c r="I23" s="11"/>
      <c r="J23" s="11"/>
      <c r="K23" s="11"/>
      <c r="L23" s="11"/>
      <c r="M23" s="11"/>
      <c r="N23" s="11"/>
    </row>
    <row r="24" spans="1:15" outlineLevel="1" x14ac:dyDescent="0.35">
      <c r="A24" s="3" t="s">
        <v>24</v>
      </c>
      <c r="B24" s="3"/>
      <c r="C24" s="3"/>
      <c r="D24" s="3"/>
      <c r="E24" s="12">
        <v>102007</v>
      </c>
      <c r="F24" s="12">
        <v>118086</v>
      </c>
      <c r="G24" s="12">
        <v>131345</v>
      </c>
      <c r="H24" s="12">
        <v>142341</v>
      </c>
      <c r="I24" s="12">
        <v>150772</v>
      </c>
      <c r="J24" s="12">
        <f>I24*(1+J7)</f>
        <v>158310.6</v>
      </c>
      <c r="K24" s="12">
        <f>J24*(1+K7)</f>
        <v>165434.57699999999</v>
      </c>
      <c r="L24" s="12">
        <f>K24*(1+L7)</f>
        <v>172051.96007999999</v>
      </c>
      <c r="M24" s="12">
        <f>L24*(1+M7)</f>
        <v>178073.77868279998</v>
      </c>
      <c r="N24" s="12">
        <f>M24*(1+N7)</f>
        <v>183415.99204328397</v>
      </c>
    </row>
    <row r="25" spans="1:15" outlineLevel="1" x14ac:dyDescent="0.35">
      <c r="A25" s="4" t="s">
        <v>25</v>
      </c>
      <c r="B25" s="4"/>
      <c r="C25" s="4"/>
      <c r="D25" s="4"/>
      <c r="E25" s="13">
        <v>39023</v>
      </c>
      <c r="F25" s="13">
        <v>48004</v>
      </c>
      <c r="G25" s="13">
        <v>49123</v>
      </c>
      <c r="H25" s="13">
        <v>52654</v>
      </c>
      <c r="I25" s="13">
        <v>56710</v>
      </c>
      <c r="J25" s="13">
        <f>J24*J8</f>
        <v>58574.921999999999</v>
      </c>
      <c r="K25" s="13">
        <f>K24*K8</f>
        <v>61210.793489999996</v>
      </c>
      <c r="L25" s="13">
        <f>L24*L8</f>
        <v>61938.705628799995</v>
      </c>
      <c r="M25" s="13">
        <f>M24*M8</f>
        <v>64106.560325807994</v>
      </c>
      <c r="N25" s="13">
        <f>N24*N8</f>
        <v>64195.597215149384</v>
      </c>
    </row>
    <row r="26" spans="1:15" outlineLevel="1" x14ac:dyDescent="0.35">
      <c r="A26" s="3" t="s">
        <v>26</v>
      </c>
      <c r="B26" s="3"/>
      <c r="C26" s="3"/>
      <c r="D26" s="3"/>
      <c r="E26" s="12">
        <f>E24-E25</f>
        <v>62984</v>
      </c>
      <c r="F26" s="12">
        <f t="shared" ref="F26:N26" si="2">F24-F25</f>
        <v>70082</v>
      </c>
      <c r="G26" s="12">
        <f t="shared" si="2"/>
        <v>82222</v>
      </c>
      <c r="H26" s="12">
        <f t="shared" si="2"/>
        <v>89687</v>
      </c>
      <c r="I26" s="12">
        <f t="shared" si="2"/>
        <v>94062</v>
      </c>
      <c r="J26" s="12">
        <f t="shared" si="2"/>
        <v>99735.678000000014</v>
      </c>
      <c r="K26" s="12">
        <f t="shared" si="2"/>
        <v>104223.78350999999</v>
      </c>
      <c r="L26" s="12">
        <f t="shared" si="2"/>
        <v>110113.25445119999</v>
      </c>
      <c r="M26" s="12">
        <f t="shared" si="2"/>
        <v>113967.21835699199</v>
      </c>
      <c r="N26" s="12">
        <f t="shared" si="2"/>
        <v>119220.39482813459</v>
      </c>
    </row>
    <row r="27" spans="1:15" outlineLevel="1" x14ac:dyDescent="0.35">
      <c r="A27" s="3" t="s">
        <v>27</v>
      </c>
      <c r="B27" s="3"/>
      <c r="C27" s="3"/>
      <c r="D27" s="3"/>
      <c r="E27" s="12"/>
      <c r="F27" s="12"/>
      <c r="G27" s="12"/>
      <c r="H27" s="12"/>
      <c r="I27" s="12"/>
      <c r="J27" s="12"/>
      <c r="K27" s="12"/>
      <c r="L27" s="12"/>
      <c r="M27" s="12"/>
      <c r="N27" s="12"/>
    </row>
    <row r="28" spans="1:15" outlineLevel="1" x14ac:dyDescent="0.35">
      <c r="A28" t="s">
        <v>28</v>
      </c>
      <c r="E28" s="10">
        <v>26427</v>
      </c>
      <c r="F28" s="10">
        <v>22658</v>
      </c>
      <c r="G28" s="10">
        <v>23872</v>
      </c>
      <c r="H28" s="10">
        <v>23002</v>
      </c>
      <c r="I28" s="10">
        <v>25245</v>
      </c>
      <c r="J28" s="10">
        <f>J24*J9</f>
        <v>26912.802000000003</v>
      </c>
      <c r="K28" s="10">
        <f>K24*K9</f>
        <v>28123.878090000002</v>
      </c>
      <c r="L28" s="10">
        <f>L24*L9</f>
        <v>29248.833213599999</v>
      </c>
      <c r="M28" s="10">
        <f>M24*M9</f>
        <v>30272.542376075999</v>
      </c>
      <c r="N28" s="10">
        <f>N24*N9</f>
        <v>31180.718647358277</v>
      </c>
    </row>
    <row r="29" spans="1:15" outlineLevel="1" x14ac:dyDescent="0.35">
      <c r="A29" t="s">
        <v>29</v>
      </c>
      <c r="E29" s="10">
        <v>10963</v>
      </c>
      <c r="F29" s="10">
        <v>10125</v>
      </c>
      <c r="G29" s="10">
        <v>10087</v>
      </c>
      <c r="H29" s="10">
        <v>11020</v>
      </c>
      <c r="I29" s="10">
        <v>11412</v>
      </c>
      <c r="J29" s="10">
        <f>J10</f>
        <v>10000</v>
      </c>
      <c r="K29" s="10">
        <f>K10</f>
        <v>10000</v>
      </c>
      <c r="L29" s="10">
        <f>L10</f>
        <v>10000</v>
      </c>
      <c r="M29" s="10">
        <f>M10</f>
        <v>10000</v>
      </c>
      <c r="N29" s="10">
        <f>N10</f>
        <v>10000</v>
      </c>
      <c r="O29" t="s">
        <v>134</v>
      </c>
    </row>
    <row r="30" spans="1:15" outlineLevel="1" x14ac:dyDescent="0.35">
      <c r="A30" t="s">
        <v>30</v>
      </c>
      <c r="E30" s="10">
        <v>19500</v>
      </c>
      <c r="F30" s="10">
        <v>18150</v>
      </c>
      <c r="G30" s="10">
        <v>17205</v>
      </c>
      <c r="H30" s="10">
        <v>16544</v>
      </c>
      <c r="I30" s="10">
        <v>16080</v>
      </c>
      <c r="J30" s="10">
        <f>J94</f>
        <v>15008.400000000001</v>
      </c>
      <c r="K30" s="10">
        <f>K94</f>
        <v>15005.04</v>
      </c>
      <c r="L30" s="10">
        <f>L94</f>
        <v>15003.023999999999</v>
      </c>
      <c r="M30" s="10">
        <f>M94</f>
        <v>15001.814400000001</v>
      </c>
      <c r="N30" s="10">
        <f>N94</f>
        <v>15001.08864</v>
      </c>
      <c r="O30" t="s">
        <v>133</v>
      </c>
    </row>
    <row r="31" spans="1:15" outlineLevel="1" x14ac:dyDescent="0.35">
      <c r="A31" t="s">
        <v>31</v>
      </c>
      <c r="E31" s="10">
        <v>2500</v>
      </c>
      <c r="F31" s="10">
        <v>2500</v>
      </c>
      <c r="G31" s="10">
        <v>1500</v>
      </c>
      <c r="H31" s="10">
        <v>1500</v>
      </c>
      <c r="I31" s="10">
        <v>1500</v>
      </c>
      <c r="J31" s="10">
        <f>J101</f>
        <v>1500</v>
      </c>
      <c r="K31" s="10">
        <f>K101</f>
        <v>1500</v>
      </c>
      <c r="L31" s="10">
        <f>L101</f>
        <v>500</v>
      </c>
      <c r="M31" s="10">
        <f>M101</f>
        <v>500</v>
      </c>
      <c r="N31" s="10">
        <f>N101</f>
        <v>500</v>
      </c>
      <c r="O31" t="s">
        <v>133</v>
      </c>
    </row>
    <row r="32" spans="1:15" outlineLevel="1" x14ac:dyDescent="0.35">
      <c r="A32" s="5" t="s">
        <v>32</v>
      </c>
      <c r="B32" s="5"/>
      <c r="C32" s="5"/>
      <c r="D32" s="5"/>
      <c r="E32" s="14">
        <f t="shared" ref="E32:N32" si="3">SUM(E28:E31)</f>
        <v>59390</v>
      </c>
      <c r="F32" s="14">
        <f t="shared" si="3"/>
        <v>53433</v>
      </c>
      <c r="G32" s="14">
        <f t="shared" si="3"/>
        <v>52664</v>
      </c>
      <c r="H32" s="14">
        <f t="shared" si="3"/>
        <v>52066</v>
      </c>
      <c r="I32" s="14">
        <f t="shared" si="3"/>
        <v>54237</v>
      </c>
      <c r="J32" s="14">
        <f t="shared" si="3"/>
        <v>53421.202000000005</v>
      </c>
      <c r="K32" s="14">
        <f t="shared" si="3"/>
        <v>54628.918089999999</v>
      </c>
      <c r="L32" s="14">
        <f t="shared" si="3"/>
        <v>54751.857213599993</v>
      </c>
      <c r="M32" s="14">
        <f t="shared" si="3"/>
        <v>55774.356776076005</v>
      </c>
      <c r="N32" s="14">
        <f t="shared" si="3"/>
        <v>56681.807287358279</v>
      </c>
    </row>
    <row r="33" spans="1:15" outlineLevel="1" x14ac:dyDescent="0.35">
      <c r="A33" s="3" t="s">
        <v>33</v>
      </c>
      <c r="B33" s="3"/>
      <c r="C33" s="3"/>
      <c r="D33" s="3"/>
      <c r="E33" s="12">
        <f t="shared" ref="E33:N33" si="4">E26-E32</f>
        <v>3594</v>
      </c>
      <c r="F33" s="12">
        <f t="shared" si="4"/>
        <v>16649</v>
      </c>
      <c r="G33" s="12">
        <f t="shared" si="4"/>
        <v>29558</v>
      </c>
      <c r="H33" s="12">
        <f t="shared" si="4"/>
        <v>37621</v>
      </c>
      <c r="I33" s="12">
        <f t="shared" si="4"/>
        <v>39825</v>
      </c>
      <c r="J33" s="12">
        <f t="shared" si="4"/>
        <v>46314.47600000001</v>
      </c>
      <c r="K33" s="12">
        <f t="shared" si="4"/>
        <v>49594.865419999995</v>
      </c>
      <c r="L33" s="12">
        <f t="shared" si="4"/>
        <v>55361.397237599995</v>
      </c>
      <c r="M33" s="12">
        <f t="shared" si="4"/>
        <v>58192.861580915982</v>
      </c>
      <c r="N33" s="12">
        <f t="shared" si="4"/>
        <v>62538.587540776316</v>
      </c>
    </row>
    <row r="34" spans="1:15" outlineLevel="1" x14ac:dyDescent="0.35">
      <c r="M34" s="10"/>
      <c r="N34" s="10"/>
    </row>
    <row r="35" spans="1:15" outlineLevel="1" x14ac:dyDescent="0.35">
      <c r="A35" t="s">
        <v>34</v>
      </c>
      <c r="E35" s="10">
        <v>1120</v>
      </c>
      <c r="F35" s="10">
        <v>4858</v>
      </c>
      <c r="G35" s="10">
        <v>8483</v>
      </c>
      <c r="H35" s="10">
        <v>10908</v>
      </c>
      <c r="I35" s="10">
        <v>11598</v>
      </c>
      <c r="J35" s="10">
        <f>J33*J13</f>
        <v>12968.053280000004</v>
      </c>
      <c r="K35" s="10">
        <f>K33*K13</f>
        <v>13886.562317599999</v>
      </c>
      <c r="L35" s="10">
        <f>L33*L13</f>
        <v>15501.191226528001</v>
      </c>
      <c r="M35" s="10">
        <f>M33*M13</f>
        <v>16294.001242656477</v>
      </c>
      <c r="N35" s="10">
        <f>N33*N13</f>
        <v>17510.804511417369</v>
      </c>
    </row>
    <row r="36" spans="1:15" outlineLevel="1" x14ac:dyDescent="0.35">
      <c r="A36" s="5" t="s">
        <v>35</v>
      </c>
      <c r="B36" s="5"/>
      <c r="C36" s="5"/>
      <c r="D36" s="5"/>
      <c r="E36" s="14">
        <f>E26-E32-E35</f>
        <v>2474</v>
      </c>
      <c r="F36" s="14">
        <f t="shared" ref="F36:N36" si="5">F26-F32-F35</f>
        <v>11791</v>
      </c>
      <c r="G36" s="14">
        <f t="shared" si="5"/>
        <v>21075</v>
      </c>
      <c r="H36" s="14">
        <f t="shared" si="5"/>
        <v>26713</v>
      </c>
      <c r="I36" s="14">
        <f t="shared" si="5"/>
        <v>28227</v>
      </c>
      <c r="J36" s="14">
        <f t="shared" si="5"/>
        <v>33346.422720000002</v>
      </c>
      <c r="K36" s="14">
        <f t="shared" si="5"/>
        <v>35708.303102399994</v>
      </c>
      <c r="L36" s="14">
        <f t="shared" si="5"/>
        <v>39860.20601107199</v>
      </c>
      <c r="M36" s="14">
        <f t="shared" si="5"/>
        <v>41898.860338259503</v>
      </c>
      <c r="N36" s="14">
        <f t="shared" si="5"/>
        <v>45027.78302935895</v>
      </c>
    </row>
    <row r="37" spans="1:15" outlineLevel="1" x14ac:dyDescent="0.35">
      <c r="M37" s="10"/>
      <c r="N37" s="10"/>
    </row>
    <row r="38" spans="1:15" x14ac:dyDescent="0.35">
      <c r="M38" s="10"/>
      <c r="N38" s="10"/>
    </row>
    <row r="39" spans="1:15" x14ac:dyDescent="0.35">
      <c r="A39" s="2" t="s">
        <v>6</v>
      </c>
      <c r="B39" s="2"/>
      <c r="C39" s="2"/>
      <c r="D39" s="2"/>
      <c r="E39" s="11"/>
      <c r="F39" s="11"/>
      <c r="G39" s="11"/>
      <c r="H39" s="11"/>
      <c r="I39" s="11"/>
      <c r="J39" s="11"/>
      <c r="K39" s="11"/>
      <c r="L39" s="11"/>
      <c r="M39" s="11"/>
      <c r="N39" s="11"/>
    </row>
    <row r="40" spans="1:15" outlineLevel="1" x14ac:dyDescent="0.35">
      <c r="A40" s="3" t="s">
        <v>36</v>
      </c>
      <c r="M40" s="10"/>
      <c r="N40" s="10"/>
    </row>
    <row r="41" spans="1:15" outlineLevel="1" x14ac:dyDescent="0.35">
      <c r="A41" t="s">
        <v>37</v>
      </c>
      <c r="E41" s="10">
        <v>167971</v>
      </c>
      <c r="F41" s="10">
        <v>181210</v>
      </c>
      <c r="G41" s="10">
        <v>183715</v>
      </c>
      <c r="H41" s="10">
        <v>211069</v>
      </c>
      <c r="I41" s="10">
        <v>239550</v>
      </c>
      <c r="J41" s="10">
        <f>J78</f>
        <v>272529.4720569863</v>
      </c>
      <c r="K41" s="10">
        <f>K78</f>
        <v>307631.51937955071</v>
      </c>
      <c r="L41" s="10">
        <f>L78</f>
        <v>327096.61861682322</v>
      </c>
      <c r="M41" s="10">
        <f>M78</f>
        <v>368486.51115250005</v>
      </c>
      <c r="N41" s="10">
        <f>N78</f>
        <v>413243.14948348911</v>
      </c>
      <c r="O41" t="s">
        <v>135</v>
      </c>
    </row>
    <row r="42" spans="1:15" outlineLevel="1" x14ac:dyDescent="0.35">
      <c r="A42" t="s">
        <v>38</v>
      </c>
      <c r="E42" s="10">
        <v>5100</v>
      </c>
      <c r="F42" s="10">
        <v>5904</v>
      </c>
      <c r="G42" s="10">
        <v>6567</v>
      </c>
      <c r="H42" s="10">
        <v>7117</v>
      </c>
      <c r="I42" s="10">
        <v>7539</v>
      </c>
      <c r="J42" s="10">
        <f t="shared" ref="J42:N43" si="6">J85</f>
        <v>7807.098082191781</v>
      </c>
      <c r="K42" s="10">
        <f t="shared" si="6"/>
        <v>8158.4174958904105</v>
      </c>
      <c r="L42" s="10">
        <f t="shared" si="6"/>
        <v>8484.7541957260273</v>
      </c>
      <c r="M42" s="10">
        <f t="shared" si="6"/>
        <v>8781.7205925764374</v>
      </c>
      <c r="N42" s="10">
        <f t="shared" si="6"/>
        <v>9045.1722103537304</v>
      </c>
      <c r="O42" t="s">
        <v>133</v>
      </c>
    </row>
    <row r="43" spans="1:15" outlineLevel="1" x14ac:dyDescent="0.35">
      <c r="A43" t="s">
        <v>39</v>
      </c>
      <c r="E43" s="10">
        <v>7805</v>
      </c>
      <c r="F43" s="10">
        <v>9601</v>
      </c>
      <c r="G43" s="10">
        <v>9825</v>
      </c>
      <c r="H43" s="10">
        <v>10531</v>
      </c>
      <c r="I43" s="10">
        <v>11342</v>
      </c>
      <c r="J43" s="10">
        <f t="shared" si="6"/>
        <v>11714.984400000001</v>
      </c>
      <c r="K43" s="10">
        <f t="shared" si="6"/>
        <v>12242.158697999999</v>
      </c>
      <c r="L43" s="10">
        <f t="shared" si="6"/>
        <v>12387.741125759998</v>
      </c>
      <c r="M43" s="10">
        <f t="shared" si="6"/>
        <v>12821.312065161597</v>
      </c>
      <c r="N43" s="10">
        <f t="shared" si="6"/>
        <v>12839.119443029878</v>
      </c>
      <c r="O43" t="s">
        <v>133</v>
      </c>
    </row>
    <row r="44" spans="1:15" outlineLevel="1" x14ac:dyDescent="0.35">
      <c r="A44" t="s">
        <v>40</v>
      </c>
      <c r="E44" s="10">
        <v>45500</v>
      </c>
      <c r="F44" s="10">
        <v>42350</v>
      </c>
      <c r="G44" s="10">
        <v>40145</v>
      </c>
      <c r="H44" s="10">
        <v>38602</v>
      </c>
      <c r="I44" s="10">
        <v>37521</v>
      </c>
      <c r="J44" s="10">
        <f>J95</f>
        <v>37512.6</v>
      </c>
      <c r="K44" s="10">
        <f>K95</f>
        <v>37507.56</v>
      </c>
      <c r="L44" s="10">
        <f>L95</f>
        <v>37504.536</v>
      </c>
      <c r="M44" s="10">
        <f>M95</f>
        <v>37502.721599999997</v>
      </c>
      <c r="N44" s="10">
        <f>N95</f>
        <v>37501.632959999995</v>
      </c>
      <c r="O44" t="s">
        <v>133</v>
      </c>
    </row>
    <row r="45" spans="1:15" ht="15" outlineLevel="1" thickBot="1" x14ac:dyDescent="0.4">
      <c r="A45" s="6" t="s">
        <v>41</v>
      </c>
      <c r="B45" s="6"/>
      <c r="C45" s="6"/>
      <c r="D45" s="6"/>
      <c r="E45" s="15">
        <f t="shared" ref="E45:N45" si="7">SUM(E41:E44)</f>
        <v>226376</v>
      </c>
      <c r="F45" s="15">
        <f t="shared" si="7"/>
        <v>239065</v>
      </c>
      <c r="G45" s="15">
        <f t="shared" si="7"/>
        <v>240252</v>
      </c>
      <c r="H45" s="15">
        <f t="shared" si="7"/>
        <v>267319</v>
      </c>
      <c r="I45" s="15">
        <f t="shared" si="7"/>
        <v>295952</v>
      </c>
      <c r="J45" s="15">
        <f t="shared" si="7"/>
        <v>329564.15453917807</v>
      </c>
      <c r="K45" s="15">
        <f t="shared" si="7"/>
        <v>365539.65557344112</v>
      </c>
      <c r="L45" s="15">
        <f t="shared" si="7"/>
        <v>385473.64993830927</v>
      </c>
      <c r="M45" s="15">
        <f t="shared" si="7"/>
        <v>427592.26541023806</v>
      </c>
      <c r="N45" s="15">
        <f t="shared" si="7"/>
        <v>472629.0740968727</v>
      </c>
    </row>
    <row r="46" spans="1:15" ht="15" outlineLevel="1" thickTop="1" x14ac:dyDescent="0.35">
      <c r="M46" s="10"/>
      <c r="N46" s="10"/>
    </row>
    <row r="47" spans="1:15" outlineLevel="1" x14ac:dyDescent="0.35">
      <c r="A47" s="3" t="s">
        <v>42</v>
      </c>
      <c r="M47" s="10"/>
      <c r="N47" s="10"/>
    </row>
    <row r="48" spans="1:15" outlineLevel="1" x14ac:dyDescent="0.35">
      <c r="A48" t="s">
        <v>43</v>
      </c>
      <c r="E48" s="10">
        <v>3902</v>
      </c>
      <c r="F48" s="10">
        <v>4800</v>
      </c>
      <c r="G48" s="10">
        <v>4912</v>
      </c>
      <c r="H48" s="10">
        <v>5265</v>
      </c>
      <c r="I48" s="10">
        <v>5671</v>
      </c>
      <c r="J48" s="10">
        <f>J87</f>
        <v>5937.7318191780823</v>
      </c>
      <c r="K48" s="10">
        <f>K87</f>
        <v>6204.9297510410961</v>
      </c>
      <c r="L48" s="10">
        <f>L87</f>
        <v>6278.7181048372595</v>
      </c>
      <c r="M48" s="10">
        <f>M87</f>
        <v>6498.4732385065636</v>
      </c>
      <c r="N48" s="10">
        <f>N87</f>
        <v>6507.498895782267</v>
      </c>
      <c r="O48" t="s">
        <v>133</v>
      </c>
    </row>
    <row r="49" spans="1:15" outlineLevel="1" x14ac:dyDescent="0.35">
      <c r="A49" s="4" t="s">
        <v>44</v>
      </c>
      <c r="B49" s="4"/>
      <c r="C49" s="4"/>
      <c r="D49" s="4"/>
      <c r="E49" s="13">
        <v>50000</v>
      </c>
      <c r="F49" s="13">
        <v>50000</v>
      </c>
      <c r="G49" s="13">
        <v>30000</v>
      </c>
      <c r="H49" s="13">
        <v>30000</v>
      </c>
      <c r="I49" s="13">
        <v>30000</v>
      </c>
      <c r="J49" s="13">
        <f>J100</f>
        <v>30000</v>
      </c>
      <c r="K49" s="13">
        <f>K100</f>
        <v>30000</v>
      </c>
      <c r="L49" s="13">
        <f>L100</f>
        <v>10000</v>
      </c>
      <c r="M49" s="13">
        <f>M100</f>
        <v>10000</v>
      </c>
      <c r="N49" s="13">
        <f>N100</f>
        <v>10000</v>
      </c>
      <c r="O49" t="s">
        <v>133</v>
      </c>
    </row>
    <row r="50" spans="1:15" outlineLevel="1" x14ac:dyDescent="0.35">
      <c r="A50" s="3" t="s">
        <v>45</v>
      </c>
      <c r="B50" s="3"/>
      <c r="C50" s="3"/>
      <c r="D50" s="3"/>
      <c r="E50" s="12">
        <f>SUM(E48:E49)</f>
        <v>53902</v>
      </c>
      <c r="F50" s="12">
        <f t="shared" ref="F50:N50" si="8">SUM(F48:F49)</f>
        <v>54800</v>
      </c>
      <c r="G50" s="12">
        <f t="shared" si="8"/>
        <v>34912</v>
      </c>
      <c r="H50" s="12">
        <f t="shared" si="8"/>
        <v>35265</v>
      </c>
      <c r="I50" s="12">
        <f t="shared" si="8"/>
        <v>35671</v>
      </c>
      <c r="J50" s="12">
        <f t="shared" si="8"/>
        <v>35937.73181917808</v>
      </c>
      <c r="K50" s="12">
        <f t="shared" si="8"/>
        <v>36204.929751041098</v>
      </c>
      <c r="L50" s="12">
        <f t="shared" si="8"/>
        <v>16278.718104837259</v>
      </c>
      <c r="M50" s="12">
        <f t="shared" si="8"/>
        <v>16498.473238506565</v>
      </c>
      <c r="N50" s="12">
        <f t="shared" si="8"/>
        <v>16507.498895782268</v>
      </c>
    </row>
    <row r="51" spans="1:15" outlineLevel="1" x14ac:dyDescent="0.35">
      <c r="A51" s="3" t="s">
        <v>46</v>
      </c>
      <c r="M51" s="10"/>
      <c r="N51" s="10"/>
    </row>
    <row r="52" spans="1:15" outlineLevel="1" x14ac:dyDescent="0.35">
      <c r="A52" t="s">
        <v>47</v>
      </c>
      <c r="E52" s="10">
        <v>170000</v>
      </c>
      <c r="F52" s="10">
        <v>170000</v>
      </c>
      <c r="G52" s="10">
        <v>170000</v>
      </c>
      <c r="H52" s="10">
        <v>170000</v>
      </c>
      <c r="I52" s="10">
        <v>170000</v>
      </c>
      <c r="J52" s="17">
        <f>I52+J73</f>
        <v>170000</v>
      </c>
      <c r="K52" s="17">
        <f>J52+K73</f>
        <v>170000</v>
      </c>
      <c r="L52" s="17">
        <f>K52+L73</f>
        <v>170000</v>
      </c>
      <c r="M52" s="17">
        <f>L52+M73</f>
        <v>170000</v>
      </c>
      <c r="N52" s="17">
        <f>M52+N73</f>
        <v>170000</v>
      </c>
    </row>
    <row r="53" spans="1:15" outlineLevel="1" x14ac:dyDescent="0.35">
      <c r="A53" t="s">
        <v>48</v>
      </c>
      <c r="E53" s="10">
        <v>2474</v>
      </c>
      <c r="F53" s="10">
        <v>14265</v>
      </c>
      <c r="G53" s="10">
        <v>35340</v>
      </c>
      <c r="H53" s="10">
        <v>62053</v>
      </c>
      <c r="I53" s="10">
        <v>90280</v>
      </c>
      <c r="J53" s="17">
        <f>J45-J50-J52</f>
        <v>123626.42271999997</v>
      </c>
      <c r="K53" s="17">
        <f>K45-K50-K52</f>
        <v>159334.72582240001</v>
      </c>
      <c r="L53" s="17">
        <f>L45-L50-L52</f>
        <v>199194.93183347199</v>
      </c>
      <c r="M53" s="17">
        <f>M45-M50-M52</f>
        <v>241093.79217173147</v>
      </c>
      <c r="N53" s="17">
        <f>N45-N50-N52</f>
        <v>286121.57520109043</v>
      </c>
    </row>
    <row r="54" spans="1:15" outlineLevel="1" x14ac:dyDescent="0.35">
      <c r="A54" s="5" t="s">
        <v>46</v>
      </c>
      <c r="B54" s="5"/>
      <c r="C54" s="5"/>
      <c r="D54" s="5"/>
      <c r="E54" s="14">
        <f t="shared" ref="E54:N54" si="9">SUM(E52:E53)</f>
        <v>172474</v>
      </c>
      <c r="F54" s="14">
        <f t="shared" si="9"/>
        <v>184265</v>
      </c>
      <c r="G54" s="14">
        <f t="shared" si="9"/>
        <v>205340</v>
      </c>
      <c r="H54" s="14">
        <f t="shared" si="9"/>
        <v>232053</v>
      </c>
      <c r="I54" s="14">
        <f t="shared" si="9"/>
        <v>260280</v>
      </c>
      <c r="J54" s="14">
        <f t="shared" si="9"/>
        <v>293626.42271999997</v>
      </c>
      <c r="K54" s="14">
        <f t="shared" si="9"/>
        <v>329334.72582240001</v>
      </c>
      <c r="L54" s="14">
        <f t="shared" si="9"/>
        <v>369194.93183347199</v>
      </c>
      <c r="M54" s="14">
        <f t="shared" si="9"/>
        <v>411093.79217173147</v>
      </c>
      <c r="N54" s="14">
        <f t="shared" si="9"/>
        <v>456121.57520109043</v>
      </c>
    </row>
    <row r="55" spans="1:15" ht="15" outlineLevel="1" thickBot="1" x14ac:dyDescent="0.4">
      <c r="A55" s="6" t="s">
        <v>49</v>
      </c>
      <c r="B55" s="6"/>
      <c r="C55" s="6"/>
      <c r="D55" s="6"/>
      <c r="E55" s="15">
        <f t="shared" ref="E55:N55" si="10">E50+E54</f>
        <v>226376</v>
      </c>
      <c r="F55" s="15">
        <f t="shared" si="10"/>
        <v>239065</v>
      </c>
      <c r="G55" s="15">
        <f t="shared" si="10"/>
        <v>240252</v>
      </c>
      <c r="H55" s="15">
        <f t="shared" si="10"/>
        <v>267318</v>
      </c>
      <c r="I55" s="15">
        <f t="shared" si="10"/>
        <v>295951</v>
      </c>
      <c r="J55" s="15">
        <f t="shared" si="10"/>
        <v>329564.15453917807</v>
      </c>
      <c r="K55" s="15">
        <f t="shared" si="10"/>
        <v>365539.65557344112</v>
      </c>
      <c r="L55" s="15">
        <f t="shared" si="10"/>
        <v>385473.64993830922</v>
      </c>
      <c r="M55" s="15">
        <f t="shared" si="10"/>
        <v>427592.26541023806</v>
      </c>
      <c r="N55" s="15">
        <f t="shared" si="10"/>
        <v>472629.0740968727</v>
      </c>
    </row>
    <row r="56" spans="1:15" ht="15" outlineLevel="1" thickTop="1" x14ac:dyDescent="0.35">
      <c r="M56" s="10"/>
      <c r="N56" s="10"/>
    </row>
    <row r="57" spans="1:15" outlineLevel="1" x14ac:dyDescent="0.35">
      <c r="A57" s="7" t="s">
        <v>50</v>
      </c>
      <c r="B57" s="7"/>
      <c r="C57" s="7"/>
      <c r="D57" s="7"/>
      <c r="E57" s="16">
        <f>E55-E45</f>
        <v>0</v>
      </c>
      <c r="F57" s="16">
        <f t="shared" ref="F57:N57" si="11">F55-F45</f>
        <v>0</v>
      </c>
      <c r="G57" s="16">
        <f t="shared" si="11"/>
        <v>0</v>
      </c>
      <c r="H57" s="16">
        <f t="shared" si="11"/>
        <v>-1</v>
      </c>
      <c r="I57" s="16">
        <f t="shared" si="11"/>
        <v>-1</v>
      </c>
      <c r="J57" s="16">
        <f t="shared" si="11"/>
        <v>0</v>
      </c>
      <c r="K57" s="16">
        <f t="shared" si="11"/>
        <v>0</v>
      </c>
      <c r="L57" s="16">
        <f t="shared" si="11"/>
        <v>0</v>
      </c>
      <c r="M57" s="16">
        <f t="shared" si="11"/>
        <v>0</v>
      </c>
      <c r="N57" s="16">
        <f t="shared" si="11"/>
        <v>0</v>
      </c>
    </row>
    <row r="58" spans="1:15" outlineLevel="1" x14ac:dyDescent="0.35">
      <c r="M58" s="10"/>
      <c r="N58" s="10"/>
    </row>
    <row r="59" spans="1:15" x14ac:dyDescent="0.35">
      <c r="M59" s="10"/>
      <c r="N59" s="10"/>
    </row>
    <row r="60" spans="1:15" x14ac:dyDescent="0.35">
      <c r="A60" s="2" t="s">
        <v>7</v>
      </c>
      <c r="B60" s="2"/>
      <c r="C60" s="2"/>
      <c r="D60" s="2"/>
      <c r="E60" s="11"/>
      <c r="F60" s="11"/>
      <c r="G60" s="11"/>
      <c r="H60" s="11"/>
      <c r="I60" s="11"/>
      <c r="J60" s="11"/>
      <c r="K60" s="11"/>
      <c r="L60" s="11"/>
      <c r="M60" s="11"/>
      <c r="N60" s="11"/>
    </row>
    <row r="61" spans="1:15" outlineLevel="1" x14ac:dyDescent="0.35">
      <c r="A61" s="3" t="s">
        <v>51</v>
      </c>
      <c r="B61" s="3"/>
      <c r="M61" s="10"/>
      <c r="N61" s="10"/>
    </row>
    <row r="62" spans="1:15" outlineLevel="1" x14ac:dyDescent="0.35">
      <c r="A62" t="s">
        <v>35</v>
      </c>
      <c r="E62" s="17">
        <f>E36</f>
        <v>2474</v>
      </c>
      <c r="F62" s="17">
        <f t="shared" ref="F62:N62" si="12">F36</f>
        <v>11791</v>
      </c>
      <c r="G62" s="17">
        <f t="shared" si="12"/>
        <v>21075</v>
      </c>
      <c r="H62" s="17">
        <f t="shared" si="12"/>
        <v>26713</v>
      </c>
      <c r="I62" s="17">
        <f t="shared" si="12"/>
        <v>28227</v>
      </c>
      <c r="J62" s="17">
        <f t="shared" si="12"/>
        <v>33346.422720000002</v>
      </c>
      <c r="K62" s="17">
        <f t="shared" si="12"/>
        <v>35708.303102399994</v>
      </c>
      <c r="L62" s="17">
        <f t="shared" si="12"/>
        <v>39860.20601107199</v>
      </c>
      <c r="M62" s="17">
        <f t="shared" si="12"/>
        <v>41898.860338259503</v>
      </c>
      <c r="N62" s="17">
        <f t="shared" si="12"/>
        <v>45027.78302935895</v>
      </c>
    </row>
    <row r="63" spans="1:15" outlineLevel="1" x14ac:dyDescent="0.35">
      <c r="A63" t="s">
        <v>52</v>
      </c>
      <c r="E63" s="17">
        <f>E30</f>
        <v>19500</v>
      </c>
      <c r="F63" s="17">
        <f t="shared" ref="F63:N63" si="13">F30</f>
        <v>18150</v>
      </c>
      <c r="G63" s="17">
        <f t="shared" si="13"/>
        <v>17205</v>
      </c>
      <c r="H63" s="17">
        <f t="shared" si="13"/>
        <v>16544</v>
      </c>
      <c r="I63" s="17">
        <f t="shared" si="13"/>
        <v>16080</v>
      </c>
      <c r="J63" s="17">
        <f t="shared" si="13"/>
        <v>15008.400000000001</v>
      </c>
      <c r="K63" s="17">
        <f t="shared" si="13"/>
        <v>15005.04</v>
      </c>
      <c r="L63" s="17">
        <f t="shared" si="13"/>
        <v>15003.023999999999</v>
      </c>
      <c r="M63" s="17">
        <f t="shared" si="13"/>
        <v>15001.814400000001</v>
      </c>
      <c r="N63" s="17">
        <f t="shared" si="13"/>
        <v>15001.08864</v>
      </c>
    </row>
    <row r="64" spans="1:15" outlineLevel="1" x14ac:dyDescent="0.35">
      <c r="A64" s="4" t="s">
        <v>53</v>
      </c>
      <c r="B64" s="4"/>
      <c r="C64" s="4"/>
      <c r="D64" s="4"/>
      <c r="E64" s="18">
        <f>E89</f>
        <v>9003</v>
      </c>
      <c r="F64" s="18">
        <f t="shared" ref="F64:N64" si="14">F89</f>
        <v>1702</v>
      </c>
      <c r="G64" s="18">
        <f t="shared" si="14"/>
        <v>775</v>
      </c>
      <c r="H64" s="18">
        <f t="shared" si="14"/>
        <v>903</v>
      </c>
      <c r="I64" s="18">
        <f t="shared" si="14"/>
        <v>827</v>
      </c>
      <c r="J64" s="18">
        <f t="shared" si="14"/>
        <v>374.35066301369807</v>
      </c>
      <c r="K64" s="18">
        <f t="shared" si="14"/>
        <v>611.29577983561649</v>
      </c>
      <c r="L64" s="18">
        <f t="shared" si="14"/>
        <v>398.13077379945207</v>
      </c>
      <c r="M64" s="18">
        <f t="shared" si="14"/>
        <v>510.78220258270267</v>
      </c>
      <c r="N64" s="18">
        <f t="shared" si="14"/>
        <v>272.23333836987331</v>
      </c>
      <c r="O64" t="s">
        <v>133</v>
      </c>
    </row>
    <row r="65" spans="1:15" outlineLevel="1" x14ac:dyDescent="0.35">
      <c r="A65" s="3" t="s">
        <v>54</v>
      </c>
      <c r="E65" s="12">
        <f>E62+E63-E64</f>
        <v>12971</v>
      </c>
      <c r="F65" s="12">
        <f t="shared" ref="F65:N65" si="15">F62+F63-F64</f>
        <v>28239</v>
      </c>
      <c r="G65" s="12">
        <f t="shared" si="15"/>
        <v>37505</v>
      </c>
      <c r="H65" s="12">
        <f t="shared" si="15"/>
        <v>42354</v>
      </c>
      <c r="I65" s="12">
        <f t="shared" si="15"/>
        <v>43480</v>
      </c>
      <c r="J65" s="12">
        <f t="shared" si="15"/>
        <v>47980.472056986306</v>
      </c>
      <c r="K65" s="12">
        <f t="shared" si="15"/>
        <v>50102.04732256438</v>
      </c>
      <c r="L65" s="12">
        <f t="shared" si="15"/>
        <v>54465.099237272538</v>
      </c>
      <c r="M65" s="12">
        <f t="shared" si="15"/>
        <v>56389.892535676801</v>
      </c>
      <c r="N65" s="12">
        <f t="shared" si="15"/>
        <v>59756.638330989081</v>
      </c>
    </row>
    <row r="66" spans="1:15" outlineLevel="1" x14ac:dyDescent="0.35">
      <c r="M66" s="10"/>
      <c r="N66" s="10"/>
    </row>
    <row r="67" spans="1:15" outlineLevel="1" x14ac:dyDescent="0.35">
      <c r="A67" s="3" t="s">
        <v>55</v>
      </c>
      <c r="M67" s="10"/>
      <c r="N67" s="10"/>
    </row>
    <row r="68" spans="1:15" outlineLevel="1" x14ac:dyDescent="0.35">
      <c r="A68" s="4" t="s">
        <v>56</v>
      </c>
      <c r="B68" s="4"/>
      <c r="C68" s="4"/>
      <c r="D68" s="4"/>
      <c r="E68" s="13">
        <f>E93</f>
        <v>15000</v>
      </c>
      <c r="F68" s="13">
        <f t="shared" ref="F68:N68" si="16">F93</f>
        <v>15000</v>
      </c>
      <c r="G68" s="13">
        <f t="shared" si="16"/>
        <v>15000</v>
      </c>
      <c r="H68" s="13">
        <f t="shared" si="16"/>
        <v>15000</v>
      </c>
      <c r="I68" s="13">
        <f t="shared" si="16"/>
        <v>15000</v>
      </c>
      <c r="J68" s="13">
        <f t="shared" si="16"/>
        <v>15000</v>
      </c>
      <c r="K68" s="13">
        <f t="shared" si="16"/>
        <v>15000</v>
      </c>
      <c r="L68" s="13">
        <f t="shared" si="16"/>
        <v>15000</v>
      </c>
      <c r="M68" s="13">
        <f t="shared" si="16"/>
        <v>15000</v>
      </c>
      <c r="N68" s="13">
        <f t="shared" si="16"/>
        <v>15000</v>
      </c>
      <c r="O68" t="s">
        <v>133</v>
      </c>
    </row>
    <row r="69" spans="1:15" outlineLevel="1" x14ac:dyDescent="0.35">
      <c r="A69" s="3" t="s">
        <v>57</v>
      </c>
      <c r="B69" s="3"/>
      <c r="C69" s="3"/>
      <c r="D69" s="3"/>
      <c r="E69" s="12">
        <f>SUM(E68)</f>
        <v>15000</v>
      </c>
      <c r="F69" s="12">
        <f t="shared" ref="F69:N69" si="17">SUM(F68)</f>
        <v>15000</v>
      </c>
      <c r="G69" s="12">
        <f t="shared" si="17"/>
        <v>15000</v>
      </c>
      <c r="H69" s="12">
        <f t="shared" si="17"/>
        <v>15000</v>
      </c>
      <c r="I69" s="12">
        <f t="shared" si="17"/>
        <v>15000</v>
      </c>
      <c r="J69" s="12">
        <f t="shared" si="17"/>
        <v>15000</v>
      </c>
      <c r="K69" s="12">
        <f t="shared" si="17"/>
        <v>15000</v>
      </c>
      <c r="L69" s="12">
        <f t="shared" si="17"/>
        <v>15000</v>
      </c>
      <c r="M69" s="12">
        <f t="shared" si="17"/>
        <v>15000</v>
      </c>
      <c r="N69" s="12">
        <f t="shared" si="17"/>
        <v>15000</v>
      </c>
    </row>
    <row r="70" spans="1:15" outlineLevel="1" x14ac:dyDescent="0.35">
      <c r="M70" s="10"/>
      <c r="N70" s="10"/>
    </row>
    <row r="71" spans="1:15" outlineLevel="1" x14ac:dyDescent="0.35">
      <c r="A71" s="3" t="s">
        <v>58</v>
      </c>
      <c r="M71" s="10"/>
      <c r="N71" s="10"/>
    </row>
    <row r="72" spans="1:15" outlineLevel="1" x14ac:dyDescent="0.35">
      <c r="A72" t="s">
        <v>59</v>
      </c>
      <c r="E72" s="10">
        <v>0</v>
      </c>
      <c r="F72" s="10">
        <v>0</v>
      </c>
      <c r="G72" s="10">
        <v>-20000</v>
      </c>
      <c r="H72" s="10">
        <v>0</v>
      </c>
      <c r="I72" s="10">
        <v>0</v>
      </c>
      <c r="J72" s="10">
        <f t="shared" ref="J72:N73" si="18">J19</f>
        <v>0</v>
      </c>
      <c r="K72" s="10">
        <f t="shared" si="18"/>
        <v>0</v>
      </c>
      <c r="L72" s="10">
        <f t="shared" si="18"/>
        <v>-20000</v>
      </c>
      <c r="M72" s="10">
        <f t="shared" si="18"/>
        <v>0</v>
      </c>
      <c r="N72" s="10">
        <f t="shared" si="18"/>
        <v>0</v>
      </c>
    </row>
    <row r="73" spans="1:15" outlineLevel="1" x14ac:dyDescent="0.35">
      <c r="A73" s="4" t="s">
        <v>60</v>
      </c>
      <c r="B73" s="4"/>
      <c r="C73" s="4"/>
      <c r="D73" s="4"/>
      <c r="E73" s="13">
        <v>170000</v>
      </c>
      <c r="F73" s="13">
        <v>0</v>
      </c>
      <c r="G73" s="13">
        <v>0</v>
      </c>
      <c r="H73" s="13">
        <v>0</v>
      </c>
      <c r="I73" s="13">
        <v>0</v>
      </c>
      <c r="J73" s="13">
        <f t="shared" si="18"/>
        <v>0</v>
      </c>
      <c r="K73" s="13">
        <f t="shared" si="18"/>
        <v>0</v>
      </c>
      <c r="L73" s="13">
        <f t="shared" si="18"/>
        <v>0</v>
      </c>
      <c r="M73" s="13">
        <f t="shared" si="18"/>
        <v>0</v>
      </c>
      <c r="N73" s="13">
        <f t="shared" si="18"/>
        <v>0</v>
      </c>
    </row>
    <row r="74" spans="1:15" outlineLevel="1" x14ac:dyDescent="0.35">
      <c r="A74" s="3" t="s">
        <v>61</v>
      </c>
      <c r="B74" s="3"/>
      <c r="C74" s="3"/>
      <c r="D74" s="3"/>
      <c r="E74" s="12">
        <f>SUM(E72:E73)</f>
        <v>170000</v>
      </c>
      <c r="F74" s="12">
        <f t="shared" ref="F74:N74" si="19">SUM(F72:F73)</f>
        <v>0</v>
      </c>
      <c r="G74" s="12">
        <f t="shared" si="19"/>
        <v>-20000</v>
      </c>
      <c r="H74" s="12">
        <f t="shared" si="19"/>
        <v>0</v>
      </c>
      <c r="I74" s="12">
        <f t="shared" si="19"/>
        <v>0</v>
      </c>
      <c r="J74" s="12">
        <f t="shared" si="19"/>
        <v>0</v>
      </c>
      <c r="K74" s="12">
        <f t="shared" si="19"/>
        <v>0</v>
      </c>
      <c r="L74" s="12">
        <f t="shared" si="19"/>
        <v>-20000</v>
      </c>
      <c r="M74" s="12">
        <f t="shared" si="19"/>
        <v>0</v>
      </c>
      <c r="N74" s="12">
        <f t="shared" si="19"/>
        <v>0</v>
      </c>
    </row>
    <row r="75" spans="1:15" outlineLevel="1" x14ac:dyDescent="0.35">
      <c r="M75" s="10"/>
      <c r="N75" s="10"/>
    </row>
    <row r="76" spans="1:15" outlineLevel="1" x14ac:dyDescent="0.35">
      <c r="A76" t="s">
        <v>62</v>
      </c>
      <c r="E76" s="17">
        <f>E65-E69+E74</f>
        <v>167971</v>
      </c>
      <c r="F76" s="17">
        <f t="shared" ref="F76:N76" si="20">F65-F69+F74</f>
        <v>13239</v>
      </c>
      <c r="G76" s="17">
        <f t="shared" si="20"/>
        <v>2505</v>
      </c>
      <c r="H76" s="17">
        <f t="shared" si="20"/>
        <v>27354</v>
      </c>
      <c r="I76" s="17">
        <f t="shared" si="20"/>
        <v>28480</v>
      </c>
      <c r="J76" s="17">
        <f t="shared" si="20"/>
        <v>32980.472056986306</v>
      </c>
      <c r="K76" s="17">
        <f t="shared" si="20"/>
        <v>35102.04732256438</v>
      </c>
      <c r="L76" s="17">
        <f t="shared" si="20"/>
        <v>19465.099237272538</v>
      </c>
      <c r="M76" s="17">
        <f t="shared" si="20"/>
        <v>41389.892535676801</v>
      </c>
      <c r="N76" s="17">
        <f t="shared" si="20"/>
        <v>44756.638330989081</v>
      </c>
    </row>
    <row r="77" spans="1:15" outlineLevel="1" x14ac:dyDescent="0.35">
      <c r="A77" s="4" t="s">
        <v>63</v>
      </c>
      <c r="B77" s="4"/>
      <c r="C77" s="4"/>
      <c r="D77" s="4"/>
      <c r="E77" s="18">
        <v>0</v>
      </c>
      <c r="F77" s="18">
        <f>E76</f>
        <v>167971</v>
      </c>
      <c r="G77" s="18">
        <f t="shared" ref="G77:N77" si="21">F77+F76</f>
        <v>181210</v>
      </c>
      <c r="H77" s="18">
        <f t="shared" si="21"/>
        <v>183715</v>
      </c>
      <c r="I77" s="18">
        <f t="shared" si="21"/>
        <v>211069</v>
      </c>
      <c r="J77" s="18">
        <f t="shared" si="21"/>
        <v>239549</v>
      </c>
      <c r="K77" s="18">
        <f t="shared" si="21"/>
        <v>272529.4720569863</v>
      </c>
      <c r="L77" s="18">
        <f t="shared" si="21"/>
        <v>307631.51937955071</v>
      </c>
      <c r="M77" s="18">
        <f t="shared" si="21"/>
        <v>327096.61861682322</v>
      </c>
      <c r="N77" s="18">
        <f t="shared" si="21"/>
        <v>368486.51115250005</v>
      </c>
    </row>
    <row r="78" spans="1:15" outlineLevel="1" x14ac:dyDescent="0.35">
      <c r="A78" s="3" t="s">
        <v>64</v>
      </c>
      <c r="B78" s="3"/>
      <c r="C78" s="3"/>
      <c r="D78" s="3"/>
      <c r="E78" s="12">
        <f t="shared" ref="E78:N78" si="22">SUM(E76:E77)</f>
        <v>167971</v>
      </c>
      <c r="F78" s="12">
        <f t="shared" si="22"/>
        <v>181210</v>
      </c>
      <c r="G78" s="12">
        <f t="shared" si="22"/>
        <v>183715</v>
      </c>
      <c r="H78" s="12">
        <f t="shared" si="22"/>
        <v>211069</v>
      </c>
      <c r="I78" s="12">
        <f t="shared" si="22"/>
        <v>239549</v>
      </c>
      <c r="J78" s="12">
        <f t="shared" si="22"/>
        <v>272529.4720569863</v>
      </c>
      <c r="K78" s="12">
        <f t="shared" si="22"/>
        <v>307631.51937955071</v>
      </c>
      <c r="L78" s="12">
        <f t="shared" si="22"/>
        <v>327096.61861682322</v>
      </c>
      <c r="M78" s="12">
        <f t="shared" si="22"/>
        <v>368486.51115250005</v>
      </c>
      <c r="N78" s="12">
        <f t="shared" si="22"/>
        <v>413243.14948348911</v>
      </c>
    </row>
    <row r="79" spans="1:15" outlineLevel="1" x14ac:dyDescent="0.35">
      <c r="M79" s="10"/>
      <c r="N79" s="10"/>
    </row>
    <row r="80" spans="1:15" outlineLevel="1" x14ac:dyDescent="0.35">
      <c r="A80" t="s">
        <v>50</v>
      </c>
      <c r="E80" s="10">
        <f>E78-E41</f>
        <v>0</v>
      </c>
      <c r="F80" s="10">
        <f t="shared" ref="F80:N80" si="23">F78-F41</f>
        <v>0</v>
      </c>
      <c r="G80" s="10">
        <f t="shared" si="23"/>
        <v>0</v>
      </c>
      <c r="H80" s="10">
        <f t="shared" si="23"/>
        <v>0</v>
      </c>
      <c r="I80" s="10">
        <f t="shared" si="23"/>
        <v>-1</v>
      </c>
      <c r="J80" s="10">
        <f>J78-J41</f>
        <v>0</v>
      </c>
      <c r="K80" s="10">
        <f t="shared" si="23"/>
        <v>0</v>
      </c>
      <c r="L80" s="10">
        <f t="shared" si="23"/>
        <v>0</v>
      </c>
      <c r="M80" s="10">
        <f t="shared" si="23"/>
        <v>0</v>
      </c>
      <c r="N80" s="10">
        <f t="shared" si="23"/>
        <v>0</v>
      </c>
    </row>
    <row r="81" spans="1:14" outlineLevel="1" x14ac:dyDescent="0.35">
      <c r="M81" s="10"/>
      <c r="N81" s="10"/>
    </row>
    <row r="82" spans="1:14" x14ac:dyDescent="0.35">
      <c r="M82" s="10"/>
      <c r="N82" s="10"/>
    </row>
    <row r="83" spans="1:14" x14ac:dyDescent="0.35">
      <c r="A83" s="2" t="s">
        <v>8</v>
      </c>
      <c r="B83" s="2"/>
      <c r="C83" s="2"/>
      <c r="D83" s="2"/>
      <c r="E83" s="11"/>
      <c r="F83" s="11"/>
      <c r="G83" s="11"/>
      <c r="H83" s="11"/>
      <c r="I83" s="11"/>
      <c r="J83" s="11"/>
      <c r="K83" s="11"/>
      <c r="L83" s="11"/>
      <c r="M83" s="11"/>
      <c r="N83" s="11"/>
    </row>
    <row r="84" spans="1:14" outlineLevel="1" x14ac:dyDescent="0.35">
      <c r="A84" s="3" t="s">
        <v>67</v>
      </c>
      <c r="M84" s="10"/>
      <c r="N84" s="10"/>
    </row>
    <row r="85" spans="1:14" outlineLevel="1" x14ac:dyDescent="0.35">
      <c r="A85" t="s">
        <v>38</v>
      </c>
      <c r="E85" s="17">
        <f t="shared" ref="E85:I86" si="24">E42</f>
        <v>5100</v>
      </c>
      <c r="F85" s="17">
        <f t="shared" si="24"/>
        <v>5904</v>
      </c>
      <c r="G85" s="17">
        <f t="shared" si="24"/>
        <v>6567</v>
      </c>
      <c r="H85" s="17">
        <f t="shared" si="24"/>
        <v>7117</v>
      </c>
      <c r="I85" s="17">
        <f t="shared" si="24"/>
        <v>7539</v>
      </c>
      <c r="J85" s="17">
        <f t="shared" ref="J85:N86" si="25">J15*(J24/365)</f>
        <v>7807.098082191781</v>
      </c>
      <c r="K85" s="17">
        <f t="shared" si="25"/>
        <v>8158.4174958904105</v>
      </c>
      <c r="L85" s="17">
        <f t="shared" si="25"/>
        <v>8484.7541957260273</v>
      </c>
      <c r="M85" s="17">
        <f t="shared" si="25"/>
        <v>8781.7205925764374</v>
      </c>
      <c r="N85" s="17">
        <f t="shared" si="25"/>
        <v>9045.1722103537304</v>
      </c>
    </row>
    <row r="86" spans="1:14" outlineLevel="1" x14ac:dyDescent="0.35">
      <c r="A86" t="s">
        <v>39</v>
      </c>
      <c r="E86" s="17">
        <f t="shared" si="24"/>
        <v>7805</v>
      </c>
      <c r="F86" s="17">
        <f t="shared" si="24"/>
        <v>9601</v>
      </c>
      <c r="G86" s="17">
        <f t="shared" si="24"/>
        <v>9825</v>
      </c>
      <c r="H86" s="17">
        <f t="shared" si="24"/>
        <v>10531</v>
      </c>
      <c r="I86" s="17">
        <f t="shared" si="24"/>
        <v>11342</v>
      </c>
      <c r="J86" s="17">
        <f t="shared" si="25"/>
        <v>11714.984400000001</v>
      </c>
      <c r="K86" s="17">
        <f t="shared" si="25"/>
        <v>12242.158697999999</v>
      </c>
      <c r="L86" s="17">
        <f t="shared" si="25"/>
        <v>12387.741125759998</v>
      </c>
      <c r="M86" s="17">
        <f t="shared" si="25"/>
        <v>12821.312065161597</v>
      </c>
      <c r="N86" s="17">
        <f t="shared" si="25"/>
        <v>12839.119443029878</v>
      </c>
    </row>
    <row r="87" spans="1:14" outlineLevel="1" x14ac:dyDescent="0.35">
      <c r="A87" s="4" t="s">
        <v>43</v>
      </c>
      <c r="B87" s="4"/>
      <c r="C87" s="4"/>
      <c r="D87" s="4"/>
      <c r="E87" s="18">
        <f>E48</f>
        <v>3902</v>
      </c>
      <c r="F87" s="18">
        <f>F48</f>
        <v>4800</v>
      </c>
      <c r="G87" s="18">
        <f>G48</f>
        <v>4912</v>
      </c>
      <c r="H87" s="18">
        <f>H48</f>
        <v>5265</v>
      </c>
      <c r="I87" s="18">
        <f>I48</f>
        <v>5671</v>
      </c>
      <c r="J87" s="18">
        <f>J17*(J25/365)</f>
        <v>5937.7318191780823</v>
      </c>
      <c r="K87" s="18">
        <f>K17*(K25/365)</f>
        <v>6204.9297510410961</v>
      </c>
      <c r="L87" s="18">
        <f>L17*(L25/365)</f>
        <v>6278.7181048372595</v>
      </c>
      <c r="M87" s="18">
        <f>M17*(M25/365)</f>
        <v>6498.4732385065636</v>
      </c>
      <c r="N87" s="18">
        <f>N17*(N25/365)</f>
        <v>6507.498895782267</v>
      </c>
    </row>
    <row r="88" spans="1:14" outlineLevel="1" x14ac:dyDescent="0.35">
      <c r="A88" t="s">
        <v>69</v>
      </c>
      <c r="E88" s="10">
        <f t="shared" ref="E88:N88" si="26">SUM(E85:E86)-E87</f>
        <v>9003</v>
      </c>
      <c r="F88" s="10">
        <f t="shared" si="26"/>
        <v>10705</v>
      </c>
      <c r="G88" s="10">
        <f t="shared" si="26"/>
        <v>11480</v>
      </c>
      <c r="H88" s="10">
        <f t="shared" si="26"/>
        <v>12383</v>
      </c>
      <c r="I88" s="10">
        <f t="shared" si="26"/>
        <v>13210</v>
      </c>
      <c r="J88" s="10">
        <f t="shared" si="26"/>
        <v>13584.350663013698</v>
      </c>
      <c r="K88" s="10">
        <f t="shared" si="26"/>
        <v>14195.646442849315</v>
      </c>
      <c r="L88" s="10">
        <f t="shared" si="26"/>
        <v>14593.777216648767</v>
      </c>
      <c r="M88" s="10">
        <f t="shared" si="26"/>
        <v>15104.559419231469</v>
      </c>
      <c r="N88" s="10">
        <f t="shared" si="26"/>
        <v>15376.792757601343</v>
      </c>
    </row>
    <row r="89" spans="1:14" outlineLevel="1" x14ac:dyDescent="0.35">
      <c r="A89" t="s">
        <v>68</v>
      </c>
      <c r="E89" s="10">
        <f t="shared" ref="E89:N89" si="27">E88-D88</f>
        <v>9003</v>
      </c>
      <c r="F89" s="10">
        <f t="shared" si="27"/>
        <v>1702</v>
      </c>
      <c r="G89" s="10">
        <f t="shared" si="27"/>
        <v>775</v>
      </c>
      <c r="H89" s="10">
        <f t="shared" si="27"/>
        <v>903</v>
      </c>
      <c r="I89" s="10">
        <f t="shared" si="27"/>
        <v>827</v>
      </c>
      <c r="J89" s="10">
        <f t="shared" si="27"/>
        <v>374.35066301369807</v>
      </c>
      <c r="K89" s="10">
        <f t="shared" si="27"/>
        <v>611.29577983561649</v>
      </c>
      <c r="L89" s="10">
        <f t="shared" si="27"/>
        <v>398.13077379945207</v>
      </c>
      <c r="M89" s="10">
        <f t="shared" si="27"/>
        <v>510.78220258270267</v>
      </c>
      <c r="N89" s="10">
        <f t="shared" si="27"/>
        <v>272.23333836987331</v>
      </c>
    </row>
    <row r="90" spans="1:14" outlineLevel="1" x14ac:dyDescent="0.35">
      <c r="M90" s="10"/>
      <c r="N90" s="10"/>
    </row>
    <row r="91" spans="1:14" outlineLevel="1" x14ac:dyDescent="0.35">
      <c r="A91" s="3" t="s">
        <v>70</v>
      </c>
      <c r="M91" s="10"/>
      <c r="N91" s="10"/>
    </row>
    <row r="92" spans="1:14" outlineLevel="1" x14ac:dyDescent="0.35">
      <c r="A92" t="s">
        <v>71</v>
      </c>
      <c r="E92" s="10">
        <v>50000</v>
      </c>
      <c r="F92" s="17">
        <f>E95</f>
        <v>45500</v>
      </c>
      <c r="G92" s="17">
        <f t="shared" ref="G92:N92" si="28">F95</f>
        <v>42350</v>
      </c>
      <c r="H92" s="17">
        <f t="shared" si="28"/>
        <v>40145</v>
      </c>
      <c r="I92" s="17">
        <f t="shared" si="28"/>
        <v>38601</v>
      </c>
      <c r="J92" s="17">
        <f t="shared" si="28"/>
        <v>37521</v>
      </c>
      <c r="K92" s="17">
        <f t="shared" si="28"/>
        <v>37512.6</v>
      </c>
      <c r="L92" s="17">
        <f t="shared" si="28"/>
        <v>37507.56</v>
      </c>
      <c r="M92" s="17">
        <f t="shared" si="28"/>
        <v>37504.536</v>
      </c>
      <c r="N92" s="17">
        <f t="shared" si="28"/>
        <v>37502.721599999997</v>
      </c>
    </row>
    <row r="93" spans="1:14" outlineLevel="1" x14ac:dyDescent="0.35">
      <c r="A93" t="s">
        <v>72</v>
      </c>
      <c r="E93" s="10">
        <v>15000</v>
      </c>
      <c r="F93" s="10">
        <v>15000</v>
      </c>
      <c r="G93" s="10">
        <v>15000</v>
      </c>
      <c r="H93" s="10">
        <v>15000</v>
      </c>
      <c r="I93" s="10">
        <v>15000</v>
      </c>
      <c r="J93" s="31">
        <f>J18</f>
        <v>15000</v>
      </c>
      <c r="K93" s="31">
        <f>K18</f>
        <v>15000</v>
      </c>
      <c r="L93" s="31">
        <f>L18</f>
        <v>15000</v>
      </c>
      <c r="M93" s="31">
        <f>M18</f>
        <v>15000</v>
      </c>
      <c r="N93" s="31">
        <f>N18</f>
        <v>15000</v>
      </c>
    </row>
    <row r="94" spans="1:14" outlineLevel="1" x14ac:dyDescent="0.35">
      <c r="A94" s="4" t="s">
        <v>73</v>
      </c>
      <c r="B94" s="4"/>
      <c r="C94" s="4"/>
      <c r="D94" s="4"/>
      <c r="E94" s="13">
        <v>19500</v>
      </c>
      <c r="F94" s="13">
        <v>18150</v>
      </c>
      <c r="G94" s="13">
        <v>17205</v>
      </c>
      <c r="H94" s="13">
        <v>16544</v>
      </c>
      <c r="I94" s="13">
        <v>16080</v>
      </c>
      <c r="J94" s="18">
        <f>J92*J11</f>
        <v>15008.400000000001</v>
      </c>
      <c r="K94" s="18">
        <f>K92*K11</f>
        <v>15005.04</v>
      </c>
      <c r="L94" s="18">
        <f>L92*L11</f>
        <v>15003.023999999999</v>
      </c>
      <c r="M94" s="18">
        <f>M92*M11</f>
        <v>15001.814400000001</v>
      </c>
      <c r="N94" s="18">
        <f>N92*N11</f>
        <v>15001.08864</v>
      </c>
    </row>
    <row r="95" spans="1:14" outlineLevel="1" x14ac:dyDescent="0.35">
      <c r="A95" t="s">
        <v>74</v>
      </c>
      <c r="E95" s="10">
        <f>E92+E93-E94</f>
        <v>45500</v>
      </c>
      <c r="F95" s="10">
        <f t="shared" ref="F95:N95" si="29">F92+F93-F94</f>
        <v>42350</v>
      </c>
      <c r="G95" s="10">
        <f t="shared" si="29"/>
        <v>40145</v>
      </c>
      <c r="H95" s="10">
        <f t="shared" si="29"/>
        <v>38601</v>
      </c>
      <c r="I95" s="10">
        <f t="shared" si="29"/>
        <v>37521</v>
      </c>
      <c r="J95" s="10">
        <f t="shared" si="29"/>
        <v>37512.6</v>
      </c>
      <c r="K95" s="10">
        <f t="shared" si="29"/>
        <v>37507.56</v>
      </c>
      <c r="L95" s="10">
        <f t="shared" si="29"/>
        <v>37504.536</v>
      </c>
      <c r="M95" s="10">
        <f t="shared" si="29"/>
        <v>37502.721599999997</v>
      </c>
      <c r="N95" s="10">
        <f t="shared" si="29"/>
        <v>37501.632959999995</v>
      </c>
    </row>
    <row r="96" spans="1:14" outlineLevel="1" x14ac:dyDescent="0.35">
      <c r="M96" s="10"/>
      <c r="N96" s="10"/>
    </row>
    <row r="97" spans="1:14" outlineLevel="1" x14ac:dyDescent="0.35">
      <c r="A97" s="3" t="s">
        <v>75</v>
      </c>
      <c r="M97" s="10"/>
      <c r="N97" s="10"/>
    </row>
    <row r="98" spans="1:14" outlineLevel="1" x14ac:dyDescent="0.35">
      <c r="A98" t="s">
        <v>76</v>
      </c>
      <c r="E98" s="10">
        <v>50000</v>
      </c>
      <c r="F98" s="17">
        <f>E100</f>
        <v>50000</v>
      </c>
      <c r="G98" s="17">
        <f t="shared" ref="G98:N98" si="30">F100</f>
        <v>50000</v>
      </c>
      <c r="H98" s="17">
        <f t="shared" si="30"/>
        <v>30000</v>
      </c>
      <c r="I98" s="17">
        <f t="shared" si="30"/>
        <v>30000</v>
      </c>
      <c r="J98" s="17">
        <f t="shared" si="30"/>
        <v>30000</v>
      </c>
      <c r="K98" s="17">
        <f t="shared" si="30"/>
        <v>30000</v>
      </c>
      <c r="L98" s="17">
        <f t="shared" si="30"/>
        <v>30000</v>
      </c>
      <c r="M98" s="17">
        <f t="shared" si="30"/>
        <v>10000</v>
      </c>
      <c r="N98" s="17">
        <f t="shared" si="30"/>
        <v>10000</v>
      </c>
    </row>
    <row r="99" spans="1:14" outlineLevel="1" x14ac:dyDescent="0.35">
      <c r="A99" s="4" t="s">
        <v>77</v>
      </c>
      <c r="B99" s="4"/>
      <c r="C99" s="4"/>
      <c r="D99" s="4"/>
      <c r="E99" s="18">
        <f>E72</f>
        <v>0</v>
      </c>
      <c r="F99" s="18">
        <f>F72</f>
        <v>0</v>
      </c>
      <c r="G99" s="18">
        <f>G72</f>
        <v>-20000</v>
      </c>
      <c r="H99" s="18">
        <f>H72</f>
        <v>0</v>
      </c>
      <c r="I99" s="18">
        <f>I72</f>
        <v>0</v>
      </c>
      <c r="J99" s="39">
        <f>J19</f>
        <v>0</v>
      </c>
      <c r="K99" s="39">
        <f>K19</f>
        <v>0</v>
      </c>
      <c r="L99" s="39">
        <f>L19</f>
        <v>-20000</v>
      </c>
      <c r="M99" s="39">
        <f>M19</f>
        <v>0</v>
      </c>
      <c r="N99" s="39">
        <f>N19</f>
        <v>0</v>
      </c>
    </row>
    <row r="100" spans="1:14" outlineLevel="1" x14ac:dyDescent="0.35">
      <c r="A100" t="s">
        <v>78</v>
      </c>
      <c r="E100" s="10">
        <f>SUM(E98:E99)</f>
        <v>50000</v>
      </c>
      <c r="F100" s="10">
        <f t="shared" ref="F100:N100" si="31">SUM(F98:F99)</f>
        <v>50000</v>
      </c>
      <c r="G100" s="10">
        <f t="shared" si="31"/>
        <v>30000</v>
      </c>
      <c r="H100" s="10">
        <f t="shared" si="31"/>
        <v>30000</v>
      </c>
      <c r="I100" s="10">
        <f t="shared" si="31"/>
        <v>30000</v>
      </c>
      <c r="J100" s="10">
        <f t="shared" si="31"/>
        <v>30000</v>
      </c>
      <c r="K100" s="10">
        <f t="shared" si="31"/>
        <v>30000</v>
      </c>
      <c r="L100" s="10">
        <f t="shared" si="31"/>
        <v>10000</v>
      </c>
      <c r="M100" s="10">
        <f t="shared" si="31"/>
        <v>10000</v>
      </c>
      <c r="N100" s="10">
        <f t="shared" si="31"/>
        <v>10000</v>
      </c>
    </row>
    <row r="101" spans="1:14" outlineLevel="1" x14ac:dyDescent="0.35">
      <c r="A101" t="s">
        <v>79</v>
      </c>
      <c r="E101" s="17">
        <f t="shared" ref="E101:N101" si="32">E100*E12</f>
        <v>2500</v>
      </c>
      <c r="F101" s="17">
        <f t="shared" si="32"/>
        <v>2500</v>
      </c>
      <c r="G101" s="17">
        <f t="shared" si="32"/>
        <v>1500</v>
      </c>
      <c r="H101" s="17">
        <f t="shared" si="32"/>
        <v>1500</v>
      </c>
      <c r="I101" s="17">
        <f t="shared" si="32"/>
        <v>1500</v>
      </c>
      <c r="J101" s="17">
        <f t="shared" si="32"/>
        <v>1500</v>
      </c>
      <c r="K101" s="17">
        <f t="shared" si="32"/>
        <v>1500</v>
      </c>
      <c r="L101" s="17">
        <f t="shared" si="32"/>
        <v>500</v>
      </c>
      <c r="M101" s="17">
        <f t="shared" si="32"/>
        <v>500</v>
      </c>
      <c r="N101" s="17">
        <f t="shared" si="32"/>
        <v>500</v>
      </c>
    </row>
    <row r="102" spans="1:14" outlineLevel="1" x14ac:dyDescent="0.35">
      <c r="M102" s="10"/>
      <c r="N102" s="10"/>
    </row>
    <row r="103" spans="1:14" outlineLevel="1" x14ac:dyDescent="0.35">
      <c r="M103" s="10"/>
      <c r="N103" s="10"/>
    </row>
    <row r="104" spans="1:14" x14ac:dyDescent="0.35">
      <c r="M104" s="10"/>
      <c r="N104" s="10"/>
    </row>
    <row r="105" spans="1:14" x14ac:dyDescent="0.35">
      <c r="A105" s="2" t="s">
        <v>9</v>
      </c>
      <c r="B105" s="2"/>
      <c r="C105" s="2"/>
      <c r="D105" s="2"/>
      <c r="E105" s="11"/>
      <c r="F105" s="11"/>
      <c r="G105" s="11"/>
      <c r="H105" s="11"/>
      <c r="I105" s="11"/>
      <c r="J105" s="11"/>
      <c r="K105" s="11"/>
      <c r="L105" s="11"/>
      <c r="M105" s="11"/>
      <c r="N105" s="11"/>
    </row>
    <row r="106" spans="1:14" outlineLevel="1" x14ac:dyDescent="0.35">
      <c r="M106" s="10"/>
      <c r="N106" s="10"/>
    </row>
    <row r="107" spans="1:14" outlineLevel="1" x14ac:dyDescent="0.35">
      <c r="A107" s="32" t="s">
        <v>4</v>
      </c>
      <c r="B107" s="32"/>
      <c r="C107" s="32"/>
      <c r="D107" s="32"/>
      <c r="M107" s="10"/>
      <c r="N107" s="10"/>
    </row>
    <row r="108" spans="1:14" outlineLevel="1" x14ac:dyDescent="0.35">
      <c r="A108" t="s">
        <v>80</v>
      </c>
      <c r="D108" s="20">
        <v>0.25</v>
      </c>
      <c r="M108" s="10"/>
      <c r="N108" s="10"/>
    </row>
    <row r="109" spans="1:14" outlineLevel="1" x14ac:dyDescent="0.35">
      <c r="A109" t="s">
        <v>81</v>
      </c>
      <c r="D109" s="20">
        <v>0.12</v>
      </c>
      <c r="M109" s="10"/>
      <c r="N109" s="10"/>
    </row>
    <row r="110" spans="1:14" outlineLevel="1" x14ac:dyDescent="0.35">
      <c r="A110" t="s">
        <v>82</v>
      </c>
      <c r="D110" s="20">
        <v>0.03</v>
      </c>
      <c r="M110" s="10"/>
      <c r="N110" s="10"/>
    </row>
    <row r="111" spans="1:14" outlineLevel="1" x14ac:dyDescent="0.35">
      <c r="A111" t="s">
        <v>83</v>
      </c>
      <c r="D111" s="21">
        <v>7</v>
      </c>
      <c r="M111" s="10"/>
      <c r="N111" s="10"/>
    </row>
    <row r="112" spans="1:14" outlineLevel="1" x14ac:dyDescent="0.35">
      <c r="A112" t="s">
        <v>84</v>
      </c>
      <c r="D112" s="22">
        <v>43100</v>
      </c>
      <c r="M112" s="10"/>
      <c r="N112" s="10"/>
    </row>
    <row r="113" spans="1:16" outlineLevel="1" x14ac:dyDescent="0.35">
      <c r="A113" t="s">
        <v>491</v>
      </c>
      <c r="D113" s="22">
        <v>43281</v>
      </c>
      <c r="M113" s="10"/>
      <c r="N113" s="10"/>
    </row>
    <row r="114" spans="1:16" outlineLevel="1" x14ac:dyDescent="0.35">
      <c r="A114" t="s">
        <v>85</v>
      </c>
      <c r="D114" s="23">
        <v>25</v>
      </c>
      <c r="M114" s="10"/>
      <c r="N114" s="10"/>
    </row>
    <row r="115" spans="1:16" outlineLevel="1" x14ac:dyDescent="0.35">
      <c r="A115" t="s">
        <v>86</v>
      </c>
      <c r="D115" s="24">
        <v>20000</v>
      </c>
      <c r="M115" s="10"/>
      <c r="N115" s="10"/>
    </row>
    <row r="116" spans="1:16" outlineLevel="1" x14ac:dyDescent="0.35">
      <c r="M116" s="10"/>
      <c r="N116" s="10"/>
    </row>
    <row r="117" spans="1:16" outlineLevel="1" x14ac:dyDescent="0.35">
      <c r="M117" s="10"/>
      <c r="N117" s="10"/>
    </row>
    <row r="118" spans="1:16" outlineLevel="1" x14ac:dyDescent="0.35">
      <c r="A118" t="s">
        <v>87</v>
      </c>
      <c r="D118" t="s">
        <v>88</v>
      </c>
      <c r="E118" s="25">
        <v>2018</v>
      </c>
      <c r="F118" s="25">
        <v>2019</v>
      </c>
      <c r="G118" s="25">
        <v>2020</v>
      </c>
      <c r="H118" s="25">
        <v>2021</v>
      </c>
      <c r="I118" s="25">
        <v>2022</v>
      </c>
      <c r="J118" s="10" t="s">
        <v>92</v>
      </c>
      <c r="L118" s="34" t="s">
        <v>102</v>
      </c>
      <c r="M118" s="32"/>
      <c r="N118" s="32"/>
    </row>
    <row r="119" spans="1:16" outlineLevel="1" x14ac:dyDescent="0.35">
      <c r="A119" t="s">
        <v>89</v>
      </c>
      <c r="D119" s="22">
        <f>D112</f>
        <v>43100</v>
      </c>
      <c r="E119" s="22">
        <f>D113</f>
        <v>43281</v>
      </c>
      <c r="F119" s="27">
        <f>DATE(YEAR($D$113) + F120, MONTH($D$113), DAY($D$113))</f>
        <v>43646</v>
      </c>
      <c r="G119" s="27">
        <f>DATE(YEAR($D$113) + G120, MONTH($D$113), DAY($D$113))</f>
        <v>44012</v>
      </c>
      <c r="H119" s="27">
        <f>DATE(YEAR($D$113) + H120, MONTH($D$113), DAY($D$113))</f>
        <v>44377</v>
      </c>
      <c r="I119" s="27">
        <f>DATE(YEAR($D$113) + I120, MONTH($D$113), DAY($D$113))</f>
        <v>44742</v>
      </c>
      <c r="J119" s="22">
        <f>I119</f>
        <v>44742</v>
      </c>
      <c r="L119" s="10" t="s">
        <v>103</v>
      </c>
      <c r="N119" s="35">
        <f>I130/(D109-D110)</f>
        <v>522308.84396902629</v>
      </c>
    </row>
    <row r="120" spans="1:16" outlineLevel="1" x14ac:dyDescent="0.35">
      <c r="A120" t="s">
        <v>90</v>
      </c>
      <c r="E120" s="8">
        <v>0</v>
      </c>
      <c r="F120" s="10">
        <v>1</v>
      </c>
      <c r="G120" s="10">
        <v>2</v>
      </c>
      <c r="H120" s="10">
        <v>3</v>
      </c>
      <c r="I120" s="10">
        <v>4</v>
      </c>
      <c r="L120" s="10" t="s">
        <v>104</v>
      </c>
      <c r="N120" s="40">
        <f>(I125+I127)*D111</f>
        <v>546277.73326543416</v>
      </c>
      <c r="O120" s="35"/>
      <c r="P120" s="41"/>
    </row>
    <row r="121" spans="1:16" outlineLevel="1" x14ac:dyDescent="0.35">
      <c r="A121" t="s">
        <v>91</v>
      </c>
      <c r="E121" s="26">
        <f>(E119-D119)/365</f>
        <v>0.49589041095890413</v>
      </c>
      <c r="F121" s="26">
        <f>(F119-E119)/365</f>
        <v>1</v>
      </c>
      <c r="G121" s="26">
        <f>(G119-F119)/365</f>
        <v>1.0027397260273974</v>
      </c>
      <c r="H121" s="26">
        <f>(H119-G119)/365</f>
        <v>1</v>
      </c>
      <c r="I121" s="26">
        <f>(I119-H119)/365</f>
        <v>1</v>
      </c>
      <c r="L121" s="10" t="s">
        <v>105</v>
      </c>
      <c r="N121" s="35">
        <f>AVERAGE(N119:N120)</f>
        <v>534293.28861723025</v>
      </c>
    </row>
    <row r="122" spans="1:16" outlineLevel="1" x14ac:dyDescent="0.35"/>
    <row r="123" spans="1:16" outlineLevel="1" x14ac:dyDescent="0.35">
      <c r="A123" t="s">
        <v>93</v>
      </c>
      <c r="E123" s="10">
        <f>J33</f>
        <v>46314.47600000001</v>
      </c>
      <c r="F123" s="10">
        <f>K33</f>
        <v>49594.865419999995</v>
      </c>
      <c r="G123" s="10">
        <f>L33</f>
        <v>55361.397237599995</v>
      </c>
      <c r="H123" s="10">
        <f>M33</f>
        <v>58192.861580915982</v>
      </c>
      <c r="I123" s="10">
        <f>N33</f>
        <v>62538.587540776316</v>
      </c>
      <c r="J123" t="s">
        <v>136</v>
      </c>
    </row>
    <row r="124" spans="1:16" outlineLevel="1" x14ac:dyDescent="0.35">
      <c r="A124" t="s">
        <v>31</v>
      </c>
      <c r="E124" s="13">
        <f>J101</f>
        <v>1500</v>
      </c>
      <c r="F124" s="13">
        <f>K101</f>
        <v>1500</v>
      </c>
      <c r="G124" s="13">
        <f>L101</f>
        <v>500</v>
      </c>
      <c r="H124" s="13">
        <f>M101</f>
        <v>500</v>
      </c>
      <c r="I124" s="13">
        <f>N101</f>
        <v>500</v>
      </c>
      <c r="J124" t="s">
        <v>133</v>
      </c>
    </row>
    <row r="125" spans="1:16" outlineLevel="1" x14ac:dyDescent="0.35">
      <c r="A125" t="s">
        <v>94</v>
      </c>
      <c r="E125" s="17">
        <f>E123+E124</f>
        <v>47814.47600000001</v>
      </c>
      <c r="F125" s="17">
        <f>F123+F124</f>
        <v>51094.865419999995</v>
      </c>
      <c r="G125" s="17">
        <f>G123+G124</f>
        <v>55861.397237599995</v>
      </c>
      <c r="H125" s="17">
        <f>H123+H124</f>
        <v>58692.861580915982</v>
      </c>
      <c r="I125" s="17">
        <f>I123+I124</f>
        <v>63038.587540776316</v>
      </c>
    </row>
    <row r="126" spans="1:16" outlineLevel="1" x14ac:dyDescent="0.35">
      <c r="A126" t="s">
        <v>95</v>
      </c>
      <c r="E126" s="17">
        <f>E125*$D$108</f>
        <v>11953.619000000002</v>
      </c>
      <c r="F126" s="17">
        <f>F125*$D$108</f>
        <v>12773.716354999999</v>
      </c>
      <c r="G126" s="17">
        <f>G125*$D$108</f>
        <v>13965.349309399999</v>
      </c>
      <c r="H126" s="17">
        <f>H125*$D$108</f>
        <v>14673.215395228995</v>
      </c>
      <c r="I126" s="17">
        <f>I125*$D$108</f>
        <v>15759.646885194079</v>
      </c>
    </row>
    <row r="127" spans="1:16" outlineLevel="1" x14ac:dyDescent="0.35">
      <c r="A127" t="s">
        <v>96</v>
      </c>
      <c r="E127" s="10">
        <f>J94</f>
        <v>15008.400000000001</v>
      </c>
      <c r="F127" s="10">
        <f>K94</f>
        <v>15005.04</v>
      </c>
      <c r="G127" s="10">
        <f>L94</f>
        <v>15003.023999999999</v>
      </c>
      <c r="H127" s="10">
        <f>M94</f>
        <v>15001.814400000001</v>
      </c>
      <c r="I127" s="10">
        <f>N94</f>
        <v>15001.08864</v>
      </c>
      <c r="J127" t="s">
        <v>133</v>
      </c>
    </row>
    <row r="128" spans="1:16" outlineLevel="1" x14ac:dyDescent="0.35">
      <c r="A128" t="s">
        <v>97</v>
      </c>
      <c r="E128" s="10">
        <f>J93</f>
        <v>15000</v>
      </c>
      <c r="F128" s="10">
        <f>K93</f>
        <v>15000</v>
      </c>
      <c r="G128" s="10">
        <f>L93</f>
        <v>15000</v>
      </c>
      <c r="H128" s="10">
        <f>M93</f>
        <v>15000</v>
      </c>
      <c r="I128" s="10">
        <f>N93</f>
        <v>15000</v>
      </c>
      <c r="J128" t="s">
        <v>133</v>
      </c>
    </row>
    <row r="129" spans="1:14" outlineLevel="1" x14ac:dyDescent="0.35">
      <c r="A129" t="s">
        <v>98</v>
      </c>
      <c r="E129" s="13">
        <f>J89</f>
        <v>374.35066301369807</v>
      </c>
      <c r="F129" s="13">
        <f>K89</f>
        <v>611.29577983561649</v>
      </c>
      <c r="G129" s="13">
        <f>L89</f>
        <v>398.13077379945207</v>
      </c>
      <c r="H129" s="13">
        <f>M89</f>
        <v>510.78220258270267</v>
      </c>
      <c r="I129" s="13">
        <f>N89</f>
        <v>272.23333836987331</v>
      </c>
      <c r="J129" t="s">
        <v>133</v>
      </c>
    </row>
    <row r="130" spans="1:14" outlineLevel="1" x14ac:dyDescent="0.35">
      <c r="A130" t="s">
        <v>99</v>
      </c>
      <c r="E130" s="10">
        <f>E125-E126+E127-E128-E129</f>
        <v>35494.906336986307</v>
      </c>
      <c r="F130" s="10">
        <f>F125-F126+F127-F128-F129</f>
        <v>37714.893285164384</v>
      </c>
      <c r="G130" s="10">
        <f>G125-G126+G127-G128-G129</f>
        <v>41500.941154400542</v>
      </c>
      <c r="H130" s="10">
        <f>H125-H126+H127-H128-H129</f>
        <v>43510.678383104285</v>
      </c>
      <c r="I130" s="10">
        <f>I125-I126+I127-I128-I129</f>
        <v>47007.795957212365</v>
      </c>
    </row>
    <row r="131" spans="1:14" outlineLevel="1" x14ac:dyDescent="0.35">
      <c r="A131" t="s">
        <v>100</v>
      </c>
      <c r="D131" s="40">
        <f>-H139</f>
        <v>-290451</v>
      </c>
      <c r="E131" s="13"/>
      <c r="F131" s="13"/>
      <c r="G131" s="13"/>
      <c r="H131" s="13"/>
      <c r="I131" s="13"/>
      <c r="J131" s="13">
        <f>N121</f>
        <v>534293.28861723025</v>
      </c>
    </row>
    <row r="132" spans="1:14" outlineLevel="1" x14ac:dyDescent="0.35">
      <c r="A132" t="s">
        <v>101</v>
      </c>
      <c r="D132" s="35">
        <f>D131</f>
        <v>-290451</v>
      </c>
      <c r="E132" s="10">
        <f>(E131+E130)*E121</f>
        <v>17601.58369039595</v>
      </c>
      <c r="F132" s="10">
        <f>(F131+F130)*F121</f>
        <v>37714.893285164384</v>
      </c>
      <c r="G132" s="10">
        <f>(G131+G130)*G121</f>
        <v>41614.642363042738</v>
      </c>
      <c r="H132" s="10">
        <f>(H131+H130)*H121</f>
        <v>43510.678383104285</v>
      </c>
      <c r="I132" s="10">
        <f>(I131+I130)*I121</f>
        <v>47007.795957212365</v>
      </c>
      <c r="J132" s="10">
        <f>J131+J130</f>
        <v>534293.28861723025</v>
      </c>
      <c r="N132" s="42"/>
    </row>
    <row r="133" spans="1:14" outlineLevel="1" x14ac:dyDescent="0.35"/>
    <row r="134" spans="1:14" outlineLevel="1" x14ac:dyDescent="0.35"/>
    <row r="135" spans="1:14" outlineLevel="1" x14ac:dyDescent="0.35">
      <c r="A135" s="32" t="s">
        <v>106</v>
      </c>
      <c r="B135" s="32"/>
      <c r="C135" s="32"/>
      <c r="D135" s="32"/>
      <c r="F135" s="32" t="s">
        <v>112</v>
      </c>
      <c r="G135" s="32"/>
      <c r="H135" s="32"/>
      <c r="I135"/>
      <c r="J135" s="32" t="s">
        <v>116</v>
      </c>
      <c r="K135" s="32"/>
      <c r="L135" s="32"/>
    </row>
    <row r="136" spans="1:14" outlineLevel="1" x14ac:dyDescent="0.35">
      <c r="A136" t="s">
        <v>606</v>
      </c>
      <c r="D136" s="10">
        <f>IFERROR(XNPV(D109,E132:J132,E119:J119),"")</f>
        <v>484713.32456630806</v>
      </c>
      <c r="F136" s="10" t="s">
        <v>113</v>
      </c>
      <c r="H136" s="10">
        <f>D115*D114</f>
        <v>500000</v>
      </c>
      <c r="J136" s="10" t="s">
        <v>117</v>
      </c>
      <c r="L136" s="33">
        <f>IFERROR(D141/H141-1,"-")</f>
        <v>0.38852464913261597</v>
      </c>
    </row>
    <row r="137" spans="1:14" outlineLevel="1" x14ac:dyDescent="0.35">
      <c r="A137" t="s">
        <v>108</v>
      </c>
      <c r="D137" s="35">
        <f>I78</f>
        <v>239549</v>
      </c>
      <c r="E137" s="43" t="s">
        <v>138</v>
      </c>
      <c r="F137" s="10" t="s">
        <v>114</v>
      </c>
      <c r="H137" s="10">
        <f>I100</f>
        <v>30000</v>
      </c>
      <c r="I137" s="43" t="s">
        <v>137</v>
      </c>
      <c r="J137" s="10" t="s">
        <v>118</v>
      </c>
      <c r="L137" s="33">
        <f>IFERROR(XIRR(D132:J132,D119:J119),"-")</f>
        <v>0.26023738980293276</v>
      </c>
    </row>
    <row r="138" spans="1:14" outlineLevel="1" x14ac:dyDescent="0.35">
      <c r="A138" t="s">
        <v>109</v>
      </c>
      <c r="D138" s="40">
        <f>I100</f>
        <v>30000</v>
      </c>
      <c r="E138" s="43" t="s">
        <v>137</v>
      </c>
      <c r="F138" s="10" t="s">
        <v>115</v>
      </c>
      <c r="H138" s="13">
        <f>I78</f>
        <v>239549</v>
      </c>
      <c r="I138" s="43" t="s">
        <v>138</v>
      </c>
    </row>
    <row r="139" spans="1:14" outlineLevel="1" x14ac:dyDescent="0.35">
      <c r="A139" t="s">
        <v>110</v>
      </c>
      <c r="D139" s="35">
        <f>D136+D137-D138</f>
        <v>694262.32456630806</v>
      </c>
      <c r="F139" s="10" t="s">
        <v>607</v>
      </c>
      <c r="H139" s="10">
        <f>H136+H137-H138</f>
        <v>290451</v>
      </c>
    </row>
    <row r="140" spans="1:14" outlineLevel="1" x14ac:dyDescent="0.35"/>
    <row r="141" spans="1:14" outlineLevel="1" x14ac:dyDescent="0.35">
      <c r="A141" t="s">
        <v>111</v>
      </c>
      <c r="D141" s="44">
        <f>D139/D115</f>
        <v>34.7131162283154</v>
      </c>
      <c r="F141" t="s">
        <v>111</v>
      </c>
      <c r="H141" s="44">
        <f>H136/D115</f>
        <v>25</v>
      </c>
    </row>
    <row r="142" spans="1:14" outlineLevel="1" x14ac:dyDescent="0.35"/>
    <row r="144" spans="1:14" x14ac:dyDescent="0.35">
      <c r="A144" s="2" t="s">
        <v>10</v>
      </c>
      <c r="B144" s="2"/>
      <c r="C144" s="2"/>
      <c r="D144" s="2"/>
      <c r="E144" s="11"/>
      <c r="F144" s="11"/>
      <c r="G144" s="11"/>
      <c r="H144" s="11"/>
      <c r="I144" s="11"/>
      <c r="J144" s="11"/>
      <c r="K144" s="11"/>
      <c r="L144" s="11"/>
      <c r="M144" s="11"/>
      <c r="N144" s="11"/>
    </row>
  </sheetData>
  <mergeCells count="3">
    <mergeCell ref="A1:D2"/>
    <mergeCell ref="E1:I1"/>
    <mergeCell ref="J1:N1"/>
  </mergeCells>
  <phoneticPr fontId="4"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4 5 1 3 2 1 - 0 8 7 8 - 4 e 1 d - a 1 6 b - 5 d 6 5 f 0 6 4 2 d e 6 "   x m l n s = " h t t p : / / s c h e m a s . m i c r o s o f t . c o m / D a t a M a s h u p " > A A A A A E A U A A B Q S w M E F A A C A A g A r 3 E a 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r 3 E a 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9 x G l m + 1 + n 1 O h E A A F 5 t A A A T A B w A R m 9 y b X V s Y X M v U 2 V j d G l v b j E u b S C i G A A o o B Q A A A A A A A A A A A A A A A A A A A A A A A A A A A D t X F t v 2 8 g V f g + Q / y C o L z b q G u t F 2 4 d u U 0 C W 7 a x R 2 1 I t Z d N F E g h j c i T N h u K o v M h 2 g v z 3 n h k O y S F 5 z n B k p M l 2 s / u w S T R n r j y X 7 / s 4 U s q D T M h 4 M C v + P P n h + b P n z 9 I 1 S 3 g 4 u I w D u e G z j G V 8 w + N s 8 G I Q 8 e z 5 s w H 8 N 5 N 5 E n D 4 5 P w h 4 N H x a 5 m 8 v 5 P y / c G F i P j x W M Y Z 2 K c H w / H f 3 r 5 K e Z K + v c q z D 4 P p + O 2 Z D H I 1 V v p W z E Z n b 7 / 7 y + J s f P H 2 u 5 P F O E 8 S + P y W b 2 U C r W G w X L S m P 3 6 I 0 o f h 4 d E g z q P o a J A l O T 8 8 K l b T s l z M 1 p y r 5 R a r / P j m E j 5 / M W x Z D Y / + K e L w x V A b D 9 9 9 e n P G M v b O j P i H 4 T S R G 5 n B K f z I W Q h b G M J 4 c 3 Y H 2 z M t 5 v M D d P K j w R t j N o q i W c A i l q Q v 1 J L f H V Y z j N c s X s E E 8 8 c t r 0 e f J y x O l z L Z j G W U b 2 L V m B 4 g y z n 6 + H E o w i E c B F g M M v 6 Q f T o a f B y y d L K E j f C y I Y S / 6 4 Y t T 4 Q M 9 V z t P o E + + + B x L M N u 4 2 j H E 7 b i Z y L K l Y O c s y Q W 8 Q r m h 1 P P / v r n Y z W i N j x l q Q i M 9 U w 5 E G V z P p 2 V s 8 T 5 5 o 4 n u m k s 0 2 y y v O U 7 H u e 8 2 / O M b x M e C K b W M N q A j 4 g P + u / w O T g l / K X z d J 0 j x K E 9 y K V H b 7 V / H v b s z 1 j h O z S N N 5 e j H R N R J s d y M 8 t k 8 H 4 t o + K J t k c 7 P 7 2 c 4 5 + e j Z D P z Z O 5 A E 8 5 / 0 8 u s k c w 4 L D M 7 I b D y c 7 Z Q 7 f P S y b i S T x j E Z 8 s T / N U x D x F 1 m F b Q Z 7 I E x g b s e I x n E 2 k j j b c i F i k W Q K H u + P n D 1 s e p 8 g j f Z n I N A W / X g r k v M u 1 k 7 1 b B j c y n o C L w 4 z x i j Y u H n N f u 3 u s a x H L x D p d 5 M D g w K m Z q i Z 4 + h s Z u x 3 A M o 5 h M b n M U 7 M w G b v M l Q u Y L r A F e C J n I g 2 K f / O w G s F 7 g K o H t L d 3 7 x g E / h / l I f S H 8 1 S z J z K K 4 F 9 9 5 + Z + U m B i P 5 6 m O e k s N 5 B P W S Q + Q G g S 0 V N b V D O 3 4 7 e a l J z G W h a + + s q A z H O T b M 2 T l w y C i G j r 2 a m 2 a Z 6 Q Z Y + c u e 7 Q 3 h p l l 8 f g q N O E L z l U j F A 7 7 5 n Y i Z D H Y b c H 2 G X s g T q K W w 4 + E Q B c C H s y f 2 1 o Z 3 D M L u U s C d b K 3 W G s S G 7 x T D 7 j 2 g 3 B 7 J o l 7 7 n z g R p b P L V h i 5 h t 1 Q I j E 7 V Q J V b Y W U I u P l 8 u A X F N l q / i P M 2 h A 9 S d F P E 5 s I Q M u R M p O h u 0 3 k L F u p D J m E U B 2 l 9 m L K I f q m 5 u u c o o L U A Y R x 6 p t i e f l G 5 t b a j P B P B j k S R e S h n e i y j q 9 n k N + Q Y q z 9 K R a u r 8 1 p M i 6 S K J F I X N l o l E O d F k O W Z b A S s f p S n H E h c e E o i h j T r c r Z M l N A J A F A A K 0 1 5 4 o q P T O B / p d t o I f A Z r g + g B e B p k U N y L 2 O A w R h K P A j i k V O D L t X H B d H q O H Y t x X f D Q M 5 n f Z c s 8 G g W B z G P s E G c K J Q u e w u y v G b q B W 9 g 7 t F 5 B e o R V X n D K x j j 8 L N 8 C O F Q H x h C 3 m o v g P U 8 a e P d T D c 4 v o b + K g c H P k F R q d D 4 K w w K X H 7 T w + 9 F g q C 2 P B p w F 6 4 G C 4 M f q g 4 M 3 J S I H 5 G 8 t o Z 7 p l s s E s i o M V I x s M Q 3 T Z D 4 / a K / q y D A A G / S X q 2 j i / T b E d 6 B 6 H M f b y L 0 D 1 Z 8 C z v e F 4 x Q A b 0 J u D 4 x d o u o a R / s h Z w o r U + j Y A w + 3 E D C C e X t Q b h f X u p E s i l 0 b a L U H n / Y i 0 i d g 0 C e i z r 1 w J o o s f b E k h h 4 x v I g B R A Q S Y i C w C f t w o O c B 7 W g w 5 w P f 2 o D N A d F o U E b D M D f w 8 o B a F L h y w K k 2 f k I Q U w c i 9 Y O i N g x C g Y 8 f 1 L H B j Q + c c Q M Y J 2 R x g J Q 2 L N k H i B D Q o w k 2 / O A F A i j 6 I A Q G G n C Y 4 A A G J R T 4 d P j 8 m Y j p u m x r o 6 c w b x z w U m n 8 o s K o P b d D F b X N C E n U N v l c e m h 3 2 t + Q G G o 8 b 8 o e 1 f o Q B G 8 M I D 9 y s S N t 8 k 0 e w V p 6 G C 2 A T R 0 a L J o y A X X G R D R i G E X y X h 0 6 E i T O l e j c 8 C O P Q u i o w s 4 4 G 2 K p 4 J Q a x B g a o C N Q k T c X k Q o 8 F Z O Q k C C A d a g h l m Z D V 5 y l f H I X i R V F 2 4 y h T l x Y a 6 r K j f p D p c Q d r I + Y L l 2 3 j K D b b A 2 B N e f J 5 j L e Q Z a i l l r D I W d j k Z M x k 7 j I g B r f g g O v E l R r N U 8 A n h 7 E R 0 g z 9 9 K O I K S m G T 9 g 0 v y M 3 y H P 3 m r U p 7 z X k F e C 3 Y m I 8 B R j U + V 4 Q n t O r w A m 8 / R G Z i N d 5 j V 0 y q A B D o h 8 H U H r C W U L b M Y A r b K 8 U a e p c b p P Q B W A H q P C K s j m 8 p p l m h + 4 w q c o s Q q 4 U E m m r P g O A + X J P C Q T R u 3 q I r 4 Q M a Q O Q Y s b V l x o W L Z T m Q a x U / W 2 N + S 1 3 2 C f y 3 i l g t D X v U p 7 3 G X t 1 j 1 8 t u x W A q t y 3 7 S l y 3 W v W b A G H 0 0 e L 3 J w U n j w X I 1 L q J J e u j q + W W h A X Q 4 + n / c 4 N r C J K r o L b O i M 1 6 6 5 B n i e f S B + e R 0 8 m D 6 V Q N l g y W N B 7 m + 0 i o l Y q Z j t S X + 2 z a l M E n m P J w n b z r k L b V i 4 x S j 8 J S f L h G d C K a m c z z Z q s / 4 V k h m h a E 0 k A B 9 H d / f T 0 T j f q 1 i a Z T h a V C L p K 3 F T + F y h H 5 O m p 8 B B I e 2 L R K e W U + C J S 5 F N A W u m J G q p G U + V b y d 5 l g L v c d Z q 6 A Y 0 K q T F X v o Y n S e o S Z A I d G J O 1 1 h 7 X 1 H T k X G Z p j k m z t t a D b W 1 M i G c A i f 5 i U W k i k / t X T e a d E r K 2 N o I z 1 U F 2 d a L 0 7 W y P + 3 p H p b n e 7 2 D 1 J 3 6 4 6 t l 9 q R Z X I U a 6 E v I K / 8 1 r l / P 1 + 2 g 6 C I 8 e b J u 7 5 O s W 7 b k W 5 v z z T a S j 5 y b i E J G u l A 6 z J q H C j g R + C D O Z I K 4 W 7 d g + F c i X V r 6 z U 2 W G F l Z I k G z B B J v 7 B 4 A G V B B F i G t 6 l l o p B 7 g Q N 2 H b V T Y C g O E 4 U p p I X q D p E N 0 j 4 V 8 j o q E 8 E R N N m V b r H B a Z Z g m s J U s R F o A A + R i Z Z Y V P G q K H h U y v q s y W g V D x L B r q W g v T 1 m m t E U E Y E E i n C z H s G H s d g j E p t j k G / P s n W F Q 1 w A n q m i K Y 1 g o A 3 j M + 7 B J Z Y U P 8 i q G d i 0 a K 1 q j W A 3 y A M B h o Q a Y r R k H d j m G D y 8 x s K S I U 7 r + O 4 u 6 j k f X J J 6 R f g Y B t 9 N v Q i C 2 Q m D E z s e 3 D z u 5 j P U u f o K / A 9 h O X y m 1 u 6 g 1 1 z x b S 6 R k W l M r g r Y s x A 1 X h m 6 c u x u / W D n K D S g s c E k X G + v p W X F W K T / Y A / u m X 3 B 2 l D p c m 3 O o c Q 7 9 z V 9 x c 2 l s b l X N p a M 5 l L O 2 V k a r Y / v p Y S 0 F D N W 8 a J W L 1 r U 6 S l a v d t V S q 3 z 1 K V y R Q j W o P V Q n W 2 f y U Z Y c W p K t H r n 0 I k w h Q j Q h R A X q 0 X 1 o p Y f Q d m o 1 p 1 + / a S s 2 3 h q N S 5 X B d Z g e 5 Q X T W i x 1 p d Z T U A W l V z P x U 0 m c u g i l h O D a B 6 1 2 O P Q N W t E g N Q x S t X D r F G 1 l A t E i M P X B q T f Y C o N b U 3 i K i u C t G 3 S U g q Y 2 0 F I D u v w f Y / w t j o + z e p T H t 5 g 7 w d U b 7 N y H j 3 s y c J J z 7 8 2 y E V 7 t w a S 7 3 N n N l m l + j D H i D g d u s F 4 X z + 1 l t k / k s m 3 2 2 u G r C E P t c F K K h T p 5 J 8 I 0 C W 6 J s U l v / t j L G N s c 0 c k K S R 7 Y Z X 4 U 1 + u w O 5 z P k Q y u j 7 N h L A 3 j Z Q g T I 7 l X H 9 t C + N W e j M q H Q z l Z k 4 M n E c z I h w s 9 5 U 6 H j g 4 Y 4 0 v f 5 y j n d d z l K E 2 I e x x l 8 + e 6 w 9 G c 7 j d 0 f 0 N 5 V n 1 J q r i u N O z e Y O C Q F G N d T N I 1 Z G H i / r M p N d q X Q w 0 z M Z v i J J t 3 G 0 3 U Q e I F X r G j B F y 0 a x G d T + p a 3 W l z d t U P 8 j I 2 K Y q U A S 0 7 K 6 B p O 7 U k + 9 6 V 6 2 s G Z R + f V 3 2 Y r V s X t z v 0 C u 7 G u P c Y S B D q 6 O J W h U o z 5 y u l 0 s h v H 2 n 1 W D 0 G T Y t n h j T X z F / B V J V x n U Z w N I S k W J a r i t D S J k R j z 7 3 z n i 7 N a + d d 4 x K W F 0 q A f e X S o Z O W V 1 G h Y O h z V P d N z Y k i x o U w Q + e Y K l P U K b 5 j k n B O t 5 b I Z B L X q 3 Z d P 6 n t + 7 4 W a s k Q I r R D W x U d z L x U K P y s T Z q j d 1 Y 6 X 3 X V l V D d a 7 v + y y K 0 Q 9 t W t E c D o y k P b A o F e s 1 S r i Q 1 h q U O s P U K J b B r Y e b S t e i 3 C D 7 f Q C W u 2 1 O j l c 7 j s 6 9 y M + V B U U c P p n 6 n r 7 6 I o f J 1 H Q 7 U l 5 x K y 9 q B q N g r d B 6 f 7 T Q p A r 3 K q s D S T l u Z W B I j Y q W L m R J u K 3 h r B I h i N 4 J I z Z U Q A 6 3 E N / B 8 9 6 K J J A 9 1 1 t O m k 6 3 + p t C D Y n 4 p V r X L k 3 T l j N r G d b u q t k I v N g F w K P y K c i s w q E Z w 5 4 a + H F e 0 u 9 b q + P q b n v M U V h F C n C s w Q J S Z L o 3 0 T d Z 2 + a J 9 j r z N 7 w N p H S g N J r Q I v n A A u f 4 7 j b U l e Z m g N H E O U y f U c m n 4 y t w 3 r 9 t F k L p f V 8 m T 7 u x V 6 z o t a Y n + 4 r H f w A 0 z u i p p 1 4 A 4 t r + C 5 U 9 B W h 3 9 C U i r o x f 9 q B y q Q K g Q O h e X f U n M / a S b t v Q h V a 8 Q W B y W 3 8 q R S / I C i v 5 C W R l I v U X E z n u O 8 P u 2 X 9 k S 5 J y k 4 z g B 3 4 t y 7 0 W y 9 6 L V N J G m q b M f W X b T Y w 9 C 3 E O B E d L r R X N J Y k t Q W Z q 8 9 t D V D k E l K C l B Q l H a 2 S K a X t S y h 0 x 6 0 s c e w o h Q R J Q U t m l g P / F z U b 1 e c t d H 5 1 A C R 1 O 2 L k m j a B l F x N z U i y Z b f v S K + J K 0 g 0 L 1 k S Y n T X I Q I x c V c p E f k u 4 4 C Q 5 K a S g S 4 0 9 b U K J C U x M f M o L T D 4 p w d C g G Q i p c N K J L H D C q 0 C A H N B 3 Y h w B Q k N 8 J 8 t 2 w H g X y L u i O g n U c n j s A e R u C E 6 D b B b N 9 g D U J p U n w v A d c 3 g M g 7 w G J K R D s h r 0 0 0 O 2 D t r 1 g l o S v T 3 n L d s 0 z p o r E l 3 7 L V s 7 r e M t W m h B v 2 c r m z / W W r T n d V 3 v L t o R z m I s N L 0 M I 4 S X 3 / A 7 Q R / d 9 G h w D 5 H k d / 8 2 G F B C N T D o f R 1 D T y p w 5 y z c b h n R F X / i F E K J z W d 1 / 0 Y 3 W z 1 x l 9 D d O + J 3 I Q k R g l m X o X U P 1 F L p k t 0 d N i i s P L x N 5 n 6 2 p W T U 2 U x e V W M L p M R w W 1 S j d N S Y c U n U 8 i a t I b f f d 6 t + O o X e w q n 9 g p m p m 8 W N x M A a d k t t b G k C 5 R E W l c m 3 k M 4 H P g / e 3 K r s j j Y G J T 6 J Z 2 q g D n x 9 q x 0 7 I P B 1 H M s W O N T T Z 8 d Z y J 6 T 5 Z 8 G j E G n n D 2 V 6 b f t j B q F S n A 9 k Z s V s R 7 v V W c 9 o d 1 y D 4 s 6 j T 5 h Q P 3 q i C 1 3 n + G V y z 5 I Q b W P F r y D 9 p O K d n 3 w X s k c k a J d i m T 3 O 7 + V r z t 9 f 6 S P s T G F Z / C h W m B N s E x H w u V S F I J 2 b 5 Z 5 8 f w 0 p e Y 0 5 X L m j U R z n E J H u Z 4 A b U 2 e 4 0 T 8 a A 0 i m u 1 N d W f Q V v a z 4 z Y + u y Z 1 1 U Y 7 Y o 7 p L h 7 R G L M 0 u o G a z S D 3 s 8 z h E n S G G 9 N V v t d G 3 D w P w / H / l D O B X g l p t + Y o K D F Q g s m t v o 0 L Y Z b f o q R a X o p W 3 9 c s u V c m B E p z p W n 4 r 7 6 1 S N u M R p H j 1 2 U E x h B G Z D t 7 U I s 8 7 s B 6 C s w w P I e m E 0 G T / b s 6 7 w d / / o U v w Y V 3 e I B X l 2 8 5 U + t O D 9 k o a p 1 G r T e q U 6 o s j i 2 u h o K V e 2 Z V I s 2 P 4 d 1 P 9 M g c c 6 W v 4 d b 2 p B 9 B y g D U A e + g d Y D / J r r H p p 0 t 2 M w 3 n 2 0 8 J P k Q k O u v k J g q p H Y / S g O v A 0 Z s 3 K 2 g 3 N R 3 N n q / r Z / v 5 2 C 3 f S E C 5 A 8 0 K u 5 J j 4 W u l 4 m j c 7 W O N P T v j n O X b S A T q s m A 9 C M B u K C i B O g 5 8 O r + j R K Z w n q f f o U 1 V B t J Q 8 O V s O v 4 f I u P v S 2 R c c A Q 1 b Y m R V + k 2 W G z L h T h Q s k a r J w R G L h o / F 0 K 2 p / o y + B h J s F W J W I Q Y N A W s E i O Z e o 3 X 0 w g t x A E B Y n a 6 w H e r G Q t / o b o g A H 8 K j 3 B B 3 a N T x W h R g D k c i M U L P d U i F P p X y l A L t V n K A M D J Q i 4 X 9 4 A x H M e 6 e C y S j r V R z 8 L W j J 0 F o D E F N 9 A Y a p p 6 l Z 2 y u N X p R h c Y N U t 5 Z n V x M D 9 O q W u g d a 7 d M m G O x 0 p d U B E U X w Y 2 J T f + d S J 6 H J g 5 B 8 3 l F J e W j 6 f y n i c H J 4 M / D t 5 U K 3 5 3 d P L 9 4 e B P g 5 P G 8 T b m x 4 9 3 f v P v r 5 O Z s v j h 9 8 T 0 e 2 L 6 / 0 1 M E D m e e Q k s f w 1 p y d 5 f Y x n E / v Q a v l J y 0 H P / n h + + r f w Q W r 9 e 2 h 4 o B W S O q m X F W 7 2 F i A t v w Z S A 3 1 b a K U L D M / N o 4 1 9 D 8 v n 1 Y y I z / m W 8 L L 6 4 9 n U y H 9 u t q h V 8 q 1 m v M D l B E o 1 1 O K 0 g R A Q D 5 J a T a q g v O T X v V d X z t l 9 8 N Y f 7 4 b 9 Q S w E C L Q A U A A I A C A C v c R p Z L d 7 R F q Q A A A D 2 A A A A E g A A A A A A A A A A A A A A A A A A A A A A Q 2 9 u Z m l n L 1 B h Y 2 t h Z 2 U u e G 1 s U E s B A i 0 A F A A C A A g A r 3 E a W Q / K 6 a u k A A A A 6 Q A A A B M A A A A A A A A A A A A A A A A A 8 A A A A F t D b 2 5 0 Z W 5 0 X 1 R 5 c G V z X S 5 4 b W x Q S w E C L Q A U A A I A C A C v c R p Z v t f p 9 T o R A A B e b Q A A E w A A A A A A A A A A A A A A A A D h A Q A A R m 9 y b X V s Y X M v U 2 V j d G l v b j E u b V B L B Q Y A A A A A A w A D A M I A A A B o E 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i Q E A A A A A A D i J 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m N v b W V T d G F 0 Z W 1 l b n Q 8 L 0 l 0 Z W 1 Q Y X R o P j w v S X R l b U x v Y 2 F 0 a W 9 u P j x T d G F i b G V F b n R y a W V z P j x F b n R y e S B U e X B l P S J J c 1 B y a X Z h d G U i I F Z h b H V l P S J s M C I g L z 4 8 R W 5 0 c n k g V H l w Z T 0 i U X V l c n l J R C I g V m F s d W U 9 I n M y Y z B h N G V l Z S 0 2 Z D F h L T Q 4 N m I t O T Z m Z C 0 y M j J h M T c x Y W M z Z 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Y 2 9 t Z V N 0 Y X R l b W V u d C I g L z 4 8 R W 5 0 c n k g V H l w Z T 0 i R m l s b G V k Q 2 9 t c G x l d G V S Z X N 1 b H R U b 1 d v c m t z a G V l d C I g V m F s d W U 9 I m w x I i A v P j x F b n R y e S B U e X B l P S J G a W x s T G F z d F V w Z G F 0 Z W Q i I F Z h b H V l P S J k M j A y N C 0 w O C 0 y N l Q x O D o x M z o y N S 4 z M z U w O D I 2 W i I g L z 4 8 R W 5 0 c n k g V H l w Z T 0 i R m l s b E N v b H V t b l R 5 c G V z I i B W Y W x 1 Z T 0 i c 0 J n a 0 R C Z 1 l E Q X d V R E F 3 T U R C U U 1 E Q X d N R E F 3 T U R B d 0 1 E Q X d N R E F 3 T U R B d 0 1 E Q X d N R k F 3 T U R B d 0 1 E Q X d N R E F 3 T U R B d 0 1 E Q l F N R k F 3 T U R B d 0 1 E Q X d B Q U F 3 T U R B d 0 1 E Q X d B Q U F 3 T U R B Q U 1 E Q X d Z P S I g L z 4 8 R W 5 0 c n k g V H l w Z T 0 i R m l s b E N v b H V t b k 5 h b W V z I i B W Y W x 1 Z T 0 i c 1 s m c X V v d D t p Z C Z x d W 9 0 O y w m c X V v d D t h c 0 9 m R G F 0 Z S Z x d W 9 0 O y w m c X V v d D t Z Z W F y J n F 1 b 3 Q 7 L C Z x d W 9 0 O 3 B l c m l v Z F R 5 c G U m c X V v d D s s J n F 1 b 3 Q 7 Y 3 V y c m V u Y 3 l D b 2 R l J n F 1 b 3 Q 7 L C Z x d W 9 0 O 0 F 2 Z X J h Z 2 V E a W x 1 d G l v b k V h c m 5 p b m d z J n F 1 b 3 Q 7 L C Z x d W 9 0 O 0 J h c 2 l j Q X Z l c m F n Z V N o Y X J l c y Z x d W 9 0 O y w m c X V v d D t C Y X N p Y 0 V Q U y Z x d W 9 0 O y w m c X V v d D t D b 3 N 0 T 2 Z S Z X Z l b n V l J n F 1 b 3 Q 7 L C Z x d W 9 0 O 0 R l c H J l Y 2 l h d G l v b k F t b 3 J 0 a X p h d G l v b k R l c G x l d G l v b k l u Y 2 9 t Z V N 0 Y X R l b W V u d C Z x d W 9 0 O y w m c X V v d D t E Z X B y Z W N p Y X R p b 2 5 B b m R B b W 9 y d G l 6 Y X R p b 2 5 J b k l u Y 2 9 t Z V N 0 Y X R l b W V u d C Z x d W 9 0 O y w m c X V v d D t E a W x 1 d G V k Q X Z l c m F n Z V N o Y X J l c y Z x d W 9 0 O y w m c X V v d D t E a W x 1 d G V k R V B T J n F 1 b 3 Q 7 L C Z x d W 9 0 O 0 R p b H V 0 Z W R O S U F 2 Y W l s d G 9 D b 2 1 T d G 9 j a 2 h v b G R l c n M m c X V v d D s s J n F 1 b 3 Q 7 R U J J V C Z x d W 9 0 O y w m c X V v d D t F Q k l U R E E m c X V v d D s s J n F 1 b 3 Q 7 R W F y b m l u Z 3 N G c m 9 t R X F 1 a X R 5 S W 5 0 Z X J l c 3 R O Z X R P Z l R h e C Z x d W 9 0 O y w m c X V v d D t H Y W l u T 2 5 T Y W x l T 2 Z C d X N p b m V z c y Z x d W 9 0 O y w m c X V v d D t H Y W l u T 2 5 T Y W x l T 2 Z T Z W N 1 c m l 0 e S Z x d W 9 0 O y w m c X V v d D t H Z W 5 l c m F s Q W 5 k Q W R t a W 5 p c 3 R y Y X R p d m V F e H B l b n N l J n F 1 b 3 Q 7 L C Z x d W 9 0 O 0 d y b 3 N z U H J v Z m l 0 J n F 1 b 3 Q 7 L C Z x d W 9 0 O 0 l u d G V y Z X N 0 R X h w Z W 5 z Z S Z x d W 9 0 O y w m c X V v d D t J b n R l c m V z d E V 4 c G V u c 2 V O b 2 5 P c G V y Y X R p b m c m c X V v d D s s J n F 1 b 3 Q 7 S W 5 0 Z X J l c 3 R J b m N v b W U m c X V v d D s s J n F 1 b 3 Q 7 S W 5 0 Z X J l c 3 R J b m N v b W V O b 2 5 P c G V y Y X R p b m c m c X V v d D s s J n F 1 b 3 Q 7 T W l u b 3 J p d H l J b n R l c m V z d H M m c X V v d D s s J n F 1 b 3 Q 7 T m V 0 S W 5 j b 2 1 l J n F 1 b 3 Q 7 L C Z x d W 9 0 O 0 5 l d E l u Y 2 9 t Z U N v b W 1 v b l N 0 b 2 N r a G 9 s Z G V y c y Z x d W 9 0 O y w m c X V v d D t O Z X R J b m N v b W V D b 2 5 0 a W 5 1 b 3 V z T 3 B l c m F 0 a W 9 u c y Z x d W 9 0 O y w m c X V v d D t O Z X R J b m N v b W V G c m 9 t Q 2 9 u d G l u d W l u Z 0 F u Z E R p c 2 N v b n R p b n V l Z E 9 w Z X J h d G l v b i Z x d W 9 0 O y w m c X V v d D t O Z X R J b m N v b W V G c m 9 t Q 2 9 u d G l u d W l u Z 0 9 w Z X J h d G l v b k 5 l d E 1 p b m 9 y a X R 5 S W 5 0 Z X J l c 3 Q m c X V v d D s s J n F 1 b 3 Q 7 T m V 0 S W 5 j b 2 1 l S W 5 j b H V k a W 5 n T m 9 u Y 2 9 u d H J v b G x p b m d J b n R l c m V z d H M m c X V v d D s s J n F 1 b 3 Q 7 T m V 0 S W 5 0 Z X J l c 3 R J b m N v b W U m c X V v d D s s J n F 1 b 3 Q 7 T m V 0 T m 9 u T 3 B l c m F 0 a W 5 n S W 5 0 Z X J l c 3 R J b m N v b W V F e H B l b n N l J n F 1 b 3 Q 7 L C Z x d W 9 0 O 0 5 v c m 1 h b G l 6 Z W R F Q k l U R E E m c X V v d D s s J n F 1 b 3 Q 7 T m 9 y b W F s a X p l Z E l u Y 2 9 t Z S Z x d W 9 0 O y w m c X V v d D t P c G V y Y X R p b m d F e H B l b n N l J n F 1 b 3 Q 7 L C Z x d W 9 0 O 0 9 w Z X J h d G l u Z 0 l u Y 2 9 t Z S Z x d W 9 0 O y w m c X V v d D t P c G V y Y X R p b m d S Z X Z l b n V l J n F 1 b 3 Q 7 L C Z x d W 9 0 O 0 9 0 a G V y R 2 F u Z E E m c X V v d D s s J n F 1 b 3 Q 7 T 3 R o Z X J J b m N v b W V F e H B l b n N l J n F 1 b 3 Q 7 L C Z x d W 9 0 O 0 9 0 a G V y T m 9 u T 3 B l c m F 0 a W 5 n S W 5 j b 2 1 l R X h w Z W 5 z Z X M m c X V v d D s s J n F 1 b 3 Q 7 T 3 R o Z X J P c G V y Y X R p b m d F e H B l b n N l c y Z x d W 9 0 O y w m c X V v d D t P d G h l c n V u Z G V y U H J l Z m V y c m V k U 3 R v Y 2 t E a X Z p Z G V u Z C Z x d W 9 0 O y w m c X V v d D t Q c m V 0 Y X h J b m N v b W U m c X V v d D s s J n F 1 b 3 Q 7 U m V j b 2 5 j a W x l Z E N v c 3 R P Z l J l d m V u d W U m c X V v d D s s J n F 1 b 3 Q 7 U m V j b 2 5 j a W x l Z E R l c H J l Y 2 l h d G l v b i Z x d W 9 0 O y w m c X V v d D t S Z X N l Y X J j a E F u Z E R l d m V s b 3 B t Z W 5 0 J n F 1 b 3 Q 7 L C Z x d W 9 0 O 1 N l b G x p b m d B b m R N Y X J r Z X R p b m d F e H B l b n N l J n F 1 b 3 Q 7 L C Z x d W 9 0 O 1 N l b G x p b m d H Z W 5 l c m F s Q W 5 k Q W R t a W 5 p c 3 R y Y X R p b 2 4 m c X V v d D s s J n F 1 b 3 Q 7 U 3 B l Y 2 l h b E l u Y 2 9 t Z U N o Y X J n Z X M m c X V v d D s s J n F 1 b 3 Q 7 V G F 4 R W Z m Z W N 0 T 2 Z V b n V z d W F s S X R l b X M m c X V v d D s s J n F 1 b 3 Q 7 V G F 4 U H J v d m l z a W 9 u J n F 1 b 3 Q 7 L C Z x d W 9 0 O 1 R h e F J h d G V G b 3 J D Y W x j c y Z x d W 9 0 O y w m c X V v d D t U b 3 R h b E V 4 c G V u c 2 V z J n F 1 b 3 Q 7 L C Z x d W 9 0 O 1 R v d G F s T 3 B l c m F 0 a W 5 n S W 5 j b 2 1 l Q X N S Z X B v c n R l Z C Z x d W 9 0 O y w m c X V v d D t U b 3 R h b F J l d m V u d W U m c X V v d D s s J n F 1 b 3 Q 7 V G 9 0 Y W x V b n V z d W F s S X R l b X M m c X V v d D s s J n F 1 b 3 Q 7 V G 9 0 Y W x V b n V z d W F s S X R l b X N F e G N s d W R p b m d H b 2 9 k d 2 l s b C Z x d W 9 0 O y w m c X V v d D t X c m l 0 Z U 9 m Z i Z x d W 9 0 O y w m c X V v d D t O Z X R J b m N v b W V E a X N j b 2 5 0 a W 5 1 b 3 V z T 3 B l c m F 0 a W 9 u c y Z x d W 9 0 O y w m c X V v d D t T Z W N 1 c m l 0 a W V z Q W 1 v c n R p e m F 0 a W 9 u J n F 1 b 3 Q 7 L C Z x d W 9 0 O 1 R v d G F s T 3 R o Z X J G a W 5 h b m N l Q 2 9 z d C Z x d W 9 0 O y w m c X V v d D t F Y X J u a W 5 n c 0 Z y b 2 1 F c X V p d H l J b n R l c m V z d C Z x d W 9 0 O y w m c X V v d D t J b X B h a X J t Z W 5 0 T 2 Z D Y X B p d G F s Q X N z Z X R z J n F 1 b 3 Q 7 L C Z x d W 9 0 O 1 B y Z W Z l c n J l Z F N 0 b 2 N r R G l 2 a W R l b m R z J n F 1 b 3 Q 7 L C Z x d W 9 0 O 0 F t b 3 J 0 a X p h d G l v b i Z x d W 9 0 O y w m c X V v d D t B b W 9 y d G l 6 Y X R p b 2 5 P Z k l u d G F u Z 2 l i b G V z S W 5 j b 2 1 l U 3 R h d G V t Z W 5 0 J n F 1 b 3 Q 7 L C Z x d W 9 0 O 0 9 0 a G V y U 3 B l Y 2 l h b E N o Y X J n Z X M m c X V v d D s s J n F 1 b 3 Q 7 T 3 R o Z X J U Y X h l c y Z x d W 9 0 O y w m c X V v d D t E Z X B s Z X R p b 2 5 J b m N v b W V T d G F 0 Z W 1 l b n Q m c X V v d D s s J n F 1 b 3 Q 7 R G V w c m V j a W F 0 a W 9 u S W 5 j b 2 1 l U 3 R h d G V t Z W 5 0 J n F 1 b 3 Q 7 L C Z x d W 9 0 O 1 J l c 3 R y d W N 0 d X J p b m d B b m R N Z X J n Z X J u Q W N x d W l z a X R p b 2 4 m c X V v d D s s J n F 1 b 3 Q 7 R 2 F p b k 9 u U 2 F s Z U 9 m U F B F J n F 1 b 3 Q 7 L C Z x d W 9 0 O 1 B y b 3 Z p c 2 l v b k Z v c k R v d W J 0 Z n V s Q W N j b 3 V u d H M m c X V v d D s s J n F 1 b 3 Q 7 Y X N P Z l l l Y X I m c X V v d D s s J n F 1 b 3 Q 7 U 2 F s Y X J p Z X N B b m R X Y W d l c y Z x d W 9 0 O y w m c X V v d D t S Z W 5 0 Q W 5 k T G F u Z G l u Z 0 Z l Z X M m c X V v d D s s J n F 1 b 3 Q 7 U m V u d E V 4 c G V u c 2 V T d X B w b G V t Z W 5 0 Y W w m c X V v d D s s J n F 1 b 3 Q 7 V G l j a 2 V y J n F 1 b 3 Q 7 X S I g L z 4 8 R W 5 0 c n k g V H l w Z T 0 i R m l s b F N 0 Y X R 1 c y I g V m F s d W U 9 I n N D b 2 1 w b G V 0 Z S I g L z 4 8 R W 5 0 c n k g V H l w Z T 0 i R m l s b E V y c m 9 y Q 2 9 1 b n Q i I F Z h b H V l P S J s M C I g L z 4 8 R W 5 0 c n k g V H l w Z T 0 i U m V s Y X R p b 2 5 z a G l w S W 5 m b 0 N v b n R h a W 5 l c i I g V m F s d W U 9 I n N 7 J n F 1 b 3 Q 7 Y 2 9 s d W 1 u Q 2 9 1 b n Q m c X V v d D s 6 O D A s J n F 1 b 3 Q 7 a 2 V 5 Q 2 9 s d W 1 u T m F t Z X M m c X V v d D s 6 W 1 0 s J n F 1 b 3 Q 7 c X V l c n l S Z W x h d G l v b n N o a X B z J n F 1 b 3 Q 7 O l t d L C Z x d W 9 0 O 2 N v b H V t b k l k Z W 5 0 a X R p Z X M m c X V v d D s 6 W y Z x d W 9 0 O 1 N l Y 3 R p b 2 4 x L 0 l u Y 2 9 t Z V N 0 Y X R l b W V u d C 9 D a G F u Z 2 V k I F R 5 c G U u e 2 l k L D B 9 J n F 1 b 3 Q 7 L C Z x d W 9 0 O 1 N l Y 3 R p b 2 4 x L 0 l u Y 2 9 t Z V N 0 Y X R l b W V u d C 9 D a G F u Z 2 V k I F R 5 c G U u e 2 F z T 2 Z E Y X R l L D F 9 J n F 1 b 3 Q 7 L C Z x d W 9 0 O 1 N l Y 3 R p b 2 4 x L 0 l u Y 2 9 t Z V N 0 Y X R l b W V u d C 9 J b n N l c n R l Z C B Z Z W F y L n t Z Z W F y L D c 5 f S Z x d W 9 0 O y w m c X V v d D t T Z W N 0 a W 9 u M S 9 J b m N v b W V T d G F 0 Z W 1 l b n Q v Q 2 h h b m d l Z C B U e X B l L n t w Z X J p b 2 R U e X B l L D J 9 J n F 1 b 3 Q 7 L C Z x d W 9 0 O 1 N l Y 3 R p b 2 4 x L 0 l u Y 2 9 t Z V N 0 Y X R l b W V u d C 9 D a G F u Z 2 V k I F R 5 c G U u e 2 N 1 c n J l b m N 5 Q 2 9 k Z S w z f S Z x d W 9 0 O y w m c X V v d D t T Z W N 0 a W 9 u M S 9 J b m N v b W V T d G F 0 Z W 1 l b n Q v Q 2 h h b m d l Z C B U e X B l L n t B d m V y Y W d l R G l s d X R p b 2 5 F Y X J u a W 5 n c y w 2 M 3 0 m c X V v d D s s J n F 1 b 3 Q 7 U 2 V j d G l v b j E v S W 5 j b 2 1 l U 3 R h d G V t Z W 5 0 L 0 N o Y W 5 n Z W Q g V H l w Z S 5 7 Q m F z a W N B d m V y Y W d l U 2 h h c m V z L D R 9 J n F 1 b 3 Q 7 L C Z x d W 9 0 O 1 N l Y 3 R p b 2 4 x L 0 l u Y 2 9 t Z V N 0 Y X R l b W V u d C 9 D a G F u Z 2 V k I F R 5 c G U u e 0 J h c 2 l j R V B T L D V 9 J n F 1 b 3 Q 7 L C Z x d W 9 0 O 1 N l Y 3 R p b 2 4 x L 0 l u Y 2 9 t Z V N 0 Y X R l b W V u d C 9 D a G F u Z 2 V k I F R 5 c G U u e 0 N v c 3 R P Z l J l d m V u d W U s N n 0 m c X V v d D s s J n F 1 b 3 Q 7 U 2 V j d G l v b j E v S W 5 j b 2 1 l U 3 R h d G V t Z W 5 0 L 0 N o Y W 5 n Z W Q g V H l w Z S 5 7 R G V w c m V j a W F 0 a W 9 u Q W 1 v c n R p e m F 0 a W 9 u R G V w b G V 0 a W 9 u S W 5 j b 2 1 l U 3 R h d G V t Z W 5 0 L D Y 0 f S Z x d W 9 0 O y w m c X V v d D t T Z W N 0 a W 9 u M S 9 J b m N v b W V T d G F 0 Z W 1 l b n Q v Q 2 h h b m d l Z C B U e X B l L n t E Z X B y Z W N p Y X R p b 2 5 B b m R B b W 9 y d G l 6 Y X R p b 2 5 J b k l u Y 2 9 t Z V N 0 Y X R l b W V u d C w 2 N X 0 m c X V v d D s s J n F 1 b 3 Q 7 U 2 V j d G l v b j E v S W 5 j b 2 1 l U 3 R h d G V t Z W 5 0 L 0 N o Y W 5 n Z W Q g V H l w Z S 5 7 R G l s d X R l Z E F 2 Z X J h Z 2 V T a G F y Z X M s N 3 0 m c X V v d D s s J n F 1 b 3 Q 7 U 2 V j d G l v b j E v S W 5 j b 2 1 l U 3 R h d G V t Z W 5 0 L 0 N o Y W 5 n Z W Q g V H l w Z S 5 7 R G l s d X R l Z E V Q U y w 4 f S Z x d W 9 0 O y w m c X V v d D t T Z W N 0 a W 9 u M S 9 J b m N v b W V T d G F 0 Z W 1 l b n Q v Q 2 h h b m d l Z C B U e X B l L n t E a W x 1 d G V k T k l B d m F p b H R v Q 2 9 t U 3 R v Y 2 t o b 2 x k Z X J z L D l 9 J n F 1 b 3 Q 7 L C Z x d W 9 0 O 1 N l Y 3 R p b 2 4 x L 0 l u Y 2 9 t Z V N 0 Y X R l b W V u d C 9 D a G F u Z 2 V k I F R 5 c G U u e 0 V C S V Q s M T B 9 J n F 1 b 3 Q 7 L C Z x d W 9 0 O 1 N l Y 3 R p b 2 4 x L 0 l u Y 2 9 t Z V N 0 Y X R l b W V u d C 9 D a G F u Z 2 V k I F R 5 c G U u e 0 V C S V R E Q S w x M X 0 m c X V v d D s s J n F 1 b 3 Q 7 U 2 V j d G l v b j E v S W 5 j b 2 1 l U 3 R h d G V t Z W 5 0 L 0 N o Y W 5 n Z W Q g V H l w Z S 5 7 R W F y b m l u Z 3 N G c m 9 t R X F 1 a X R 5 S W 5 0 Z X J l c 3 R O Z X R P Z l R h e C w 3 N n 0 m c X V v d D s s J n F 1 b 3 Q 7 U 2 V j d G l v b j E v S W 5 j b 2 1 l U 3 R h d G V t Z W 5 0 L 0 N o Y W 5 n Z W Q g V H l w Z S 5 7 R 2 F p b k 9 u U 2 F s Z U 9 m Q n V z a W 5 l c 3 M s N T R 9 J n F 1 b 3 Q 7 L C Z x d W 9 0 O 1 N l Y 3 R p b 2 4 x L 0 l u Y 2 9 t Z V N 0 Y X R l b W V u d C 9 D a G F u Z 2 V k I F R 5 c G U u e 0 d h a W 5 P b l N h b G V P Z l N l Y 3 V y a X R 5 L D Q 4 f S Z x d W 9 0 O y w m c X V v d D t T Z W N 0 a W 9 u M S 9 J b m N v b W V T d G F 0 Z W 1 l b n Q v Q 2 h h b m d l Z C B U e X B l L n t H Z W 5 l c m F s Q W 5 k Q W R t a W 5 p c 3 R y Y X R p d m V F e H B l b n N l L D Q 5 f S Z x d W 9 0 O y w m c X V v d D t T Z W N 0 a W 9 u M S 9 J b m N v b W V T d G F 0 Z W 1 l b n Q v Q 2 h h b m d l Z C B U e X B l L n t H c m 9 z c 1 B y b 2 Z p d C w x M n 0 m c X V v d D s s J n F 1 b 3 Q 7 U 2 V j d G l v b j E v S W 5 j b 2 1 l U 3 R h d G V t Z W 5 0 L 0 N o Y W 5 n Z W Q g V H l w Z S 5 7 S W 5 0 Z X J l c 3 R F e H B l b n N l L D E z f S Z x d W 9 0 O y w m c X V v d D t T Z W N 0 a W 9 u M S 9 J b m N v b W V T d G F 0 Z W 1 l b n Q v Q 2 h h b m d l Z C B U e X B l L n t J b n R l c m V z d E V 4 c G V u c 2 V O b 2 5 P c G V y Y X R p b m c s M T R 9 J n F 1 b 3 Q 7 L C Z x d W 9 0 O 1 N l Y 3 R p b 2 4 x L 0 l u Y 2 9 t Z V N 0 Y X R l b W V u d C 9 D a G F u Z 2 V k I F R 5 c G U u e 0 l u d G V y Z X N 0 S W 5 j b 2 1 l L D Q x f S Z x d W 9 0 O y w m c X V v d D t T Z W N 0 a W 9 u M S 9 J b m N v b W V T d G F 0 Z W 1 l b n Q v Q 2 h h b m d l Z C B U e X B l L n t J b n R l c m V z d E l u Y 2 9 t Z U 5 v b k 9 w Z X J h d G l u Z y w 0 M n 0 m c X V v d D s s J n F 1 b 3 Q 7 U 2 V j d G l v b j E v S W 5 j b 2 1 l U 3 R h d G V t Z W 5 0 L 0 N o Y W 5 n Z W Q g V H l w Z S 5 7 T W l u b 3 J p d H l J b n R l c m V z d H M s N D N 9 J n F 1 b 3 Q 7 L C Z x d W 9 0 O 1 N l Y 3 R p b 2 4 x L 0 l u Y 2 9 t Z V N 0 Y X R l b W V u d C 9 D a G F u Z 2 V k I F R 5 c G U u e 0 5 l d E l u Y 2 9 t Z S w x N X 0 m c X V v d D s s J n F 1 b 3 Q 7 U 2 V j d G l v b j E v S W 5 j b 2 1 l U 3 R h d G V t Z W 5 0 L 0 N o Y W 5 n Z W Q g V H l w Z S 5 7 T m V 0 S W 5 j b 2 1 l Q 2 9 t b W 9 u U 3 R v Y 2 t o b 2 x k Z X J z L D E 2 f S Z x d W 9 0 O y w m c X V v d D t T Z W N 0 a W 9 u M S 9 J b m N v b W V T d G F 0 Z W 1 l b n Q v Q 2 h h b m d l Z C B U e X B l L n t O Z X R J b m N v b W V D b 2 5 0 a W 5 1 b 3 V z T 3 B l c m F 0 a W 9 u c y w x N 3 0 m c X V v d D s s J n F 1 b 3 Q 7 U 2 V j d G l v b j E v S W 5 j b 2 1 l U 3 R h d G V t Z W 5 0 L 0 N o Y W 5 n Z W Q g V H l w Z S 5 7 T m V 0 S W 5 j b 2 1 l R n J v b U N v b n R p b n V p b m d B b m R E a X N j b 2 5 0 a W 5 1 Z W R P c G V y Y X R p b 2 4 s M T h 9 J n F 1 b 3 Q 7 L C Z x d W 9 0 O 1 N l Y 3 R p b 2 4 x L 0 l u Y 2 9 t Z V N 0 Y X R l b W V u d C 9 D a G F u Z 2 V k I F R 5 c G U u e 0 5 l d E l u Y 2 9 t Z U Z y b 2 1 D b 2 5 0 a W 5 1 a W 5 n T 3 B l c m F 0 a W 9 u T m V 0 T W l u b 3 J p d H l J b n R l c m V z d C w x O X 0 m c X V v d D s s J n F 1 b 3 Q 7 U 2 V j d G l v b j E v S W 5 j b 2 1 l U 3 R h d G V t Z W 5 0 L 0 N o Y W 5 n Z W Q g V H l w Z S 5 7 T m V 0 S W 5 j b 2 1 l S W 5 j b H V k a W 5 n T m 9 u Y 2 9 u d H J v b G x p b m d J b n R l c m V z d H M s M j B 9 J n F 1 b 3 Q 7 L C Z x d W 9 0 O 1 N l Y 3 R p b 2 4 x L 0 l u Y 2 9 t Z V N 0 Y X R l b W V u d C 9 D a G F u Z 2 V k I F R 5 c G U u e 0 5 l d E l u d G V y Z X N 0 S W 5 j b 2 1 l L D I x f S Z x d W 9 0 O y w m c X V v d D t T Z W N 0 a W 9 u M S 9 J b m N v b W V T d G F 0 Z W 1 l b n Q v Q 2 h h b m d l Z C B U e X B l L n t O Z X R O b 2 5 P c G V y Y X R p b m d J b n R l c m V z d E l u Y 2 9 t Z U V 4 c G V u c 2 U s M j J 9 J n F 1 b 3 Q 7 L C Z x d W 9 0 O 1 N l Y 3 R p b 2 4 x L 0 l u Y 2 9 t Z V N 0 Y X R l b W V u d C 9 D a G F u Z 2 V k I F R 5 c G U u e 0 5 v c m 1 h b G l 6 Z W R F Q k l U R E E s M j N 9 J n F 1 b 3 Q 7 L C Z x d W 9 0 O 1 N l Y 3 R p b 2 4 x L 0 l u Y 2 9 t Z V N 0 Y X R l b W V u d C 9 D a G F u Z 2 V k I F R 5 c G U u e 0 5 v c m 1 h b G l 6 Z W R J b m N v b W U s M j R 9 J n F 1 b 3 Q 7 L C Z x d W 9 0 O 1 N l Y 3 R p b 2 4 x L 0 l u Y 2 9 t Z V N 0 Y X R l b W V u d C 9 D a G F u Z 2 V k I F R 5 c G U u e 0 9 w Z X J h d G l u Z 0 V 4 c G V u c 2 U s M j V 9 J n F 1 b 3 Q 7 L C Z x d W 9 0 O 1 N l Y 3 R p b 2 4 x L 0 l u Y 2 9 t Z V N 0 Y X R l b W V u d C 9 D a G F u Z 2 V k I F R 5 c G U u e 0 9 w Z X J h d G l u Z 0 l u Y 2 9 t Z S w y N n 0 m c X V v d D s s J n F 1 b 3 Q 7 U 2 V j d G l v b j E v S W 5 j b 2 1 l U 3 R h d G V t Z W 5 0 L 0 N o Y W 5 n Z W Q g V H l w Z S 5 7 T 3 B l c m F 0 a W 5 n U m V 2 Z W 5 1 Z S w y N 3 0 m c X V v d D s s J n F 1 b 3 Q 7 U 2 V j d G l v b j E v S W 5 j b 2 1 l U 3 R h d G V t Z W 5 0 L 0 N o Y W 5 n Z W Q g V H l w Z S 5 7 T 3 R o Z X J H Y W 5 k Q S w 1 M H 0 m c X V v d D s s J n F 1 b 3 Q 7 U 2 V j d G l v b j E v S W 5 j b 2 1 l U 3 R h d G V t Z W 5 0 L 0 N o Y W 5 n Z W Q g V H l w Z S 5 7 T 3 R o Z X J J b m N v b W V F e H B l b n N l L D I 4 f S Z x d W 9 0 O y w m c X V v d D t T Z W N 0 a W 9 u M S 9 J b m N v b W V T d G F 0 Z W 1 l b n Q v Q 2 h h b m d l Z C B U e X B l L n t P d G h l c k 5 v b k 9 w Z X J h d G l u Z 0 l u Y 2 9 t Z U V 4 c G V u c 2 V z L D I 5 f S Z x d W 9 0 O y w m c X V v d D t T Z W N 0 a W 9 u M S 9 J b m N v b W V T d G F 0 Z W 1 l b n Q v Q 2 h h b m d l Z C B U e X B l L n t P d G h l c k 9 w Z X J h d G l u Z 0 V 4 c G V u c 2 V z L D U 4 f S Z x d W 9 0 O y w m c X V v d D t T Z W N 0 a W 9 u M S 9 J b m N v b W V T d G F 0 Z W 1 l b n Q v Q 2 h h b m d l Z C B U e X B l L n t P d G h l c n V u Z G V y U H J l Z m V y c m V k U 3 R v Y 2 t E a X Z p Z G V u Z C w 2 N n 0 m c X V v d D s s J n F 1 b 3 Q 7 U 2 V j d G l v b j E v S W 5 j b 2 1 l U 3 R h d G V t Z W 5 0 L 0 N o Y W 5 n Z W Q g V H l w Z S 5 7 U H J l d G F 4 S W 5 j b 2 1 l L D M w f S Z x d W 9 0 O y w m c X V v d D t T Z W N 0 a W 9 u M S 9 J b m N v b W V T d G F 0 Z W 1 l b n Q v Q 2 h h b m d l Z C B U e X B l L n t S Z W N v b m N p b G V k Q 2 9 z d E 9 m U m V 2 Z W 5 1 Z S w z M X 0 m c X V v d D s s J n F 1 b 3 Q 7 U 2 V j d G l v b j E v S W 5 j b 2 1 l U 3 R h d G V t Z W 5 0 L 0 N o Y W 5 n Z W Q g V H l w Z S 5 7 U m V j b 2 5 j a W x l Z E R l c H J l Y 2 l h d G l v b i w z M n 0 m c X V v d D s s J n F 1 b 3 Q 7 U 2 V j d G l v b j E v S W 5 j b 2 1 l U 3 R h d G V t Z W 5 0 L 0 N o Y W 5 n Z W Q g V H l w Z S 5 7 U m V z Z W F y Y 2 h B b m R E Z X Z l b G 9 w b W V u d C w z M 3 0 m c X V v d D s s J n F 1 b 3 Q 7 U 2 V j d G l v b j E v S W 5 j b 2 1 l U 3 R h d G V t Z W 5 0 L 0 N o Y W 5 n Z W Q g V H l w Z S 5 7 U 2 V s b G l u Z 0 F u Z E 1 h c m t l d G l u Z 0 V 4 c G V u c 2 U s N T F 9 J n F 1 b 3 Q 7 L C Z x d W 9 0 O 1 N l Y 3 R p b 2 4 x L 0 l u Y 2 9 t Z V N 0 Y X R l b W V u d C 9 D a G F u Z 2 V k I F R 5 c G U u e 1 N l b G x p b m d H Z W 5 l c m F s Q W 5 k Q W R t a W 5 p c 3 R y Y X R p b 2 4 s M z R 9 J n F 1 b 3 Q 7 L C Z x d W 9 0 O 1 N l Y 3 R p b 2 4 x L 0 l u Y 2 9 t Z V N 0 Y X R l b W V u d C 9 D a G F u Z 2 V k I F R 5 c G U u e 1 N w Z W N p Y W x J b m N v b W V D a G F y Z 2 V z L D Q 1 f S Z x d W 9 0 O y w m c X V v d D t T Z W N 0 a W 9 u M S 9 J b m N v b W V T d G F 0 Z W 1 l b n Q v Q 2 h h b m d l Z C B U e X B l L n t U Y X h F Z m Z l Y 3 R P Z l V u d X N 1 Y W x J d G V t c y w z N X 0 m c X V v d D s s J n F 1 b 3 Q 7 U 2 V j d G l v b j E v S W 5 j b 2 1 l U 3 R h d G V t Z W 5 0 L 0 N o Y W 5 n Z W Q g V H l w Z S 5 7 V G F 4 U H J v d m l z a W 9 u L D M 2 f S Z x d W 9 0 O y w m c X V v d D t T Z W N 0 a W 9 u M S 9 J b m N v b W V T d G F 0 Z W 1 l b n Q v Q 2 h h b m d l Z C B U e X B l L n t U Y X h S Y X R l R m 9 y Q 2 F s Y 3 M s M z d 9 J n F 1 b 3 Q 7 L C Z x d W 9 0 O 1 N l Y 3 R p b 2 4 x L 0 l u Y 2 9 t Z V N 0 Y X R l b W V u d C 9 D a G F u Z 2 V k I F R 5 c G U u e 1 R v d G F s R X h w Z W 5 z Z X M s M z h 9 J n F 1 b 3 Q 7 L C Z x d W 9 0 O 1 N l Y 3 R p b 2 4 x L 0 l u Y 2 9 t Z V N 0 Y X R l b W V u d C 9 D a G F u Z 2 V k I F R 5 c G U u e 1 R v d G F s T 3 B l c m F 0 a W 5 n S W 5 j b 2 1 l Q X N S Z X B v c n R l Z C w z O X 0 m c X V v d D s s J n F 1 b 3 Q 7 U 2 V j d G l v b j E v S W 5 j b 2 1 l U 3 R h d G V t Z W 5 0 L 0 N o Y W 5 n Z W Q g V H l w Z S 5 7 V G 9 0 Y W x S Z X Z l b n V l L D Q w f S Z x d W 9 0 O y w m c X V v d D t T Z W N 0 a W 9 u M S 9 J b m N v b W V T d G F 0 Z W 1 l b n Q v Q 2 h h b m d l Z C B U e X B l L n t U b 3 R h b F V u d X N 1 Y W x J d G V t c y w 0 N n 0 m c X V v d D s s J n F 1 b 3 Q 7 U 2 V j d G l v b j E v S W 5 j b 2 1 l U 3 R h d G V t Z W 5 0 L 0 N o Y W 5 n Z W Q g V H l w Z S 5 7 V G 9 0 Y W x V b n V z d W F s S X R l b X N F e G N s d W R p b m d H b 2 9 k d 2 l s b C w 0 N 3 0 m c X V v d D s s J n F 1 b 3 Q 7 U 2 V j d G l v b j E v S W 5 j b 2 1 l U 3 R h d G V t Z W 5 0 L 0 N o Y W 5 n Z W Q g V H l w Z S 5 7 V 3 J p d G V P Z m Y s N T J 9 J n F 1 b 3 Q 7 L C Z x d W 9 0 O 1 N l Y 3 R p b 2 4 x L 0 l u Y 2 9 t Z V N 0 Y X R l b W V u d C 9 D a G F u Z 2 V k I F R 5 c G U u e 0 5 l d E l u Y 2 9 t Z U R p c 2 N v b n R p b n V v d X N P c G V y Y X R p b 2 5 z L D U 3 f S Z x d W 9 0 O y w m c X V v d D t T Z W N 0 a W 9 u M S 9 J b m N v b W V T d G F 0 Z W 1 l b n Q v U H J v b W 9 0 Z W Q g S G V h Z G V y c y 5 7 U 2 V j d X J p d G l l c 0 F t b 3 J 0 a X p h d G l v b i w 2 M X 0 m c X V v d D s s J n F 1 b 3 Q 7 U 2 V j d G l v b j E v S W 5 j b 2 1 l U 3 R h d G V t Z W 5 0 L 1 B y b 2 1 v d G V k I E h l Y W R l c n M u e 1 R v d G F s T 3 R o Z X J G a W 5 h b m N l Q 2 9 z d C w 2 M n 0 m c X V v d D s s J n F 1 b 3 Q 7 U 2 V j d G l v b j E v S W 5 j b 2 1 l U 3 R h d G V t Z W 5 0 L 0 N o Y W 5 n Z W Q g V H l w Z S 5 7 R W F y b m l u Z 3 N G c m 9 t R X F 1 a X R 5 S W 5 0 Z X J l c 3 Q s N T N 9 J n F 1 b 3 Q 7 L C Z x d W 9 0 O 1 N l Y 3 R p b 2 4 x L 0 l u Y 2 9 t Z V N 0 Y X R l b W V u d C 9 D a G F u Z 2 V k I F R 5 c G U u e 0 l t c G F p c m 1 l b n R P Z k N h c G l 0 Y W x B c 3 N l d H M s N T Z 9 J n F 1 b 3 Q 7 L C Z x d W 9 0 O 1 N l Y 3 R p b 2 4 x L 0 l u Y 2 9 t Z V N 0 Y X R l b W V u d C 9 D a G F u Z 2 V k I F R 5 c G U u e 1 B y Z W Z l c n J l Z F N 0 b 2 N r R G l 2 a W R l b m R z L D Y 3 f S Z x d W 9 0 O y w m c X V v d D t T Z W N 0 a W 9 u M S 9 J b m N v b W V T d G F 0 Z W 1 l b n Q v Q 2 h h b m d l Z C B U e X B l L n t B b W 9 y d G l 6 Y X R p b 2 4 s N j h 9 J n F 1 b 3 Q 7 L C Z x d W 9 0 O 1 N l Y 3 R p b 2 4 x L 0 l u Y 2 9 t Z V N 0 Y X R l b W V u d C 9 D a G F u Z 2 V k I F R 5 c G U u e 0 F t b 3 J 0 a X p h d G l v b k 9 m S W 5 0 Y W 5 n a W J s Z X N J b m N v b W V T d G F 0 Z W 1 l b n Q s N j l 9 J n F 1 b 3 Q 7 L C Z x d W 9 0 O 1 N l Y 3 R p b 2 4 x L 0 l u Y 2 9 t Z V N 0 Y X R l b W V u d C 9 D a G F u Z 2 V k I F R 5 c G U u e 0 9 0 a G V y U 3 B l Y 2 l h b E N o Y X J n Z X M s N D R 9 J n F 1 b 3 Q 7 L C Z x d W 9 0 O 1 N l Y 3 R p b 2 4 x L 0 l u Y 2 9 t Z V N 0 Y X R l b W V u d C 9 D a G F u Z 2 V k I F R 5 c G U u e 0 9 0 a G V y V G F 4 Z X M s N T l 9 J n F 1 b 3 Q 7 L C Z x d W 9 0 O 1 N l Y 3 R p b 2 4 x L 0 l u Y 2 9 t Z V N 0 Y X R l b W V u d C 9 Q c m 9 t b 3 R l Z C B I Z W F k Z X J z L n t E Z X B s Z X R p b 2 5 J b m N v b W V T d G F 0 Z W 1 l b n Q s N z B 9 J n F 1 b 3 Q 7 L C Z x d W 9 0 O 1 N l Y 3 R p b 2 4 x L 0 l u Y 2 9 t Z V N 0 Y X R l b W V u d C 9 Q c m 9 t b 3 R l Z C B I Z W F k Z X J z L n t E Z X B y Z W N p Y X R p b 2 5 J b m N v b W V T d G F 0 Z W 1 l b n Q s N z F 9 J n F 1 b 3 Q 7 L C Z x d W 9 0 O 1 N l Y 3 R p b 2 4 x L 0 l u Y 2 9 t Z V N 0 Y X R l b W V u d C 9 D a G F u Z 2 V k I F R 5 c G U u e 1 J l c 3 R y d W N 0 d X J p b m d B b m R N Z X J n Z X J u Q W N x d W l z a X R p b 2 4 s N j B 9 J n F 1 b 3 Q 7 L C Z x d W 9 0 O 1 N l Y 3 R p b 2 4 x L 0 l u Y 2 9 t Z V N 0 Y X R l b W V u d C 9 D a G F u Z 2 V k I F R 5 c G U u e 0 d h a W 5 P b l N h b G V P Z l B Q R S w 1 N X 0 m c X V v d D s s J n F 1 b 3 Q 7 U 2 V j d G l v b j E v S W 5 j b 2 1 l U 3 R h d G V t Z W 5 0 L 0 N o Y W 5 n Z W Q g V H l w Z S 5 7 U H J v d m l z a W 9 u R m 9 y R G 9 1 Y n R m d W x B Y 2 N v d W 5 0 c y w 3 M n 0 m c X V v d D s s J n F 1 b 3 Q 7 U 2 V j d G l v b j E v S W 5 j b 2 1 l U 3 R h d G V t Z W 5 0 L 1 B y b 2 1 v d G V k I E h l Y W R l c n M u e 2 F z T 2 Z Z Z W F y L D c 1 f S Z x d W 9 0 O y w m c X V v d D t T Z W N 0 a W 9 u M S 9 J b m N v b W V T d G F 0 Z W 1 l b n Q v Q 2 h h b m d l Z C B U e X B l L n t T Y W x h c m l l c 0 F u Z F d h Z 2 V z L D c z f S Z x d W 9 0 O y w m c X V v d D t T Z W N 0 a W 9 u M S 9 J b m N v b W V T d G F 0 Z W 1 l b n Q v Q 2 h h b m d l Z C B U e X B l L n t S Z W 5 0 Q W 5 k T G F u Z G l u Z 0 Z l Z X M s N z d 9 J n F 1 b 3 Q 7 L C Z x d W 9 0 O 1 N l Y 3 R p b 2 4 x L 0 l u Y 2 9 t Z V N 0 Y X R l b W V u d C 9 D a G F u Z 2 V k I F R 5 c G U u e 1 J l b n R F e H B l b n N l U 3 V w c G x l b W V u d G F s L D c 4 f S Z x d W 9 0 O y w m c X V v d D t T Z W N 0 a W 9 u M S 9 J b m N v b W V T d G F 0 Z W 1 l b n Q v Q 2 h h b m d l Z C B U e X B l L n t U a W N r Z X I s N z R 9 J n F 1 b 3 Q 7 X S w m c X V v d D t D b 2 x 1 b W 5 D b 3 V u d C Z x d W 9 0 O z o 4 M C w m c X V v d D t L Z X l D b 2 x 1 b W 5 O Y W 1 l c y Z x d W 9 0 O z p b X S w m c X V v d D t D b 2 x 1 b W 5 J Z G V u d G l 0 a W V z J n F 1 b 3 Q 7 O l s m c X V v d D t T Z W N 0 a W 9 u M S 9 J b m N v b W V T d G F 0 Z W 1 l b n Q v Q 2 h h b m d l Z C B U e X B l L n t p Z C w w f S Z x d W 9 0 O y w m c X V v d D t T Z W N 0 a W 9 u M S 9 J b m N v b W V T d G F 0 Z W 1 l b n Q v Q 2 h h b m d l Z C B U e X B l L n t h c 0 9 m R G F 0 Z S w x f S Z x d W 9 0 O y w m c X V v d D t T Z W N 0 a W 9 u M S 9 J b m N v b W V T d G F 0 Z W 1 l b n Q v S W 5 z Z X J 0 Z W Q g W W V h c i 5 7 W W V h c i w 3 O X 0 m c X V v d D s s J n F 1 b 3 Q 7 U 2 V j d G l v b j E v S W 5 j b 2 1 l U 3 R h d G V t Z W 5 0 L 0 N o Y W 5 n Z W Q g V H l w Z S 5 7 c G V y a W 9 k V H l w Z S w y f S Z x d W 9 0 O y w m c X V v d D t T Z W N 0 a W 9 u M S 9 J b m N v b W V T d G F 0 Z W 1 l b n Q v Q 2 h h b m d l Z C B U e X B l L n t j d X J y Z W 5 j e U N v Z G U s M 3 0 m c X V v d D s s J n F 1 b 3 Q 7 U 2 V j d G l v b j E v S W 5 j b 2 1 l U 3 R h d G V t Z W 5 0 L 0 N o Y W 5 n Z W Q g V H l w Z S 5 7 Q X Z l c m F n Z U R p b H V 0 a W 9 u R W F y b m l u Z 3 M s N j N 9 J n F 1 b 3 Q 7 L C Z x d W 9 0 O 1 N l Y 3 R p b 2 4 x L 0 l u Y 2 9 t Z V N 0 Y X R l b W V u d C 9 D a G F u Z 2 V k I F R 5 c G U u e 0 J h c 2 l j Q X Z l c m F n Z V N o Y X J l c y w 0 f S Z x d W 9 0 O y w m c X V v d D t T Z W N 0 a W 9 u M S 9 J b m N v b W V T d G F 0 Z W 1 l b n Q v Q 2 h h b m d l Z C B U e X B l L n t C Y X N p Y 0 V Q U y w 1 f S Z x d W 9 0 O y w m c X V v d D t T Z W N 0 a W 9 u M S 9 J b m N v b W V T d G F 0 Z W 1 l b n Q v Q 2 h h b m d l Z C B U e X B l L n t D b 3 N 0 T 2 Z S Z X Z l b n V l L D Z 9 J n F 1 b 3 Q 7 L C Z x d W 9 0 O 1 N l Y 3 R p b 2 4 x L 0 l u Y 2 9 t Z V N 0 Y X R l b W V u d C 9 D a G F u Z 2 V k I F R 5 c G U u e 0 R l c H J l Y 2 l h d G l v b k F t b 3 J 0 a X p h d G l v b k R l c G x l d G l v b k l u Y 2 9 t Z V N 0 Y X R l b W V u d C w 2 N H 0 m c X V v d D s s J n F 1 b 3 Q 7 U 2 V j d G l v b j E v S W 5 j b 2 1 l U 3 R h d G V t Z W 5 0 L 0 N o Y W 5 n Z W Q g V H l w Z S 5 7 R G V w c m V j a W F 0 a W 9 u Q W 5 k Q W 1 v c n R p e m F 0 a W 9 u S W 5 J b m N v b W V T d G F 0 Z W 1 l b n Q s N j V 9 J n F 1 b 3 Q 7 L C Z x d W 9 0 O 1 N l Y 3 R p b 2 4 x L 0 l u Y 2 9 t Z V N 0 Y X R l b W V u d C 9 D a G F u Z 2 V k I F R 5 c G U u e 0 R p b H V 0 Z W R B d m V y Y W d l U 2 h h c m V z L D d 9 J n F 1 b 3 Q 7 L C Z x d W 9 0 O 1 N l Y 3 R p b 2 4 x L 0 l u Y 2 9 t Z V N 0 Y X R l b W V u d C 9 D a G F u Z 2 V k I F R 5 c G U u e 0 R p b H V 0 Z W R F U F M s O H 0 m c X V v d D s s J n F 1 b 3 Q 7 U 2 V j d G l v b j E v S W 5 j b 2 1 l U 3 R h d G V t Z W 5 0 L 0 N o Y W 5 n Z W Q g V H l w Z S 5 7 R G l s d X R l Z E 5 J Q X Z h a W x 0 b 0 N v b V N 0 b 2 N r a G 9 s Z G V y c y w 5 f S Z x d W 9 0 O y w m c X V v d D t T Z W N 0 a W 9 u M S 9 J b m N v b W V T d G F 0 Z W 1 l b n Q v Q 2 h h b m d l Z C B U e X B l L n t F Q k l U L D E w f S Z x d W 9 0 O y w m c X V v d D t T Z W N 0 a W 9 u M S 9 J b m N v b W V T d G F 0 Z W 1 l b n Q v Q 2 h h b m d l Z C B U e X B l L n t F Q k l U R E E s M T F 9 J n F 1 b 3 Q 7 L C Z x d W 9 0 O 1 N l Y 3 R p b 2 4 x L 0 l u Y 2 9 t Z V N 0 Y X R l b W V u d C 9 D a G F u Z 2 V k I F R 5 c G U u e 0 V h c m 5 p b m d z R n J v b U V x d W l 0 e U l u d G V y Z X N 0 T m V 0 T 2 Z U Y X g s N z Z 9 J n F 1 b 3 Q 7 L C Z x d W 9 0 O 1 N l Y 3 R p b 2 4 x L 0 l u Y 2 9 t Z V N 0 Y X R l b W V u d C 9 D a G F u Z 2 V k I F R 5 c G U u e 0 d h a W 5 P b l N h b G V P Z k J 1 c 2 l u Z X N z L D U 0 f S Z x d W 9 0 O y w m c X V v d D t T Z W N 0 a W 9 u M S 9 J b m N v b W V T d G F 0 Z W 1 l b n Q v Q 2 h h b m d l Z C B U e X B l L n t H Y W l u T 2 5 T Y W x l T 2 Z T Z W N 1 c m l 0 e S w 0 O H 0 m c X V v d D s s J n F 1 b 3 Q 7 U 2 V j d G l v b j E v S W 5 j b 2 1 l U 3 R h d G V t Z W 5 0 L 0 N o Y W 5 n Z W Q g V H l w Z S 5 7 R 2 V u Z X J h b E F u Z E F k b W l u a X N 0 c m F 0 a X Z l R X h w Z W 5 z Z S w 0 O X 0 m c X V v d D s s J n F 1 b 3 Q 7 U 2 V j d G l v b j E v S W 5 j b 2 1 l U 3 R h d G V t Z W 5 0 L 0 N o Y W 5 n Z W Q g V H l w Z S 5 7 R 3 J v c 3 N Q c m 9 m a X Q s M T J 9 J n F 1 b 3 Q 7 L C Z x d W 9 0 O 1 N l Y 3 R p b 2 4 x L 0 l u Y 2 9 t Z V N 0 Y X R l b W V u d C 9 D a G F u Z 2 V k I F R 5 c G U u e 0 l u d G V y Z X N 0 R X h w Z W 5 z Z S w x M 3 0 m c X V v d D s s J n F 1 b 3 Q 7 U 2 V j d G l v b j E v S W 5 j b 2 1 l U 3 R h d G V t Z W 5 0 L 0 N o Y W 5 n Z W Q g V H l w Z S 5 7 S W 5 0 Z X J l c 3 R F e H B l b n N l T m 9 u T 3 B l c m F 0 a W 5 n L D E 0 f S Z x d W 9 0 O y w m c X V v d D t T Z W N 0 a W 9 u M S 9 J b m N v b W V T d G F 0 Z W 1 l b n Q v Q 2 h h b m d l Z C B U e X B l L n t J b n R l c m V z d E l u Y 2 9 t Z S w 0 M X 0 m c X V v d D s s J n F 1 b 3 Q 7 U 2 V j d G l v b j E v S W 5 j b 2 1 l U 3 R h d G V t Z W 5 0 L 0 N o Y W 5 n Z W Q g V H l w Z S 5 7 S W 5 0 Z X J l c 3 R J b m N v b W V O b 2 5 P c G V y Y X R p b m c s N D J 9 J n F 1 b 3 Q 7 L C Z x d W 9 0 O 1 N l Y 3 R p b 2 4 x L 0 l u Y 2 9 t Z V N 0 Y X R l b W V u d C 9 D a G F u Z 2 V k I F R 5 c G U u e 0 1 p b m 9 y a X R 5 S W 5 0 Z X J l c 3 R z L D Q z f S Z x d W 9 0 O y w m c X V v d D t T Z W N 0 a W 9 u M S 9 J b m N v b W V T d G F 0 Z W 1 l b n Q v Q 2 h h b m d l Z C B U e X B l L n t O Z X R J b m N v b W U s M T V 9 J n F 1 b 3 Q 7 L C Z x d W 9 0 O 1 N l Y 3 R p b 2 4 x L 0 l u Y 2 9 t Z V N 0 Y X R l b W V u d C 9 D a G F u Z 2 V k I F R 5 c G U u e 0 5 l d E l u Y 2 9 t Z U N v b W 1 v b l N 0 b 2 N r a G 9 s Z G V y c y w x N n 0 m c X V v d D s s J n F 1 b 3 Q 7 U 2 V j d G l v b j E v S W 5 j b 2 1 l U 3 R h d G V t Z W 5 0 L 0 N o Y W 5 n Z W Q g V H l w Z S 5 7 T m V 0 S W 5 j b 2 1 l Q 2 9 u d G l u d W 9 1 c 0 9 w Z X J h d G l v b n M s M T d 9 J n F 1 b 3 Q 7 L C Z x d W 9 0 O 1 N l Y 3 R p b 2 4 x L 0 l u Y 2 9 t Z V N 0 Y X R l b W V u d C 9 D a G F u Z 2 V k I F R 5 c G U u e 0 5 l d E l u Y 2 9 t Z U Z y b 2 1 D b 2 5 0 a W 5 1 a W 5 n Q W 5 k R G l z Y 2 9 u d G l u d W V k T 3 B l c m F 0 a W 9 u L D E 4 f S Z x d W 9 0 O y w m c X V v d D t T Z W N 0 a W 9 u M S 9 J b m N v b W V T d G F 0 Z W 1 l b n Q v Q 2 h h b m d l Z C B U e X B l L n t O Z X R J b m N v b W V G c m 9 t Q 2 9 u d G l u d W l u Z 0 9 w Z X J h d G l v b k 5 l d E 1 p b m 9 y a X R 5 S W 5 0 Z X J l c 3 Q s M T l 9 J n F 1 b 3 Q 7 L C Z x d W 9 0 O 1 N l Y 3 R p b 2 4 x L 0 l u Y 2 9 t Z V N 0 Y X R l b W V u d C 9 D a G F u Z 2 V k I F R 5 c G U u e 0 5 l d E l u Y 2 9 t Z U l u Y 2 x 1 Z G l u Z 0 5 v b m N v b n R y b 2 x s a W 5 n S W 5 0 Z X J l c 3 R z L D I w f S Z x d W 9 0 O y w m c X V v d D t T Z W N 0 a W 9 u M S 9 J b m N v b W V T d G F 0 Z W 1 l b n Q v Q 2 h h b m d l Z C B U e X B l L n t O Z X R J b n R l c m V z d E l u Y 2 9 t Z S w y M X 0 m c X V v d D s s J n F 1 b 3 Q 7 U 2 V j d G l v b j E v S W 5 j b 2 1 l U 3 R h d G V t Z W 5 0 L 0 N o Y W 5 n Z W Q g V H l w Z S 5 7 T m V 0 T m 9 u T 3 B l c m F 0 a W 5 n S W 5 0 Z X J l c 3 R J b m N v b W V F e H B l b n N l L D I y f S Z x d W 9 0 O y w m c X V v d D t T Z W N 0 a W 9 u M S 9 J b m N v b W V T d G F 0 Z W 1 l b n Q v Q 2 h h b m d l Z C B U e X B l L n t O b 3 J t Y W x p e m V k R U J J V E R B L D I z f S Z x d W 9 0 O y w m c X V v d D t T Z W N 0 a W 9 u M S 9 J b m N v b W V T d G F 0 Z W 1 l b n Q v Q 2 h h b m d l Z C B U e X B l L n t O b 3 J t Y W x p e m V k S W 5 j b 2 1 l L D I 0 f S Z x d W 9 0 O y w m c X V v d D t T Z W N 0 a W 9 u M S 9 J b m N v b W V T d G F 0 Z W 1 l b n Q v Q 2 h h b m d l Z C B U e X B l L n t P c G V y Y X R p b m d F e H B l b n N l L D I 1 f S Z x d W 9 0 O y w m c X V v d D t T Z W N 0 a W 9 u M S 9 J b m N v b W V T d G F 0 Z W 1 l b n Q v Q 2 h h b m d l Z C B U e X B l L n t P c G V y Y X R p b m d J b m N v b W U s M j Z 9 J n F 1 b 3 Q 7 L C Z x d W 9 0 O 1 N l Y 3 R p b 2 4 x L 0 l u Y 2 9 t Z V N 0 Y X R l b W V u d C 9 D a G F u Z 2 V k I F R 5 c G U u e 0 9 w Z X J h d G l u Z 1 J l d m V u d W U s M j d 9 J n F 1 b 3 Q 7 L C Z x d W 9 0 O 1 N l Y 3 R p b 2 4 x L 0 l u Y 2 9 t Z V N 0 Y X R l b W V u d C 9 D a G F u Z 2 V k I F R 5 c G U u e 0 9 0 a G V y R 2 F u Z E E s N T B 9 J n F 1 b 3 Q 7 L C Z x d W 9 0 O 1 N l Y 3 R p b 2 4 x L 0 l u Y 2 9 t Z V N 0 Y X R l b W V u d C 9 D a G F u Z 2 V k I F R 5 c G U u e 0 9 0 a G V y S W 5 j b 2 1 l R X h w Z W 5 z Z S w y O H 0 m c X V v d D s s J n F 1 b 3 Q 7 U 2 V j d G l v b j E v S W 5 j b 2 1 l U 3 R h d G V t Z W 5 0 L 0 N o Y W 5 n Z W Q g V H l w Z S 5 7 T 3 R o Z X J O b 2 5 P c G V y Y X R p b m d J b m N v b W V F e H B l b n N l c y w y O X 0 m c X V v d D s s J n F 1 b 3 Q 7 U 2 V j d G l v b j E v S W 5 j b 2 1 l U 3 R h d G V t Z W 5 0 L 0 N o Y W 5 n Z W Q g V H l w Z S 5 7 T 3 R o Z X J P c G V y Y X R p b m d F e H B l b n N l c y w 1 O H 0 m c X V v d D s s J n F 1 b 3 Q 7 U 2 V j d G l v b j E v S W 5 j b 2 1 l U 3 R h d G V t Z W 5 0 L 0 N o Y W 5 n Z W Q g V H l w Z S 5 7 T 3 R o Z X J 1 b m R l c l B y Z W Z l c n J l Z F N 0 b 2 N r R G l 2 a W R l b m Q s N j Z 9 J n F 1 b 3 Q 7 L C Z x d W 9 0 O 1 N l Y 3 R p b 2 4 x L 0 l u Y 2 9 t Z V N 0 Y X R l b W V u d C 9 D a G F u Z 2 V k I F R 5 c G U u e 1 B y Z X R h e E l u Y 2 9 t Z S w z M H 0 m c X V v d D s s J n F 1 b 3 Q 7 U 2 V j d G l v b j E v S W 5 j b 2 1 l U 3 R h d G V t Z W 5 0 L 0 N o Y W 5 n Z W Q g V H l w Z S 5 7 U m V j b 2 5 j a W x l Z E N v c 3 R P Z l J l d m V u d W U s M z F 9 J n F 1 b 3 Q 7 L C Z x d W 9 0 O 1 N l Y 3 R p b 2 4 x L 0 l u Y 2 9 t Z V N 0 Y X R l b W V u d C 9 D a G F u Z 2 V k I F R 5 c G U u e 1 J l Y 2 9 u Y 2 l s Z W R E Z X B y Z W N p Y X R p b 2 4 s M z J 9 J n F 1 b 3 Q 7 L C Z x d W 9 0 O 1 N l Y 3 R p b 2 4 x L 0 l u Y 2 9 t Z V N 0 Y X R l b W V u d C 9 D a G F u Z 2 V k I F R 5 c G U u e 1 J l c 2 V h c m N o Q W 5 k R G V 2 Z W x v c G 1 l b n Q s M z N 9 J n F 1 b 3 Q 7 L C Z x d W 9 0 O 1 N l Y 3 R p b 2 4 x L 0 l u Y 2 9 t Z V N 0 Y X R l b W V u d C 9 D a G F u Z 2 V k I F R 5 c G U u e 1 N l b G x p b m d B b m R N Y X J r Z X R p b m d F e H B l b n N l L D U x f S Z x d W 9 0 O y w m c X V v d D t T Z W N 0 a W 9 u M S 9 J b m N v b W V T d G F 0 Z W 1 l b n Q v Q 2 h h b m d l Z C B U e X B l L n t T Z W x s a W 5 n R 2 V u Z X J h b E F u Z E F k b W l u a X N 0 c m F 0 a W 9 u L D M 0 f S Z x d W 9 0 O y w m c X V v d D t T Z W N 0 a W 9 u M S 9 J b m N v b W V T d G F 0 Z W 1 l b n Q v Q 2 h h b m d l Z C B U e X B l L n t T c G V j a W F s S W 5 j b 2 1 l Q 2 h h c m d l c y w 0 N X 0 m c X V v d D s s J n F 1 b 3 Q 7 U 2 V j d G l v b j E v S W 5 j b 2 1 l U 3 R h d G V t Z W 5 0 L 0 N o Y W 5 n Z W Q g V H l w Z S 5 7 V G F 4 R W Z m Z W N 0 T 2 Z V b n V z d W F s S X R l b X M s M z V 9 J n F 1 b 3 Q 7 L C Z x d W 9 0 O 1 N l Y 3 R p b 2 4 x L 0 l u Y 2 9 t Z V N 0 Y X R l b W V u d C 9 D a G F u Z 2 V k I F R 5 c G U u e 1 R h e F B y b 3 Z p c 2 l v b i w z N n 0 m c X V v d D s s J n F 1 b 3 Q 7 U 2 V j d G l v b j E v S W 5 j b 2 1 l U 3 R h d G V t Z W 5 0 L 0 N o Y W 5 n Z W Q g V H l w Z S 5 7 V G F 4 U m F 0 Z U Z v c k N h b G N z L D M 3 f S Z x d W 9 0 O y w m c X V v d D t T Z W N 0 a W 9 u M S 9 J b m N v b W V T d G F 0 Z W 1 l b n Q v Q 2 h h b m d l Z C B U e X B l L n t U b 3 R h b E V 4 c G V u c 2 V z L D M 4 f S Z x d W 9 0 O y w m c X V v d D t T Z W N 0 a W 9 u M S 9 J b m N v b W V T d G F 0 Z W 1 l b n Q v Q 2 h h b m d l Z C B U e X B l L n t U b 3 R h b E 9 w Z X J h d G l u Z 0 l u Y 2 9 t Z U F z U m V w b 3 J 0 Z W Q s M z l 9 J n F 1 b 3 Q 7 L C Z x d W 9 0 O 1 N l Y 3 R p b 2 4 x L 0 l u Y 2 9 t Z V N 0 Y X R l b W V u d C 9 D a G F u Z 2 V k I F R 5 c G U u e 1 R v d G F s U m V 2 Z W 5 1 Z S w 0 M H 0 m c X V v d D s s J n F 1 b 3 Q 7 U 2 V j d G l v b j E v S W 5 j b 2 1 l U 3 R h d G V t Z W 5 0 L 0 N o Y W 5 n Z W Q g V H l w Z S 5 7 V G 9 0 Y W x V b n V z d W F s S X R l b X M s N D Z 9 J n F 1 b 3 Q 7 L C Z x d W 9 0 O 1 N l Y 3 R p b 2 4 x L 0 l u Y 2 9 t Z V N 0 Y X R l b W V u d C 9 D a G F u Z 2 V k I F R 5 c G U u e 1 R v d G F s V W 5 1 c 3 V h b E l 0 Z W 1 z R X h j b H V k a W 5 n R 2 9 v Z H d p b G w s N D d 9 J n F 1 b 3 Q 7 L C Z x d W 9 0 O 1 N l Y 3 R p b 2 4 x L 0 l u Y 2 9 t Z V N 0 Y X R l b W V u d C 9 D a G F u Z 2 V k I F R 5 c G U u e 1 d y a X R l T 2 Z m L D U y f S Z x d W 9 0 O y w m c X V v d D t T Z W N 0 a W 9 u M S 9 J b m N v b W V T d G F 0 Z W 1 l b n Q v Q 2 h h b m d l Z C B U e X B l L n t O Z X R J b m N v b W V E a X N j b 2 5 0 a W 5 1 b 3 V z T 3 B l c m F 0 a W 9 u c y w 1 N 3 0 m c X V v d D s s J n F 1 b 3 Q 7 U 2 V j d G l v b j E v S W 5 j b 2 1 l U 3 R h d G V t Z W 5 0 L 1 B y b 2 1 v d G V k I E h l Y W R l c n M u e 1 N l Y 3 V y a X R p Z X N B b W 9 y d G l 6 Y X R p b 2 4 s N j F 9 J n F 1 b 3 Q 7 L C Z x d W 9 0 O 1 N l Y 3 R p b 2 4 x L 0 l u Y 2 9 t Z V N 0 Y X R l b W V u d C 9 Q c m 9 t b 3 R l Z C B I Z W F k Z X J z L n t U b 3 R h b E 9 0 a G V y R m l u Y W 5 j Z U N v c 3 Q s N j J 9 J n F 1 b 3 Q 7 L C Z x d W 9 0 O 1 N l Y 3 R p b 2 4 x L 0 l u Y 2 9 t Z V N 0 Y X R l b W V u d C 9 D a G F u Z 2 V k I F R 5 c G U u e 0 V h c m 5 p b m d z R n J v b U V x d W l 0 e U l u d G V y Z X N 0 L D U z f S Z x d W 9 0 O y w m c X V v d D t T Z W N 0 a W 9 u M S 9 J b m N v b W V T d G F 0 Z W 1 l b n Q v Q 2 h h b m d l Z C B U e X B l L n t J b X B h a X J t Z W 5 0 T 2 Z D Y X B p d G F s Q X N z Z X R z L D U 2 f S Z x d W 9 0 O y w m c X V v d D t T Z W N 0 a W 9 u M S 9 J b m N v b W V T d G F 0 Z W 1 l b n Q v Q 2 h h b m d l Z C B U e X B l L n t Q c m V m Z X J y Z W R T d G 9 j a 0 R p d m l k Z W 5 k c y w 2 N 3 0 m c X V v d D s s J n F 1 b 3 Q 7 U 2 V j d G l v b j E v S W 5 j b 2 1 l U 3 R h d G V t Z W 5 0 L 0 N o Y W 5 n Z W Q g V H l w Z S 5 7 Q W 1 v c n R p e m F 0 a W 9 u L D Y 4 f S Z x d W 9 0 O y w m c X V v d D t T Z W N 0 a W 9 u M S 9 J b m N v b W V T d G F 0 Z W 1 l b n Q v Q 2 h h b m d l Z C B U e X B l L n t B b W 9 y d G l 6 Y X R p b 2 5 P Z k l u d G F u Z 2 l i b G V z S W 5 j b 2 1 l U 3 R h d G V t Z W 5 0 L D Y 5 f S Z x d W 9 0 O y w m c X V v d D t T Z W N 0 a W 9 u M S 9 J b m N v b W V T d G F 0 Z W 1 l b n Q v Q 2 h h b m d l Z C B U e X B l L n t P d G h l c l N w Z W N p Y W x D a G F y Z 2 V z L D Q 0 f S Z x d W 9 0 O y w m c X V v d D t T Z W N 0 a W 9 u M S 9 J b m N v b W V T d G F 0 Z W 1 l b n Q v Q 2 h h b m d l Z C B U e X B l L n t P d G h l c l R h e G V z L D U 5 f S Z x d W 9 0 O y w m c X V v d D t T Z W N 0 a W 9 u M S 9 J b m N v b W V T d G F 0 Z W 1 l b n Q v U H J v b W 9 0 Z W Q g S G V h Z G V y c y 5 7 R G V w b G V 0 a W 9 u S W 5 j b 2 1 l U 3 R h d G V t Z W 5 0 L D c w f S Z x d W 9 0 O y w m c X V v d D t T Z W N 0 a W 9 u M S 9 J b m N v b W V T d G F 0 Z W 1 l b n Q v U H J v b W 9 0 Z W Q g S G V h Z G V y c y 5 7 R G V w c m V j a W F 0 a W 9 u S W 5 j b 2 1 l U 3 R h d G V t Z W 5 0 L D c x f S Z x d W 9 0 O y w m c X V v d D t T Z W N 0 a W 9 u M S 9 J b m N v b W V T d G F 0 Z W 1 l b n Q v Q 2 h h b m d l Z C B U e X B l L n t S Z X N 0 c n V j d H V y a W 5 n Q W 5 k T W V y Z 2 V y b k F j c X V p c 2 l 0 a W 9 u L D Y w f S Z x d W 9 0 O y w m c X V v d D t T Z W N 0 a W 9 u M S 9 J b m N v b W V T d G F 0 Z W 1 l b n Q v Q 2 h h b m d l Z C B U e X B l L n t H Y W l u T 2 5 T Y W x l T 2 Z Q U E U s N T V 9 J n F 1 b 3 Q 7 L C Z x d W 9 0 O 1 N l Y 3 R p b 2 4 x L 0 l u Y 2 9 t Z V N 0 Y X R l b W V u d C 9 D a G F u Z 2 V k I F R 5 c G U u e 1 B y b 3 Z p c 2 l v b k Z v c k R v d W J 0 Z n V s Q W N j b 3 V u d H M s N z J 9 J n F 1 b 3 Q 7 L C Z x d W 9 0 O 1 N l Y 3 R p b 2 4 x L 0 l u Y 2 9 t Z V N 0 Y X R l b W V u d C 9 Q c m 9 t b 3 R l Z C B I Z W F k Z X J z L n t h c 0 9 m W W V h c i w 3 N X 0 m c X V v d D s s J n F 1 b 3 Q 7 U 2 V j d G l v b j E v S W 5 j b 2 1 l U 3 R h d G V t Z W 5 0 L 0 N o Y W 5 n Z W Q g V H l w Z S 5 7 U 2 F s Y X J p Z X N B b m R X Y W d l c y w 3 M 3 0 m c X V v d D s s J n F 1 b 3 Q 7 U 2 V j d G l v b j E v S W 5 j b 2 1 l U 3 R h d G V t Z W 5 0 L 0 N o Y W 5 n Z W Q g V H l w Z S 5 7 U m V u d E F u Z E x h b m R p b m d G Z W V z L D c 3 f S Z x d W 9 0 O y w m c X V v d D t T Z W N 0 a W 9 u M S 9 J b m N v b W V T d G F 0 Z W 1 l b n Q v Q 2 h h b m d l Z C B U e X B l L n t S Z W 5 0 R X h w Z W 5 z Z V N 1 c H B s Z W 1 l b n R h b C w 3 O H 0 m c X V v d D s s J n F 1 b 3 Q 7 U 2 V j d G l v b j E v S W 5 j b 2 1 l U 3 R h d G V t Z W 5 0 L 0 N o Y W 5 n Z W Q g V H l w Z S 5 7 V G l j a 2 V y L D c 0 f S Z x d W 9 0 O 1 0 s J n F 1 b 3 Q 7 U m V s Y X R p b 2 5 z a G l w S W 5 m b y Z x d W 9 0 O z p b X X 0 i I C 8 + P E V u d H J 5 I F R 5 c G U 9 I k Z p b G x F c n J v c k N v Z G U i I F Z h b H V l P S J z V W 5 r b m 9 3 b i I g L z 4 8 R W 5 0 c n k g V H l w Z T 0 i R m l s b E N v d W 5 0 I i B W Y W x 1 Z T 0 i b D c z I i A v P j x F b n R y e S B U e X B l P S J B Z G R l Z F R v R G F 0 Y U 1 v Z G V s I i B W Y W x 1 Z T 0 i b D A i I C 8 + P C 9 T d G F i b G V F b n R y a W V z P j w v S X R l b T 4 8 S X R l b T 4 8 S X R l b U x v Y 2 F 0 a W 9 u P j x J d G V t V H l w Z T 5 G b 3 J t d W x h P C 9 J d G V t V H l w Z T 4 8 S X R l b V B h d G g + U 2 V j d G l v b j E v S W 5 j b 2 1 l U 3 R h d G V t Z W 5 0 L 1 N v d X J j Z T w v S X R l b V B h d G g + P C 9 J d G V t T G 9 j Y X R p b 2 4 + P F N 0 Y W J s Z U V u d H J p Z X M g L z 4 8 L 0 l 0 Z W 0 + P E l 0 Z W 0 + P E l 0 Z W 1 M b 2 N h d G l v b j 4 8 S X R l b V R 5 c G U + R m 9 y b X V s Y T w v S X R l b V R 5 c G U + P E l 0 Z W 1 Q Y X R o P l N l Y 3 R p b 2 4 x L 0 l u Y 2 9 t Z V N 0 Y X R l b W V u d C 9 J b m N v b W V T d G F 0 Z W 1 l b n R f U 2 h l Z X Q 8 L 0 l 0 Z W 1 Q Y X R o P j w v S X R l b U x v Y 2 F 0 a W 9 u P j x T d G F i b G V F b n R y a W V z I C 8 + P C 9 J d G V t P j x J d G V t P j x J d G V t T G 9 j Y X R p b 2 4 + P E l 0 Z W 1 U e X B l P k Z v c m 1 1 b G E 8 L 0 l 0 Z W 1 U e X B l P j x J d G V t U G F 0 a D 5 T Z W N 0 a W 9 u M S 9 J b m N v b W V T d G F 0 Z W 1 l b n Q v U H J v b W 9 0 Z W Q l M j B I Z W F k Z X J z P C 9 J d G V t U G F 0 a D 4 8 L 0 l 0 Z W 1 M b 2 N h d G l v b j 4 8 U 3 R h Y m x l R W 5 0 c m l l c y A v P j w v S X R l b T 4 8 S X R l b T 4 8 S X R l b U x v Y 2 F 0 a W 9 u P j x J d G V t V H l w Z T 5 G b 3 J t d W x h P C 9 J d G V t V H l w Z T 4 8 S X R l b V B h d G g + U 2 V j d G l v b j E v S W 5 j b 2 1 l U 3 R h d G V t Z W 5 0 L 0 N o Y W 5 n Z W Q l M j B U e X B l P C 9 J d G V t U G F 0 a D 4 8 L 0 l 0 Z W 1 M b 2 N h d G l v b j 4 8 U 3 R h Y m x l R W 5 0 c m l l c y A v P j w v S X R l b T 4 8 S X R l b T 4 8 S X R l b U x v Y 2 F 0 a W 9 u P j x J d G V t V H l w Z T 5 G b 3 J t d W x h P C 9 J d G V t V H l w Z T 4 8 S X R l b V B h d G g + U 2 V j d G l v b j E v Q m F s Y W 5 j Z V N o Z W V 0 P C 9 J d G V t U G F 0 a D 4 8 L 0 l 0 Z W 1 M b 2 N h d G l v b j 4 8 U 3 R h Y m x l R W 5 0 c m l l c z 4 8 R W 5 0 c n k g V H l w Z T 0 i S X N Q c m l 2 Y X R l I i B W Y W x 1 Z T 0 i b D A i I C 8 + P E V u d H J 5 I F R 5 c G U 9 I l F 1 Z X J 5 S U Q i I F Z h b H V l P S J z N D M 4 N m I 2 M T M t Z j k z Y S 0 0 Y j R i L W E 0 M z Y t Y z c 4 Z T U 0 Z T A z Y j M 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Y W x h b m N l U 2 h l Z X Q i I C 8 + P E V u d H J 5 I F R 5 c G U 9 I k Z p b G x l Z E N v b X B s Z X R l U m V z d W x 0 V G 9 X b 3 J r c 2 h l Z X Q i I F Z h b H V l P S J s M S I g L z 4 8 R W 5 0 c n k g V H l w Z T 0 i R m l s b E N v b H V t b k 5 h b W V z I i B W Y W x 1 Z T 0 i c 1 s m c X V v d D t p Z C Z x d W 9 0 O y w m c X V v d D t h c 0 9 m R G F 0 Z S Z x d W 9 0 O y w m c X V v d D t Z Z W F y J n F 1 b 3 Q 7 L C Z x d W 9 0 O 3 B l c m l v Z F R 5 c G U m c X V v d D s s J n F 1 b 3 Q 7 Y 3 V y c m V u Y 3 l D b 2 R l J n F 1 b 3 Q 7 L C Z x d W 9 0 O 0 F j Y 2 9 1 b n R z U G F 5 Y W J s Z S Z x d W 9 0 O y w m c X V v d D t B Y 2 N v d W 5 0 c 1 J l Y 2 V p d m F i b G U m c X V v d D s s J n F 1 b 3 Q 7 Q W N j d W 1 1 b G F 0 Z W R E Z X B y Z W N p Y X R p b 2 4 m c X V v d D s s J n F 1 b 3 Q 7 Q W R k a X R p b 2 5 h b F B h a W R J b k N h c G l 0 Y W w m c X V v d D s s J n F 1 b 3 Q 7 Q W x s b 3 d h b m N l R m 9 y R G 9 1 Y n R m d W x B Y 2 N v d W 5 0 c 1 J l Y 2 V p d m F i b G U m c X V v d D s s J n F 1 b 3 Q 7 Q X N z Z X R z S G V s Z E Z v c l N h b G V D d X J y Z W 5 0 J n F 1 b 3 Q 7 L C Z x d W 9 0 O 0 F 2 Y W l s Y W J s Z U Z v c l N h b G V T Z W N 1 c m l 0 a W V z J n F 1 b 3 Q 7 L C Z x d W 9 0 O 0 J 1 a W x k a W 5 n c 0 F u Z E l t c H J v d m V t Z W 5 0 c y Z x d W 9 0 O y w m c X V v d D t D Y X B p d G F s T G V h c 2 V P Y m x p Z 2 F 0 a W 9 u c y Z x d W 9 0 O y w m c X V v d D t D Y X B p d G F s U 3 R v Y 2 s m c X V v d D s s J n F 1 b 3 Q 7 Q 2 F z a E F u Z E N h c 2 h F c X V p d m F s Z W 5 0 c y Z x d W 9 0 O y w m c X V v d D t D Y X N o Q 2 F z a E V x d W l 2 Y W x l b n R z Q W 5 k U 2 h v c n R U Z X J t S W 5 2 Z X N 0 b W V u d H M m c X V v d D s s J n F 1 b 3 Q 7 Q 2 9 t b W 9 u U 3 R v Y 2 s m c X V v d D s s J n F 1 b 3 Q 7 Q 2 9 t b W 9 u U 3 R v Y 2 t F c X V p d H k m c X V v d D s s J n F 1 b 3 Q 7 Q 2 9 u c 3 R y d W N 0 a W 9 u S W 5 Q c m 9 n c m V z c y Z x d W 9 0 O y w m c X V v d D t D d X J y Z W 5 0 Q W N j c n V l Z E V 4 c G V u c 2 V z J n F 1 b 3 Q 7 L C Z x d W 9 0 O 0 N 1 c n J l b n R B c 3 N l d H M m c X V v d D s s J n F 1 b 3 Q 7 Q 3 V y c m V u d E N h c G l 0 Y W x M Z W F z Z U 9 i b G l n Y X R p b 2 4 m c X V v d D s s J n F 1 b 3 Q 7 Q 3 V y c m V u d E R l Y n Q m c X V v d D s s J n F 1 b 3 Q 7 Q 3 V y c m V u d E R l Y n R B b m R D Y X B p d G F s T G V h c 2 V P Y m x p Z 2 F 0 a W 9 u J n F 1 b 3 Q 7 L C Z x d W 9 0 O 0 N 1 c n J l b n R M a W F i a W x p d G l l c y Z x d W 9 0 O y w m c X V v d D t D d X J y Z W 5 0 U H J v d m l z a W 9 u c y Z x d W 9 0 O y w m c X V v d D t H Y W l u c 0 x v c 3 N l c 0 5 v d E F m Z m V j d G l u Z 1 J l d G F p b m V k R W F y b m l u Z 3 M m c X V v d D s s J n F 1 b 3 Q 7 R 2 9 v Z H d p b G w m c X V v d D s s J n F 1 b 3 Q 7 R 2 9 v Z H d p b G x B b m R P d G h l c k l u d G F u Z 2 l i b G V B c 3 N l d H M m c X V v d D s s J n F 1 b 3 Q 7 R 3 J v c 3 N B Y 2 N v d W 5 0 c 1 J l Y 2 V p d m F i b G U m c X V v d D s s J n F 1 b 3 Q 7 R 3 J v c 3 N Q U E U m c X V v d D s s J n F 1 b 3 Q 7 S G V s Z F R v T W F 0 d X J p d H l T Z W N 1 c m l 0 a W V z J n F 1 b 3 Q 7 L C Z x d W 9 0 O 0 l u Y 2 9 t Z V R h e F B h e W F i b G U m c X V v d D s s J n F 1 b 3 Q 7 S W 5 0 Z X J l c 3 R Q Y X l h Y m x l J n F 1 b 3 Q 7 L C Z x d W 9 0 O 0 l u d m V z d G V k Q 2 F w a X R h b C Z x d W 9 0 O y w m c X V v d D t J b n Z l c 3 R t Z W 5 0 a W 5 G a W 5 h b m N p Y W x B c 3 N l d H M m c X V v d D s s J n F 1 b 3 Q 7 S W 5 2 Z X N 0 b W V u d H N B b m R B Z H Z h b m N l c y Z x d W 9 0 O y w m c X V v d D t M Y W 5 k Q W 5 k S W 1 w c m 9 2 Z W 1 l b n R z J n F 1 b 3 Q 7 L C Z x d W 9 0 O 0 x l Y X N l c y Z x d W 9 0 O y w m c X V v d D t M b 2 5 n V G V y b U N h c G l 0 Y W x M Z W F z Z U 9 i b G l n Y X R p b 2 4 m c X V v d D s s J n F 1 b 3 Q 7 T G 9 u Z 1 R l c m 1 E Z W J 0 J n F 1 b 3 Q 7 L C Z x d W 9 0 O 0 x v b m d U Z X J t R G V i d E F u Z E N h c G l 0 Y W x M Z W F z Z U 9 i b G l n Y X R p b 2 4 m c X V v d D s s J n F 1 b 3 Q 7 T G 9 u Z 1 R l c m 1 F c X V p d H l J b n Z l c 3 R t Z W 5 0 J n F 1 b 3 Q 7 L C Z x d W 9 0 O 0 x v b m d U Z X J t U H J v d m l z a W 9 u c y Z x d W 9 0 O y w m c X V v d D t N Y W N o a W 5 l c n l G d X J u a X R 1 c m V F c X V p c G 1 l b n Q m c X V v d D s s J n F 1 b 3 Q 7 T W l u b 3 J p d H l J b n R l c m V z d C Z x d W 9 0 O y w m c X V v d D t O Z X R E Z W J 0 J n F 1 b 3 Q 7 L C Z x d W 9 0 O 0 5 l d F B Q R S Z x d W 9 0 O y w m c X V v d D t O Z X R U Y W 5 n a W J s Z U F z c 2 V 0 c y Z x d W 9 0 O y w m c X V v d D t O b 2 5 D d X J y Z W 5 0 R G V m Z X J y Z W R M a W F i a W x p d G l l c y Z x d W 9 0 O y w m c X V v d D t O b 2 5 D d X J y Z W 5 0 R G V m Z X J y Z W R U Y X h l c 0 x p Y W J p b G l 0 a W V z J n F 1 b 3 Q 7 L C Z x d W 9 0 O 0 5 v b k N 1 c n J l b n R O b 3 R l U m V j Z W l 2 Y W J s Z X M m c X V v d D s s J n F 1 b 3 Q 7 T 3 J k a W 5 h c n l T a G F y Z X N O d W 1 i Z X I m c X V v d D s s J n F 1 b 3 Q 7 T 3 R o Z X J D d X J y Z W 5 0 Q X N z Z X R z J n F 1 b 3 Q 7 L C Z x d W 9 0 O 0 9 0 a G V y Q 3 V y c m V u d E J v c n J v d 2 l u Z 3 M m c X V v d D s s J n F 1 b 3 Q 7 T 3 R o Z X J D d X J y Z W 5 0 T G l h Y m l s a X R p Z X M m c X V v d D s s J n F 1 b 3 Q 7 T 3 R o Z X J F c X V p d H l B Z G p 1 c 3 R t Z W 5 0 c y Z x d W 9 0 O y w m c X V v d D t P d G h l c k l u d G F u Z 2 l i b G V B c 3 N l d H M m c X V v d D s s J n F 1 b 3 Q 7 T 3 R o Z X J O b 2 5 D d X J y Z W 5 0 Q X N z Z X R z J n F 1 b 3 Q 7 L C Z x d W 9 0 O 0 9 0 a G V y T m 9 u Q 3 V y c m V u d E x p Y W J p b G l 0 a W V z J n F 1 b 3 Q 7 L C Z x d W 9 0 O 0 9 0 a G V y U G F 5 Y W J s Z S Z x d W 9 0 O y w m c X V v d D t P d G h l c l B y b 3 B l c n R p Z X M m c X V v d D s s J n F 1 b 3 Q 7 T 3 R o Z X J S Z W N l a X Z h Y m x l c y Z x d W 9 0 O y w m c X V v d D t P d G h l c l N o b 3 J 0 V G V y b U l u d m V z d G 1 l b n R z J n F 1 b 3 Q 7 L C Z x d W 9 0 O 1 B h e W F i b G V z J n F 1 b 3 Q 7 L C Z x d W 9 0 O 1 B h e W F i b G V z Q W 5 k Q W N j c n V l Z E V 4 c G V u c 2 V z J n F 1 b 3 Q 7 L C Z x d W 9 0 O 1 B l b n N p b 2 5 h b m R P d G h l c l B v c 3 R S Z X R p c m V t Z W 5 0 Q m V u Z W Z p d F B s Y W 5 z Q 3 V y c m V u d C Z x d W 9 0 O y w m c X V v d D t Q c m V m Z X J y Z W R T Z W N 1 c m l 0 a W V z T 3 V 0 c 2 l k Z V N 0 b 2 N r R X F 1 a X R 5 J n F 1 b 3 Q 7 L C Z x d W 9 0 O 1 B y Z X B h a W R B c 3 N l d H M m c X V v d D s s J n F 1 b 3 Q 7 U H J v c G V y d G l l c y Z x d W 9 0 O y w m c X V v d D t S Z W N l a X Z h Y m x l c y Z x d W 9 0 O y w m c X V v d D t S Z X N 0 c m l j d G V k Q 2 F z a C Z x d W 9 0 O y w m c X V v d D t S Z X R h a W 5 l Z E V h c m 5 p b m d z J n F 1 b 3 Q 7 L C Z x d W 9 0 O 1 N o Y X J l S X N z d W V k J n F 1 b 3 Q 7 L C Z x d W 9 0 O 1 N 0 b 2 N r a G 9 s Z G V y c 0 V x d W l 0 e S Z x d W 9 0 O y w m c X V v d D t U Y W 5 n a W J s Z U J v b 2 t W Y W x 1 Z S Z x d W 9 0 O y w m c X V v d D t U b 3 R h b E F z c 2 V 0 c y Z x d W 9 0 O y w m c X V v d D t U b 3 R h b E N h c G l 0 Y W x p e m F 0 a W 9 u J n F 1 b 3 Q 7 L C Z x d W 9 0 O 1 R v d G F s R G V i d C Z x d W 9 0 O y w m c X V v d D t U b 3 R h b E V x d W l 0 e U d y b 3 N z T W l u b 3 J p d H l J b n R l c m V z d C Z x d W 9 0 O y w m c X V v d D t U b 3 R h b E x p Y W J p b G l 0 a W V z T m V 0 T W l u b 3 J p d H l J b n R l c m V z d C Z x d W 9 0 O y w m c X V v d D t U b 3 R h b E 5 v b k N 1 c n J l b n R B c 3 N l d H M m c X V v d D s s J n F 1 b 3 Q 7 V G 9 0 Y W x O b 2 5 D d X J y Z W 5 0 T G l h Y m l s a X R p Z X N O Z X R N a W 5 v c m l 0 e U l u d G V y Z X N 0 J n F 1 b 3 Q 7 L C Z x d W 9 0 O 1 R v d G F s V G F 4 U G F 5 Y W J s Z S Z x d W 9 0 O y w m c X V v d D t U c m F k Z W F u Z E 9 0 a G V y U G F 5 Y W J s Z X N O b 2 5 D d X J y Z W 5 0 J n F 1 b 3 Q 7 L C Z x d W 9 0 O 1 d v c m t p b m d D Y X B p d G F s J n F 1 b 3 Q 7 L C Z x d W 9 0 O 0 N 1 c n J l b n R E Z W Z l c n J l Z E x p Y W J p b G l 0 a W V z J n F 1 b 3 Q 7 L C Z x d W 9 0 O 0 N 1 c n J l b n R E Z W Z l c n J l Z F J l d m V u d W U m c X V v d D s s J n F 1 b 3 Q 7 R W 1 w b G 9 5 Z W V C Z W 5 l Z m l 0 c y Z x d W 9 0 O y w m c X V v d D t G a W 5 p c 2 h l Z E d v b 2 R z J n F 1 b 3 Q 7 L C Z x d W 9 0 O 0 l u d m V u d G 9 y e S Z x d W 9 0 O y w m c X V v d D t B Y 2 N y d W V k S W 5 0 Z X J l c 3 R S Z W N l a X Z h Y m x l J n F 1 b 3 Q 7 L C Z x d W 9 0 O 0 5 v b k N 1 c n J l b n R E Z W Z l c n J l Z E F z c 2 V 0 c y Z x d W 9 0 O y w m c X V v d D t O b 2 5 D d X J y Z W 5 0 R G V m Z X J y Z W R U Y X h l c 0 F z c 2 V 0 c y Z x d W 9 0 O y w m c X V v d D t O b 2 5 D d X J y Z W 5 0 U G V u c 2 l v b k F u Z E 9 0 a G V y U G 9 z d H J l d G l y Z W 1 l b n R C Z W 5 l Z m l 0 U G x h b n M m c X V v d D s s J n F 1 b 3 Q 7 U m F 3 T W F 0 Z X J p Y W x z J n F 1 b 3 Q 7 L C Z x d W 9 0 O 1 d v c m t J b l B y b 2 N l c 3 M m c X V v d D s s J n F 1 b 3 Q 7 Q 2 F z a E V x d W l 2 Y W x l b n R z J n F 1 b 3 Q 7 L C Z x d W 9 0 O 0 N h c 2 h G a W 5 h b m N p Y W w m c X V v d D s s J n F 1 b 3 Q 7 S G V k Z 2 l u Z 0 F z c 2 V 0 c 0 N 1 c n J l b n Q m c X V v d D s s J n F 1 b 3 Q 7 T m 9 u Q 3 V y c m V u d E R l Z m V y c m V k U m V 2 Z W 5 1 Z S Z x d W 9 0 O y w m c X V v d D t D b 2 1 t Z X J j a W F s U G F w Z X I m c X V v d D s s J n F 1 b 3 Q 7 Q 3 V y c m V u d E 5 v d G V z U G F 5 Y W J s Z S Z x d W 9 0 O y w m c X V v d D t E a X Z p Z G V u Z H N Q Y X l h Y m x l J n F 1 b 3 Q 7 L C Z x d W 9 0 O 0 Z v c m V p Z 2 5 D d X J y Z W 5 j e V R y Y W 5 z b G F 0 a W 9 u Q W R q d X N 0 b W V u d H M m c X V v d D s s J n F 1 b 3 Q 7 T G 9 h b n N S Z W N l a X Z h Y m x l J n F 1 b 3 Q 7 L C Z x d W 9 0 O 0 l u d m V z d G 1 l b n R z a W 5 B c 3 N v Y 2 l h d G V z Y X R D b 3 N 0 J n F 1 b 3 Q 7 L C Z x d W 9 0 O 0 x p b m V P Z k N y Z W R p d C Z x d W 9 0 O y w m c X V v d D t N a W 5 p b X V t U G V u c 2 l v b k x p Y W J p b G l 0 a W V z J n F 1 b 3 Q 7 L C Z x d W 9 0 O 1 B y Z W Z l c n J l Z F N o Y X J l c 0 5 1 b W J l c i Z x d W 9 0 O y w m c X V v d D t Q c m V m Z X J y Z W R T d G 9 j a y Z x d W 9 0 O y w m c X V v d D t U c m V h c 3 V y e V N o Y X J l c 0 5 1 b W J l c i Z x d W 9 0 O y w m c X V v d D t U c m V h c 3 V y e V N 0 b 2 N r J n F 1 b 3 Q 7 L C Z x d W 9 0 O 1 V u c m V h b G l 6 Z W R H Y W l u T G 9 z c y Z x d W 9 0 O y w m c X V v d D t E Z W Z p b m V k U G V u c 2 l v b k J l b m V m a X Q m c X V v d D s s J n F 1 b 3 Q 7 T m 9 u Q 3 V y c m V u d E F j Y 2 9 1 b n R z U m V j Z W l 2 Y W J s Z S Z x d W 9 0 O y w m c X V v d D t P d G h l c k l u d m V u d G 9 y a W V z J n F 1 b 3 Q 7 L C Z x d W 9 0 O 0 9 0 a G V y S W 5 2 Z X N 0 b W V u d H M m c X V v d D s s J n F 1 b 3 Q 7 V G F 4 Z X N S Z W N l a X Z h Y m x l J n F 1 b 3 Q 7 L C Z x d W 9 0 O 0 N 1 c n J l b n R E Z W Z l c n J l Z E F z c 2 V 0 c y Z x d W 9 0 O y w m c X V v d D t E Z X J p d m F 0 a X Z l U H J v Z H V j d E x p Y W J p b G l 0 a W V z J n F 1 b 3 Q 7 L C Z x d W 9 0 O 0 Z p b m F u Y 2 l h b E F z c 2 V 0 c y Z x d W 9 0 O y w m c X V v d D t J b n Z l c 3 R t Z W 5 0 c 0 l u T 3 R o Z X J W Z W 5 0 d X J l c 1 V u Z G V y R X F 1 a X R 5 T W V 0 a G 9 k J n F 1 b 3 Q 7 L C Z x d W 9 0 O 0 x p Y W J p b G l 0 a W V z S G V s Z G Z v c l N h b G V O b 2 5 D d X J y Z W 5 0 J n F 1 b 3 Q 7 L C Z x d W 9 0 O 2 F z T 2 Z Z Z W F y J n F 1 b 3 Q 7 L C Z x d W 9 0 O 0 5 v b k N 1 c n J l b n R B Y 2 N y d W V k R X h w Z W 5 z Z X M m c X V v d D s s J n F 1 b 3 Q 7 T m 9 u Q 3 V y c m V u d F B y Z X B h a W R B c 3 N l d H M m c X V v d D s s J n F 1 b 3 Q 7 T 3 R o Z X J F c X V p d H l J b n R l c m V z d C Z x d W 9 0 O y w m c X V v d D t J b n Z l b n R v c m l l c 0 F k a n V z d G 1 l b n R z Q W x s b 3 d h b m N l c y Z x d W 9 0 O y w m c X V v d D t U a W N r Z X I m c X V v d D t d I i A v P j x F b n R y e S B U e X B l P S J G a W x s Q 2 9 s d W 1 u V H l w Z X M i I F Z h b H V l P S J z Q m d r R E J n W U R B d 0 1 E Q X d N R E F 3 T U R B d 0 1 E Q X d N R E F 3 T U R B d 0 1 E Q X d N R E F 3 T U R B d 0 1 E Q X d N R E F 3 T U R B d 0 1 E Q X d N R E F 3 T U R B d 0 1 E Q X d N R E F 3 T U R B d 0 1 E Q X d N R E F 3 T U R B d 0 1 E Q X d N R E F 3 T U R B d 0 1 E Q X d N R E F 3 T U R B d 0 1 E Q X d N Q U F 3 T U R B d 0 1 E Q X d N R E F 3 T U R B d 0 F E Q X d N R E F 3 T U R B d 0 1 E Q X d N R E F 3 T U R B d 0 1 B Q X d N R E F 3 W T 0 i I C 8 + P E V u d H J 5 I F R 5 c G U 9 I k Z p b G x M Y X N 0 V X B k Y X R l Z C I g V m F s d W U 9 I m Q y M D I 0 L T A 4 L T I 2 V D E 4 O j E z O j I 5 L j Q 5 O D k 1 M j d a I i A v P j x F b n R y e S B U e X B l P S J G a W x s U 3 R h d H V z I i B W Y W x 1 Z T 0 i c 0 N v b X B s Z X R l I i A v P j x F b n R y e S B U e X B l P S J G a W x s R X J y b 3 J D b 3 V u d C I g V m F s d W U 9 I m w w I i A v P j x F b n R y e S B U e X B l P S J S Z W x h d G l v b n N o a X B J b m Z v Q 2 9 u d G F p b m V y I i B W Y W x 1 Z T 0 i c 3 s m c X V v d D t j b 2 x 1 b W 5 D b 3 V u d C Z x d W 9 0 O z o x M z E s J n F 1 b 3 Q 7 a 2 V 5 Q 2 9 s d W 1 u T m F t Z X M m c X V v d D s 6 W 1 0 s J n F 1 b 3 Q 7 c X V l c n l S Z W x h d G l v b n N o a X B z J n F 1 b 3 Q 7 O l t d L C Z x d W 9 0 O 2 N v b H V t b k l k Z W 5 0 a X R p Z X M m c X V v d D s 6 W y Z x d W 9 0 O 1 N l Y 3 R p b 2 4 x L 0 J h b G F u Y 2 V T a G V l d C 9 D a G F u Z 2 V k I F R 5 c G U u e 2 l k L D B 9 J n F 1 b 3 Q 7 L C Z x d W 9 0 O 1 N l Y 3 R p b 2 4 x L 0 J h b G F u Y 2 V T a G V l d C 9 D a G F u Z 2 V k I F R 5 c G U u e 2 F z T 2 Z E Y X R l L D F 9 J n F 1 b 3 Q 7 L C Z x d W 9 0 O 1 N l Y 3 R p b 2 4 x L 0 J h b G F u Y 2 V T a G V l d C 9 J b n N l c n R l Z C B Z Z W F y L n t Z Z W F y L D E z M H 0 m c X V v d D s s J n F 1 b 3 Q 7 U 2 V j d G l v b j E v Q m F s Y W 5 j Z V N o Z W V 0 L 0 N o Y W 5 n Z W Q g V H l w Z S 5 7 c G V y a W 9 k V H l w Z S w y f S Z x d W 9 0 O y w m c X V v d D t T Z W N 0 a W 9 u M S 9 C Y W x h b m N l U 2 h l Z X Q v Q 2 h h b m d l Z C B U e X B l L n t j d X J y Z W 5 j e U N v Z G U s M 3 0 m c X V v d D s s J n F 1 b 3 Q 7 U 2 V j d G l v b j E v Q m F s Y W 5 j Z V N o Z W V 0 L 0 N o Y W 5 n Z W Q g V H l w Z S 5 7 Q W N j b 3 V u d H N Q Y X l h Y m x l L D R 9 J n F 1 b 3 Q 7 L C Z x d W 9 0 O 1 N l Y 3 R p b 2 4 x L 0 J h b G F u Y 2 V T a G V l d C 9 D a G F u Z 2 V k I F R 5 c G U u e 0 F j Y 2 9 1 b n R z U m V j Z W l 2 Y W J s Z S w 1 f S Z x d W 9 0 O y w m c X V v d D t T Z W N 0 a W 9 u M S 9 C Y W x h b m N l U 2 h l Z X Q v Q 2 h h b m d l Z C B U e X B l L n t B Y 2 N 1 b X V s Y X R l Z E R l c H J l Y 2 l h d G l v b i w 2 f S Z x d W 9 0 O y w m c X V v d D t T Z W N 0 a W 9 u M S 9 C Y W x h b m N l U 2 h l Z X Q v Q 2 h h b m d l Z C B U e X B l L n t B Z G R p d G l v b m F s U G F p Z E l u Q 2 F w a X R h b C w 3 f S Z x d W 9 0 O y w m c X V v d D t T Z W N 0 a W 9 u M S 9 C Y W x h b m N l U 2 h l Z X Q v Q 2 h h b m d l Z C B U e X B l L n t B b G x v d 2 F u Y 2 V G b 3 J E b 3 V i d G Z 1 b E F j Y 2 9 1 b n R z U m V j Z W l 2 Y W J s Z S w 4 f S Z x d W 9 0 O y w m c X V v d D t T Z W N 0 a W 9 u M S 9 C Y W x h b m N l U 2 h l Z X Q v Q 2 h h b m d l Z C B U e X B l L n t B c 3 N l d H N I Z W x k R m 9 y U 2 F s Z U N 1 c n J l b n Q s O T N 9 J n F 1 b 3 Q 7 L C Z x d W 9 0 O 1 N l Y 3 R p b 2 4 x L 0 J h b G F u Y 2 V T a G V l d C 9 D a G F u Z 2 V k I F R 5 c G U u e 0 F 2 Y W l s Y W J s Z U Z v c l N h b G V T Z W N 1 c m l 0 a W V z L D k 0 f S Z x d W 9 0 O y w m c X V v d D t T Z W N 0 a W 9 u M S 9 C Y W x h b m N l U 2 h l Z X Q v Q 2 h h b m d l Z C B U e X B l L n t C d W l s Z G l u Z 3 N B b m R J b X B y b 3 Z l b W V u d H M s O X 0 m c X V v d D s s J n F 1 b 3 Q 7 U 2 V j d G l v b j E v Q m F s Y W 5 j Z V N o Z W V 0 L 0 N o Y W 5 n Z W Q g V H l w Z S 5 7 Q 2 F w a X R h b E x l Y X N l T 2 J s a W d h d G l v b n M s M T B 9 J n F 1 b 3 Q 7 L C Z x d W 9 0 O 1 N l Y 3 R p b 2 4 x L 0 J h b G F u Y 2 V T a G V l d C 9 D a G F u Z 2 V k I F R 5 c G U u e 0 N h c G l 0 Y W x T d G 9 j a y w x M X 0 m c X V v d D s s J n F 1 b 3 Q 7 U 2 V j d G l v b j E v Q m F s Y W 5 j Z V N o Z W V 0 L 0 N o Y W 5 n Z W Q g V H l w Z S 5 7 Q 2 F z a E F u Z E N h c 2 h F c X V p d m F s Z W 5 0 c y w x M n 0 m c X V v d D s s J n F 1 b 3 Q 7 U 2 V j d G l v b j E v Q m F s Y W 5 j Z V N o Z W V 0 L 0 N o Y W 5 n Z W Q g V H l w Z S 5 7 Q 2 F z a E N h c 2 h F c X V p d m F s Z W 5 0 c 0 F u Z F N o b 3 J 0 V G V y b U l u d m V z d G 1 l b n R z L D E z f S Z x d W 9 0 O y w m c X V v d D t T Z W N 0 a W 9 u M S 9 C Y W x h b m N l U 2 h l Z X Q v Q 2 h h b m d l Z C B U e X B l L n t D b 2 1 t b 2 5 T d G 9 j a y w x N H 0 m c X V v d D s s J n F 1 b 3 Q 7 U 2 V j d G l v b j E v Q m F s Y W 5 j Z V N o Z W V 0 L 0 N o Y W 5 n Z W Q g V H l w Z S 5 7 Q 2 9 t b W 9 u U 3 R v Y 2 t F c X V p d H k s M T V 9 J n F 1 b 3 Q 7 L C Z x d W 9 0 O 1 N l Y 3 R p b 2 4 x L 0 J h b G F u Y 2 V T a G V l d C 9 D a G F u Z 2 V k I F R 5 c G U u e 0 N v b n N 0 c n V j d G l v b k l u U H J v Z 3 J l c 3 M s N z Z 9 J n F 1 b 3 Q 7 L C Z x d W 9 0 O 1 N l Y 3 R p b 2 4 x L 0 J h b G F u Y 2 V T a G V l d C 9 D a G F u Z 2 V k I F R 5 c G U u e 0 N 1 c n J l b n R B Y 2 N y d W V k R X h w Z W 5 z Z X M s M T Z 9 J n F 1 b 3 Q 7 L C Z x d W 9 0 O 1 N l Y 3 R p b 2 4 x L 0 J h b G F u Y 2 V T a G V l d C 9 D a G F u Z 2 V k I F R 5 c G U u e 0 N 1 c n J l b n R B c 3 N l d H M s M T d 9 J n F 1 b 3 Q 7 L C Z x d W 9 0 O 1 N l Y 3 R p b 2 4 x L 0 J h b G F u Y 2 V T a G V l d C 9 D a G F u Z 2 V k I F R 5 c G U u e 0 N 1 c n J l b n R D Y X B p d G F s T G V h c 2 V P Y m x p Z 2 F 0 a W 9 u L D E 4 f S Z x d W 9 0 O y w m c X V v d D t T Z W N 0 a W 9 u M S 9 C Y W x h b m N l U 2 h l Z X Q v Q 2 h h b m d l Z C B U e X B l L n t D d X J y Z W 5 0 R G V i d C w 3 N 3 0 m c X V v d D s s J n F 1 b 3 Q 7 U 2 V j d G l v b j E v Q m F s Y W 5 j Z V N o Z W V 0 L 0 N o Y W 5 n Z W Q g V H l w Z S 5 7 Q 3 V y c m V u d E R l Y n R B b m R D Y X B p d G F s T G V h c 2 V P Y m x p Z 2 F 0 a W 9 u L D E 5 f S Z x d W 9 0 O y w m c X V v d D t T Z W N 0 a W 9 u M S 9 C Y W x h b m N l U 2 h l Z X Q v Q 2 h h b m d l Z C B U e X B l L n t D d X J y Z W 5 0 T G l h Y m l s a X R p Z X M s M j J 9 J n F 1 b 3 Q 7 L C Z x d W 9 0 O 1 N l Y 3 R p b 2 4 x L 0 J h b G F u Y 2 V T a G V l d C 9 D a G F u Z 2 V k I F R 5 c G U u e 0 N 1 c n J l b n R Q c m 9 2 a X N p b 2 5 z L D k 2 f S Z x d W 9 0 O y w m c X V v d D t T Z W N 0 a W 9 u M S 9 C Y W x h b m N l U 2 h l Z X Q v Q 2 h h b m d l Z C B U e X B l L n t H Y W l u c 0 x v c 3 N l c 0 5 v d E F m Z m V j d G l u Z 1 J l d G F p b m V k R W F y b m l u Z 3 M s M j V 9 J n F 1 b 3 Q 7 L C Z x d W 9 0 O 1 N l Y 3 R p b 2 4 x L 0 J h b G F u Y 2 V T a G V l d C 9 D a G F u Z 2 V k I F R 5 c G U u e 0 d v b 2 R 3 a W x s L D I 2 f S Z x d W 9 0 O y w m c X V v d D t T Z W N 0 a W 9 u M S 9 C Y W x h b m N l U 2 h l Z X Q v Q 2 h h b m d l Z C B U e X B l L n t H b 2 9 k d 2 l s b E F u Z E 9 0 a G V y S W 5 0 Y W 5 n a W J s Z U F z c 2 V 0 c y w y N 3 0 m c X V v d D s s J n F 1 b 3 Q 7 U 2 V j d G l v b j E v Q m F s Y W 5 j Z V N o Z W V 0 L 0 N o Y W 5 n Z W Q g V H l w Z S 5 7 R 3 J v c 3 N B Y 2 N v d W 5 0 c 1 J l Y 2 V p d m F i b G U s M j h 9 J n F 1 b 3 Q 7 L C Z x d W 9 0 O 1 N l Y 3 R p b 2 4 x L 0 J h b G F u Y 2 V T a G V l d C 9 D a G F u Z 2 V k I F R 5 c G U u e 0 d y b 3 N z U F B F L D I 5 f S Z x d W 9 0 O y w m c X V v d D t T Z W N 0 a W 9 u M S 9 C Y W x h b m N l U 2 h l Z X Q v Q 2 h h b m d l Z C B U e X B l L n t I Z W x k V G 9 N Y X R 1 c m l 0 e V N l Y 3 V y a X R p Z X M s M T A x f S Z x d W 9 0 O y w m c X V v d D t T Z W N 0 a W 9 u M S 9 C Y W x h b m N l U 2 h l Z X Q v Q 2 h h b m d l Z C B U e X B l L n t J b m N v b W V U Y X h Q Y X l h Y m x l L D c 5 f S Z x d W 9 0 O y w m c X V v d D t T Z W N 0 a W 9 u M S 9 C Y W x h b m N l U 2 h l Z X Q v Q 2 h h b m d l Z C B U e X B l L n t J b n R l c m V z d F B h e W F i b G U s M T A y f S Z x d W 9 0 O y w m c X V v d D t T Z W N 0 a W 9 u M S 9 C Y W x h b m N l U 2 h l Z X Q v Q 2 h h b m d l Z C B U e X B l L n t J b n Z l c 3 R l Z E N h c G l 0 Y W w s M z F 9 J n F 1 b 3 Q 7 L C Z x d W 9 0 O 1 N l Y 3 R p b 2 4 x L 0 J h b G F u Y 2 V T a G V l d C 9 D a G F u Z 2 V k I F R 5 c G U u e 0 l u d m V z d G 1 l b n R p b k Z p b m F u Y 2 l h b E F z c 2 V 0 c y w x M D N 9 J n F 1 b 3 Q 7 L C Z x d W 9 0 O 1 N l Y 3 R p b 2 4 x L 0 J h b G F u Y 2 V T a G V l d C 9 D a G F u Z 2 V k I F R 5 c G U u e 0 l u d m V z d G 1 l b n R z Q W 5 k Q W R 2 Y W 5 j Z X M s O D h 9 J n F 1 b 3 Q 7 L C Z x d W 9 0 O 1 N l Y 3 R p b 2 4 x L 0 J h b G F u Y 2 V T a G V l d C 9 D a G F u Z 2 V k I F R 5 c G U u e 0 x h b m R B b m R J b X B y b 3 Z l b W V u d H M s M z J 9 J n F 1 b 3 Q 7 L C Z x d W 9 0 O 1 N l Y 3 R p b 2 4 x L 0 J h b G F u Y 2 V T a G V l d C 9 D a G F u Z 2 V k I F R 5 c G U u e 0 x l Y X N l c y w 4 O X 0 m c X V v d D s s J n F 1 b 3 Q 7 U 2 V j d G l v b j E v Q m F s Y W 5 j Z V N o Z W V 0 L 0 N o Y W 5 n Z W Q g V H l w Z S 5 7 T G 9 u Z 1 R l c m 1 D Y X B p d G F s T G V h c 2 V P Y m x p Z 2 F 0 a W 9 u L D M z f S Z x d W 9 0 O y w m c X V v d D t T Z W N 0 a W 9 u M S 9 C Y W x h b m N l U 2 h l Z X Q v Q 2 h h b m d l Z C B U e X B l L n t M b 2 5 n V G V y b U R l Y n Q s M z R 9 J n F 1 b 3 Q 7 L C Z x d W 9 0 O 1 N l Y 3 R p b 2 4 x L 0 J h b G F u Y 2 V T a G V l d C 9 D a G F u Z 2 V k I F R 5 c G U u e 0 x v b m d U Z X J t R G V i d E F u Z E N h c G l 0 Y W x M Z W F z Z U 9 i b G l n Y X R p b 2 4 s M z V 9 J n F 1 b 3 Q 7 L C Z x d W 9 0 O 1 N l Y 3 R p b 2 4 x L 0 J h b G F u Y 2 V T a G V l d C 9 D a G F u Z 2 V k I F R 5 c G U u e 0 x v b m d U Z X J t R X F 1 a X R 5 S W 5 2 Z X N 0 b W V u d C w 5 M H 0 m c X V v d D s s J n F 1 b 3 Q 7 U 2 V j d G l v b j E v Q m F s Y W 5 j Z V N o Z W V 0 L 0 N o Y W 5 n Z W Q g V H l w Z S 5 7 T G 9 u Z 1 R l c m 1 Q c m 9 2 a X N p b 2 5 z L D E w N 3 0 m c X V v d D s s J n F 1 b 3 Q 7 U 2 V j d G l v b j E v Q m F s Y W 5 j Z V N o Z W V 0 L 0 N o Y W 5 n Z W Q g V H l w Z S 5 7 T W F j a G l u Z X J 5 R n V y b m l 0 d X J l R X F 1 a X B t Z W 5 0 L D M 2 f S Z x d W 9 0 O y w m c X V v d D t T Z W N 0 a W 9 u M S 9 C Y W x h b m N l U 2 h l Z X Q v Q 2 h h b m d l Z C B U e X B l L n t N a W 5 v c m l 0 e U l u d G V y Z X N 0 L D M 3 f S Z x d W 9 0 O y w m c X V v d D t T Z W N 0 a W 9 u M S 9 C Y W x h b m N l U 2 h l Z X Q v Q 2 h h b m d l Z C B U e X B l L n t O Z X R E Z W J 0 L D M 4 f S Z x d W 9 0 O y w m c X V v d D t T Z W N 0 a W 9 u M S 9 C Y W x h b m N l U 2 h l Z X Q v Q 2 h h b m d l Z C B U e X B l L n t O Z X R Q U E U s M z l 9 J n F 1 b 3 Q 7 L C Z x d W 9 0 O 1 N l Y 3 R p b 2 4 x L 0 J h b G F u Y 2 V T a G V l d C 9 D a G F u Z 2 V k I F R 5 c G U u e 0 5 l d F R h b m d p Y m x l Q X N z Z X R z L D Q w f S Z x d W 9 0 O y w m c X V v d D t T Z W N 0 a W 9 u M S 9 C Y W x h b m N l U 2 h l Z X Q v Q 2 h h b m d l Z C B U e X B l L n t O b 2 5 D d X J y Z W 5 0 R G V m Z X J y Z W R M a W F i a W x p d G l l c y w 0 M n 0 m c X V v d D s s J n F 1 b 3 Q 7 U 2 V j d G l v b j E v Q m F s Y W 5 j Z V N o Z W V 0 L 0 N o Y W 5 n Z W Q g V H l w Z S 5 7 T m 9 u Q 3 V y c m V u d E R l Z m V y c m V k V G F 4 Z X N M a W F i a W x p d G l l c y w 4 M X 0 m c X V v d D s s J n F 1 b 3 Q 7 U 2 V j d G l v b j E v Q m F s Y W 5 j Z V N o Z W V 0 L 0 N o Y W 5 n Z W Q g V H l w Z S 5 7 T m 9 u Q 3 V y c m V u d E 5 v d G V S Z W N l a X Z h Y m x l c y w x M T F 9 J n F 1 b 3 Q 7 L C Z x d W 9 0 O 1 N l Y 3 R p b 2 4 x L 0 J h b G F u Y 2 V T a G V l d C 9 D a G F u Z 2 V k I F R 5 c G U u e 0 9 y Z G l u Y X J 5 U 2 h h c m V z T n V t Y m V y L D Q 1 f S Z x d W 9 0 O y w m c X V v d D t T Z W N 0 a W 9 u M S 9 C Y W x h b m N l U 2 h l Z X Q v Q 2 h h b m d l Z C B U e X B l L n t P d G h l c k N 1 c n J l b n R B c 3 N l d H M s N D Z 9 J n F 1 b 3 Q 7 L C Z x d W 9 0 O 1 N l Y 3 R p b 2 4 x L 0 J h b G F u Y 2 V T a G V l d C 9 D a G F u Z 2 V k I F R 5 c G U u e 0 9 0 a G V y Q 3 V y c m V u d E J v c n J v d 2 l u Z 3 M s O D J 9 J n F 1 b 3 Q 7 L C Z x d W 9 0 O 1 N l Y 3 R p b 2 4 x L 0 J h b G F u Y 2 V T a G V l d C 9 D a G F u Z 2 V k I F R 5 c G U u e 0 9 0 a G V y Q 3 V y c m V u d E x p Y W J p b G l 0 a W V z L D Q 3 f S Z x d W 9 0 O y w m c X V v d D t T Z W N 0 a W 9 u M S 9 C Y W x h b m N l U 2 h l Z X Q v Q 2 h h b m d l Z C B U e X B l L n t P d G h l c k V x d W l 0 e U F k a n V z d G 1 l b n R z L D Q 4 f S Z x d W 9 0 O y w m c X V v d D t T Z W N 0 a W 9 u M S 9 C Y W x h b m N l U 2 h l Z X Q v Q 2 h h b m d l Z C B U e X B l L n t P d G h l c k l u d G F u Z 2 l i b G V B c 3 N l d H M s N D l 9 J n F 1 b 3 Q 7 L C Z x d W 9 0 O 1 N l Y 3 R p b 2 4 x L 0 J h b G F u Y 2 V T a G V l d C 9 D a G F u Z 2 V k I F R 5 c G U u e 0 9 0 a G V y T m 9 u Q 3 V y c m V u d E F z c 2 V 0 c y w 1 M H 0 m c X V v d D s s J n F 1 b 3 Q 7 U 2 V j d G l v b j E v Q m F s Y W 5 j Z V N o Z W V 0 L 0 N o Y W 5 n Z W Q g V H l w Z S 5 7 T 3 R o Z X J O b 2 5 D d X J y Z W 5 0 T G l h Y m l s a X R p Z X M s N T F 9 J n F 1 b 3 Q 7 L C Z x d W 9 0 O 1 N l Y 3 R p b 2 4 x L 0 J h b G F u Y 2 V T a G V l d C 9 D a G F u Z 2 V k I F R 5 c G U u e 0 9 0 a G V y U G F 5 Y W J s Z S w x M T R 9 J n F 1 b 3 Q 7 L C Z x d W 9 0 O 1 N l Y 3 R p b 2 4 x L 0 J h b G F u Y 2 V T a G V l d C 9 D a G F u Z 2 V k I F R 5 c G U u e 0 9 0 a G V y U H J v c G V y d G l l c y w 1 M n 0 m c X V v d D s s J n F 1 b 3 Q 7 U 2 V j d G l v b j E v Q m F s Y W 5 j Z V N o Z W V 0 L 0 N o Y W 5 n Z W Q g V H l w Z S 5 7 T 3 R o Z X J S Z W N l a X Z h Y m x l c y w x M T V 9 J n F 1 b 3 Q 7 L C Z x d W 9 0 O 1 N l Y 3 R p b 2 4 x L 0 J h b G F u Y 2 V T a G V l d C 9 D a G F u Z 2 V k I F R 5 c G U u e 0 9 0 a G V y U 2 h v c n R U Z X J t S W 5 2 Z X N 0 b W V u d H M s O T F 9 J n F 1 b 3 Q 7 L C Z x d W 9 0 O 1 N l Y 3 R p b 2 4 x L 0 J h b G F u Y 2 V T a G V l d C 9 D a G F u Z 2 V k I F R 5 c G U u e 1 B h e W F i b G V z L D U z f S Z x d W 9 0 O y w m c X V v d D t T Z W N 0 a W 9 u M S 9 C Y W x h b m N l U 2 h l Z X Q v Q 2 h h b m d l Z C B U e X B l L n t Q Y X l h Y m x l c 0 F u Z E F j Y 3 J 1 Z W R F e H B l b n N l c y w 1 N H 0 m c X V v d D s s J n F 1 b 3 Q 7 U 2 V j d G l v b j E v Q m F s Y W 5 j Z V N o Z W V 0 L 0 N o Y W 5 n Z W Q g V H l w Z S 5 7 U G V u c 2 l v b m F u Z E 9 0 a G V y U G 9 z d F J l d G l y Z W 1 l b n R C Z W 5 l Z m l 0 U G x h b n N D d X J y Z W 5 0 L D U 1 f S Z x d W 9 0 O y w m c X V v d D t T Z W N 0 a W 9 u M S 9 C Y W x h b m N l U 2 h l Z X Q v Q 2 h h b m d l Z C B U e X B l L n t Q c m V m Z X J y Z W R T Z W N 1 c m l 0 a W V z T 3 V 0 c 2 l k Z V N 0 b 2 N r R X F 1 a X R 5 L D E y N n 0 m c X V v d D s s J n F 1 b 3 Q 7 U 2 V j d G l v b j E v Q m F s Y W 5 j Z V N o Z W V 0 L 0 N o Y W 5 n Z W Q g V H l w Z S 5 7 U H J l c G F p Z E F z c 2 V 0 c y w 4 M 3 0 m c X V v d D s s J n F 1 b 3 Q 7 U 2 V j d G l v b j E v Q m F s Y W 5 j Z V N o Z W V 0 L 0 N o Y W 5 n Z W Q g V H l w Z S 5 7 U H J v c G V y d G l l c y w 1 N 3 0 m c X V v d D s s J n F 1 b 3 Q 7 U 2 V j d G l v b j E v Q m F s Y W 5 j Z V N o Z W V 0 L 0 N o Y W 5 n Z W Q g V H l w Z S 5 7 U m V j Z W l 2 Y W J s Z X M s N T l 9 J n F 1 b 3 Q 7 L C Z x d W 9 0 O 1 N l Y 3 R p b 2 4 x L 0 J h b G F u Y 2 V T a G V l d C 9 D a G F u Z 2 V k I F R 5 c G U u e 1 J l c 3 R y a W N 0 Z W R D Y X N o L D E y M 3 0 m c X V v d D s s J n F 1 b 3 Q 7 U 2 V j d G l v b j E v Q m F s Y W 5 j Z V N o Z W V 0 L 0 N o Y W 5 n Z W Q g V H l w Z S 5 7 U m V 0 Y W l u Z W R F Y X J u a W 5 n c y w 2 M H 0 m c X V v d D s s J n F 1 b 3 Q 7 U 2 V j d G l v b j E v Q m F s Y W 5 j Z V N o Z W V 0 L 0 N o Y W 5 n Z W Q g V H l w Z S 5 7 U 2 h h c m V J c 3 N 1 Z W Q s N j F 9 J n F 1 b 3 Q 7 L C Z x d W 9 0 O 1 N l Y 3 R p b 2 4 x L 0 J h b G F u Y 2 V T a G V l d C 9 D a G F u Z 2 V k I F R 5 c G U u e 1 N 0 b 2 N r a G 9 s Z G V y c 0 V x d W l 0 e S w 2 M n 0 m c X V v d D s s J n F 1 b 3 Q 7 U 2 V j d G l v b j E v Q m F s Y W 5 j Z V N o Z W V 0 L 0 N o Y W 5 n Z W Q g V H l w Z S 5 7 V G F u Z 2 l i b G V C b 2 9 r V m F s d W U s N j N 9 J n F 1 b 3 Q 7 L C Z x d W 9 0 O 1 N l Y 3 R p b 2 4 x L 0 J h b G F u Y 2 V T a G V l d C 9 D a G F u Z 2 V k I F R 5 c G U u e 1 R v d G F s Q X N z Z X R z L D Y 0 f S Z x d W 9 0 O y w m c X V v d D t T Z W N 0 a W 9 u M S 9 C Y W x h b m N l U 2 h l Z X Q v Q 2 h h b m d l Z C B U e X B l L n t U b 3 R h b E N h c G l 0 Y W x p e m F 0 a W 9 u L D Y 1 f S Z x d W 9 0 O y w m c X V v d D t T Z W N 0 a W 9 u M S 9 C Y W x h b m N l U 2 h l Z X Q v Q 2 h h b m d l Z C B U e X B l L n t U b 3 R h b E R l Y n Q s N j Z 9 J n F 1 b 3 Q 7 L C Z x d W 9 0 O 1 N l Y 3 R p b 2 4 x L 0 J h b G F u Y 2 V T a G V l d C 9 D a G F u Z 2 V k I F R 5 c G U u e 1 R v d G F s R X F 1 a X R 5 R 3 J v c 3 N N a W 5 v c m l 0 e U l u d G V y Z X N 0 L D Y 3 f S Z x d W 9 0 O y w m c X V v d D t T Z W N 0 a W 9 u M S 9 C Y W x h b m N l U 2 h l Z X Q v Q 2 h h b m d l Z C B U e X B l L n t U b 3 R h b E x p Y W J p b G l 0 a W V z T m V 0 T W l u b 3 J p d H l J b n R l c m V z d C w 2 O H 0 m c X V v d D s s J n F 1 b 3 Q 7 U 2 V j d G l v b j E v Q m F s Y W 5 j Z V N o Z W V 0 L 0 N o Y W 5 n Z W Q g V H l w Z S 5 7 V G 9 0 Y W x O b 2 5 D d X J y Z W 5 0 Q X N z Z X R z L D Y 5 f S Z x d W 9 0 O y w m c X V v d D t T Z W N 0 a W 9 u M S 9 C Y W x h b m N l U 2 h l Z X Q v Q 2 h h b m d l Z C B U e X B l L n t U b 3 R h b E 5 v b k N 1 c n J l b n R M a W F i a W x p d G l l c 0 5 l d E 1 p b m 9 y a X R 5 S W 5 0 Z X J l c 3 Q s N z B 9 J n F 1 b 3 Q 7 L C Z x d W 9 0 O 1 N l Y 3 R p b 2 4 x L 0 J h b G F u Y 2 V T a G V l d C 9 D a G F u Z 2 V k I F R 5 c G U u e 1 R v d G F s V G F 4 U G F 5 Y W J s Z S w 3 M X 0 m c X V v d D s s J n F 1 b 3 Q 7 U 2 V j d G l v b j E v Q m F s Y W 5 j Z V N o Z W V 0 L 0 N o Y W 5 n Z W Q g V H l w Z S 5 7 V H J h Z G V h b m R P d G h l c l B h e W F i b G V z T m 9 u Q 3 V y c m V u d C w 3 M n 0 m c X V v d D s s J n F 1 b 3 Q 7 U 2 V j d G l v b j E v Q m F s Y W 5 j Z V N o Z W V 0 L 0 N o Y W 5 n Z W Q g V H l w Z S 5 7 V 2 9 y a 2 l u Z 0 N h c G l 0 Y W w s N z V 9 J n F 1 b 3 Q 7 L C Z x d W 9 0 O 1 N l Y 3 R p b 2 4 x L 0 J h b G F u Y 2 V T a G V l d C 9 D a G F u Z 2 V k I F R 5 c G U u e 0 N 1 c n J l b n R E Z W Z l c n J l Z E x p Y W J p b G l 0 a W V z L D I w f S Z x d W 9 0 O y w m c X V v d D t T Z W N 0 a W 9 u M S 9 C Y W x h b m N l U 2 h l Z X Q v Q 2 h h b m d l Z C B U e X B l L n t D d X J y Z W 5 0 R G V m Z X J y Z W R S Z X Z l b n V l L D I x f S Z x d W 9 0 O y w m c X V v d D t T Z W N 0 a W 9 u M S 9 C Y W x h b m N l U 2 h l Z X Q v Q 2 h h b m d l Z C B U e X B l L n t F b X B s b 3 l l Z U J l b m V m a X R z L D I z f S Z x d W 9 0 O y w m c X V v d D t T Z W N 0 a W 9 u M S 9 C Y W x h b m N l U 2 h l Z X Q v Q 2 h h b m d l Z C B U e X B l L n t G a W 5 p c 2 h l Z E d v b 2 R z L D I 0 f S Z x d W 9 0 O y w m c X V v d D t T Z W N 0 a W 9 u M S 9 C Y W x h b m N l U 2 h l Z X Q v Q 2 h h b m d l Z C B U e X B l L n t J b n Z l b n R v c n k s M z B 9 J n F 1 b 3 Q 7 L C Z x d W 9 0 O 1 N l Y 3 R p b 2 4 x L 0 J h b G F u Y 2 V T a G V l d C 9 Q c m 9 t b 3 R l Z C B I Z W F k Z X J z L n t B Y 2 N y d W V k S W 5 0 Z X J l c 3 R S Z W N l a X Z h Y m x l L D k y f S Z x d W 9 0 O y w m c X V v d D t T Z W N 0 a W 9 u M S 9 C Y W x h b m N l U 2 h l Z X Q v Q 2 h h b m d l Z C B U e X B l L n t O b 2 5 D d X J y Z W 5 0 R G V m Z X J y Z W R B c 3 N l d H M s M T A 5 f S Z x d W 9 0 O y w m c X V v d D t T Z W N 0 a W 9 u M S 9 C Y W x h b m N l U 2 h l Z X Q v Q 2 h h b m d l Z C B U e X B l L n t O b 2 5 D d X J y Z W 5 0 R G V m Z X J y Z W R U Y X h l c 0 F z c 2 V 0 c y w x M T B 9 J n F 1 b 3 Q 7 L C Z x d W 9 0 O 1 N l Y 3 R p b 2 4 x L 0 J h b G F u Y 2 V T a G V l d C 9 D a G F u Z 2 V k I F R 5 c G U u e 0 5 v b k N 1 c n J l b n R Q Z W 5 z a W 9 u Q W 5 k T 3 R o Z X J Q b 3 N 0 c m V 0 a X J l b W V u d E J l b m V m a X R Q b G F u c y w 0 N H 0 m c X V v d D s s J n F 1 b 3 Q 7 U 2 V j d G l v b j E v Q m F s Y W 5 j Z V N o Z W V 0 L 0 N o Y W 5 n Z W Q g V H l w Z S 5 7 U m F 3 T W F 0 Z X J p Y W x z L D U 4 f S Z x d W 9 0 O y w m c X V v d D t T Z W N 0 a W 9 u M S 9 C Y W x h b m N l U 2 h l Z X Q v Q 2 h h b m d l Z C B U e X B l L n t X b 3 J r S W 5 Q c m 9 j Z X N z L D c 0 f S Z x d W 9 0 O y w m c X V v d D t T Z W N 0 a W 9 u M S 9 C Y W x h b m N l U 2 h l Z X Q v Q 2 h h b m d l Z C B U e X B l L n t D Y X N o R X F 1 a X Z h b G V u d H M s O D V 9 J n F 1 b 3 Q 7 L C Z x d W 9 0 O 1 N l Y 3 R p b 2 4 x L 0 J h b G F u Y 2 V T a G V l d C 9 D a G F u Z 2 V k I F R 5 c G U u e 0 N h c 2 h G a W 5 h b m N p Y W w s O D Z 9 J n F 1 b 3 Q 7 L C Z x d W 9 0 O 1 N l Y 3 R p b 2 4 x L 0 J h b G F u Y 2 V T a G V l d C 9 D a G F u Z 2 V k I F R 5 c G U u e 0 h l Z G d p b m d B c 3 N l d H N D d X J y Z W 5 0 L D g 3 f S Z x d W 9 0 O y w m c X V v d D t T Z W N 0 a W 9 u M S 9 C Y W x h b m N l U 2 h l Z X Q v Q 2 h h b m d l Z C B U e X B l L n t O b 2 5 D d X J y Z W 5 0 R G V m Z X J y Z W R S Z X Z l b n V l L D Q z f S Z x d W 9 0 O y w m c X V v d D t T Z W N 0 a W 9 u M S 9 C Y W x h b m N l U 2 h l Z X Q v Q 2 h h b m d l Z C B U e X B l L n t D b 2 1 t Z X J j a W F s U G F w Z X I s O T V 9 J n F 1 b 3 Q 7 L C Z x d W 9 0 O 1 N l Y 3 R p b 2 4 x L 0 J h b G F u Y 2 V T a G V l d C 9 D a G F u Z 2 V k I F R 5 c G U u e 0 N 1 c n J l b n R O b 3 R l c 1 B h e W F i b G U s M T E 4 f S Z x d W 9 0 O y w m c X V v d D t T Z W N 0 a W 9 u M S 9 C Y W x h b m N l U 2 h l Z X Q v Q 2 h h b m d l Z C B U e X B l L n t E a X Z p Z G V u Z H N Q Y X l h Y m x l L D k 5 f S Z x d W 9 0 O y w m c X V v d D t T Z W N 0 a W 9 u M S 9 C Y W x h b m N l U 2 h l Z X Q v Q 2 h h b m d l Z C B U e X B l L n t G b 3 J l a W d u Q 3 V y c m V u Y 3 l U c m F u c 2 x h d G l v b k F k a n V z d G 1 l b n R z L D c 4 f S Z x d W 9 0 O y w m c X V v d D t T Z W N 0 a W 9 u M S 9 C Y W x h b m N l U 2 h l Z X Q v U H J v b W 9 0 Z W Q g S G V h Z G V y c y 5 7 T G 9 h b n N S Z W N l a X Z h Y m x l L D E w N n 0 m c X V v d D s s J n F 1 b 3 Q 7 U 2 V j d G l v b j E v Q m F s Y W 5 j Z V N o Z W V 0 L 0 N o Y W 5 n Z W Q g V H l w Z S 5 7 S W 5 2 Z X N 0 b W V u d H N p b k F z c 2 9 j a W F 0 Z X N h d E N v c 3 Q s M T A 0 f S Z x d W 9 0 O y w m c X V v d D t T Z W N 0 a W 9 u M S 9 C Y W x h b m N l U 2 h l Z X Q v Q 2 h h b m d l Z C B U e X B l L n t M a W 5 l T 2 Z D c m V k a X Q s M T A 1 f S Z x d W 9 0 O y w m c X V v d D t T Z W N 0 a W 9 u M S 9 C Y W x h b m N l U 2 h l Z X Q v Q 2 h h b m d l Z C B U e X B l L n t N a W 5 p b X V t U G V u c 2 l v b k x p Y W J p b G l 0 a W V z L D g w f S Z x d W 9 0 O y w m c X V v d D t T Z W N 0 a W 9 u M S 9 C Y W x h b m N l U 2 h l Z X Q v Q 2 h h b m d l Z C B U e X B l L n t Q c m V m Z X J y Z W R T a G F y Z X N O d W 1 i Z X I s M T E 5 f S Z x d W 9 0 O y w m c X V v d D t T Z W N 0 a W 9 u M S 9 C Y W x h b m N l U 2 h l Z X Q v Q 2 h h b m d l Z C B U e X B l L n t Q c m V m Z X J y Z W R T d G 9 j a y w 1 N n 0 m c X V v d D s s J n F 1 b 3 Q 7 U 2 V j d G l v b j E v Q m F s Y W 5 j Z V N o Z W V 0 L 0 N o Y W 5 n Z W Q g V H l w Z S 5 7 V H J l Y X N 1 c n l T a G F y Z X N O d W 1 i Z X I s N z N 9 J n F 1 b 3 Q 7 L C Z x d W 9 0 O 1 N l Y 3 R p b 2 4 x L 0 J h b G F u Y 2 V T a G V l d C 9 D a G F u Z 2 V k I F R 5 c G U u e 1 R y Z W F z d X J 5 U 3 R v Y 2 s s M T E 3 f S Z x d W 9 0 O y w m c X V v d D t T Z W N 0 a W 9 u M S 9 C Y W x h b m N l U 2 h l Z X Q v Q 2 h h b m d l Z C B U e X B l L n t V b n J l Y W x p e m V k R 2 F p b k x v c 3 M s O D R 9 J n F 1 b 3 Q 7 L C Z x d W 9 0 O 1 N l Y 3 R p b 2 4 x L 0 J h b G F u Y 2 V T a G V l d C 9 D a G F u Z 2 V k I F R 5 c G U u e 0 R l Z m l u Z W R Q Z W 5 z a W 9 u Q m V u Z W Z p d C w 5 N 3 0 m c X V v d D s s J n F 1 b 3 Q 7 U 2 V j d G l v b j E v Q m F s Y W 5 j Z V N o Z W V 0 L 0 N o Y W 5 n Z W Q g V H l w Z S 5 7 T m 9 u Q 3 V y c m V u d E F j Y 2 9 1 b n R z U m V j Z W l 2 Y W J s Z S w x M D h 9 J n F 1 b 3 Q 7 L C Z x d W 9 0 O 1 N l Y 3 R p b 2 4 x L 0 J h b G F u Y 2 V T a G V l d C 9 D a G F u Z 2 V k I F R 5 c G U u e 0 9 0 a G V y S W 5 2 Z W 5 0 b 3 J p Z X M s M T I x f S Z x d W 9 0 O y w m c X V v d D t T Z W N 0 a W 9 u M S 9 C Y W x h b m N l U 2 h l Z X Q v Q 2 h h b m d l Z C B U e X B l L n t P d G h l c k l u d m V z d G 1 l b n R z L D E y M n 0 m c X V v d D s s J n F 1 b 3 Q 7 U 2 V j d G l v b j E v Q m F s Y W 5 j Z V N o Z W V 0 L 0 N o Y W 5 n Z W Q g V H l w Z S 5 7 V G F 4 Z X N S Z W N l a X Z h Y m x l L D E x N n 0 m c X V v d D s s J n F 1 b 3 Q 7 U 2 V j d G l v b j E v Q m F s Y W 5 j Z V N o Z W V 0 L 0 N o Y W 5 n Z W Q g V H l w Z S 5 7 Q 3 V y c m V u d E R l Z m V y c m V k Q X N z Z X R z L D E y N 3 0 m c X V v d D s s J n F 1 b 3 Q 7 U 2 V j d G l v b j E v Q m F s Y W 5 j Z V N o Z W V 0 L 0 N o Y W 5 n Z W Q g V H l w Z S 5 7 R G V y a X Z h d G l 2 Z V B y b 2 R 1 Y 3 R M a W F i a W x p d G l l c y w 5 O H 0 m c X V v d D s s J n F 1 b 3 Q 7 U 2 V j d G l v b j E v Q m F s Y W 5 j Z V N o Z W V 0 L 0 N o Y W 5 n Z W Q g V H l w Z S 5 7 R m l u Y W 5 j a W F s Q X N z Z X R z L D E w M H 0 m c X V v d D s s J n F 1 b 3 Q 7 U 2 V j d G l v b j E v Q m F s Y W 5 j Z V N o Z W V 0 L 0 N o Y W 5 n Z W Q g V H l w Z S 5 7 S W 5 2 Z X N 0 b W V u d H N J b k 9 0 a G V y V m V u d H V y Z X N V b m R l c k V x d W l 0 e U 1 l d G h v Z C w x M j h 9 J n F 1 b 3 Q 7 L C Z x d W 9 0 O 1 N l Y 3 R p b 2 4 x L 0 J h b G F u Y 2 V T a G V l d C 9 D a G F u Z 2 V k I F R 5 c G U u e 0 x p Y W J p b G l 0 a W V z S G V s Z G Z v c l N h b G V O b 2 5 D d X J y Z W 5 0 L D E y O X 0 m c X V v d D s s J n F 1 b 3 Q 7 U 2 V j d G l v b j E v Q m F s Y W 5 j Z V N o Z W V 0 L 1 B y b 2 1 v d G V k I E h l Y W R l c n M u e 2 F z T 2 Z Z Z W F y L D E y N X 0 m c X V v d D s s J n F 1 b 3 Q 7 U 2 V j d G l v b j E v Q m F s Y W 5 j Z V N o Z W V 0 L 0 N o Y W 5 n Z W Q g V H l w Z S 5 7 T m 9 u Q 3 V y c m V u d E F j Y 3 J 1 Z W R F e H B l b n N l c y w 0 M X 0 m c X V v d D s s J n F 1 b 3 Q 7 U 2 V j d G l v b j E v Q m F s Y W 5 j Z V N o Z W V 0 L 0 N o Y W 5 n Z W Q g V H l w Z S 5 7 T m 9 u Q 3 V y c m V u d F B y Z X B h a W R B c 3 N l d H M s M T E y f S Z x d W 9 0 O y w m c X V v d D t T Z W N 0 a W 9 u M S 9 C Y W x h b m N l U 2 h l Z X Q v Q 2 h h b m d l Z C B U e X B l L n t P d G h l c k V x d W l 0 e U l u d G V y Z X N 0 L D E x M 3 0 m c X V v d D s s J n F 1 b 3 Q 7 U 2 V j d G l v b j E v Q m F s Y W 5 j Z V N o Z W V 0 L 0 N o Y W 5 n Z W Q g V H l w Z S 5 7 S W 5 2 Z W 5 0 b 3 J p Z X N B Z G p 1 c 3 R t Z W 5 0 c 0 F s b G 9 3 Y W 5 j Z X M s M T I w f S Z x d W 9 0 O y w m c X V v d D t T Z W N 0 a W 9 u M S 9 C Y W x h b m N l U 2 h l Z X Q v Q 2 h h b m d l Z C B U e X B l L n t U a W N r Z X I s M T I 0 f S Z x d W 9 0 O 1 0 s J n F 1 b 3 Q 7 Q 2 9 s d W 1 u Q 2 9 1 b n Q m c X V v d D s 6 M T M x L C Z x d W 9 0 O 0 t l e U N v b H V t b k 5 h b W V z J n F 1 b 3 Q 7 O l t d L C Z x d W 9 0 O 0 N v b H V t b k l k Z W 5 0 a X R p Z X M m c X V v d D s 6 W y Z x d W 9 0 O 1 N l Y 3 R p b 2 4 x L 0 J h b G F u Y 2 V T a G V l d C 9 D a G F u Z 2 V k I F R 5 c G U u e 2 l k L D B 9 J n F 1 b 3 Q 7 L C Z x d W 9 0 O 1 N l Y 3 R p b 2 4 x L 0 J h b G F u Y 2 V T a G V l d C 9 D a G F u Z 2 V k I F R 5 c G U u e 2 F z T 2 Z E Y X R l L D F 9 J n F 1 b 3 Q 7 L C Z x d W 9 0 O 1 N l Y 3 R p b 2 4 x L 0 J h b G F u Y 2 V T a G V l d C 9 J b n N l c n R l Z C B Z Z W F y L n t Z Z W F y L D E z M H 0 m c X V v d D s s J n F 1 b 3 Q 7 U 2 V j d G l v b j E v Q m F s Y W 5 j Z V N o Z W V 0 L 0 N o Y W 5 n Z W Q g V H l w Z S 5 7 c G V y a W 9 k V H l w Z S w y f S Z x d W 9 0 O y w m c X V v d D t T Z W N 0 a W 9 u M S 9 C Y W x h b m N l U 2 h l Z X Q v Q 2 h h b m d l Z C B U e X B l L n t j d X J y Z W 5 j e U N v Z G U s M 3 0 m c X V v d D s s J n F 1 b 3 Q 7 U 2 V j d G l v b j E v Q m F s Y W 5 j Z V N o Z W V 0 L 0 N o Y W 5 n Z W Q g V H l w Z S 5 7 Q W N j b 3 V u d H N Q Y X l h Y m x l L D R 9 J n F 1 b 3 Q 7 L C Z x d W 9 0 O 1 N l Y 3 R p b 2 4 x L 0 J h b G F u Y 2 V T a G V l d C 9 D a G F u Z 2 V k I F R 5 c G U u e 0 F j Y 2 9 1 b n R z U m V j Z W l 2 Y W J s Z S w 1 f S Z x d W 9 0 O y w m c X V v d D t T Z W N 0 a W 9 u M S 9 C Y W x h b m N l U 2 h l Z X Q v Q 2 h h b m d l Z C B U e X B l L n t B Y 2 N 1 b X V s Y X R l Z E R l c H J l Y 2 l h d G l v b i w 2 f S Z x d W 9 0 O y w m c X V v d D t T Z W N 0 a W 9 u M S 9 C Y W x h b m N l U 2 h l Z X Q v Q 2 h h b m d l Z C B U e X B l L n t B Z G R p d G l v b m F s U G F p Z E l u Q 2 F w a X R h b C w 3 f S Z x d W 9 0 O y w m c X V v d D t T Z W N 0 a W 9 u M S 9 C Y W x h b m N l U 2 h l Z X Q v Q 2 h h b m d l Z C B U e X B l L n t B b G x v d 2 F u Y 2 V G b 3 J E b 3 V i d G Z 1 b E F j Y 2 9 1 b n R z U m V j Z W l 2 Y W J s Z S w 4 f S Z x d W 9 0 O y w m c X V v d D t T Z W N 0 a W 9 u M S 9 C Y W x h b m N l U 2 h l Z X Q v Q 2 h h b m d l Z C B U e X B l L n t B c 3 N l d H N I Z W x k R m 9 y U 2 F s Z U N 1 c n J l b n Q s O T N 9 J n F 1 b 3 Q 7 L C Z x d W 9 0 O 1 N l Y 3 R p b 2 4 x L 0 J h b G F u Y 2 V T a G V l d C 9 D a G F u Z 2 V k I F R 5 c G U u e 0 F 2 Y W l s Y W J s Z U Z v c l N h b G V T Z W N 1 c m l 0 a W V z L D k 0 f S Z x d W 9 0 O y w m c X V v d D t T Z W N 0 a W 9 u M S 9 C Y W x h b m N l U 2 h l Z X Q v Q 2 h h b m d l Z C B U e X B l L n t C d W l s Z G l u Z 3 N B b m R J b X B y b 3 Z l b W V u d H M s O X 0 m c X V v d D s s J n F 1 b 3 Q 7 U 2 V j d G l v b j E v Q m F s Y W 5 j Z V N o Z W V 0 L 0 N o Y W 5 n Z W Q g V H l w Z S 5 7 Q 2 F w a X R h b E x l Y X N l T 2 J s a W d h d G l v b n M s M T B 9 J n F 1 b 3 Q 7 L C Z x d W 9 0 O 1 N l Y 3 R p b 2 4 x L 0 J h b G F u Y 2 V T a G V l d C 9 D a G F u Z 2 V k I F R 5 c G U u e 0 N h c G l 0 Y W x T d G 9 j a y w x M X 0 m c X V v d D s s J n F 1 b 3 Q 7 U 2 V j d G l v b j E v Q m F s Y W 5 j Z V N o Z W V 0 L 0 N o Y W 5 n Z W Q g V H l w Z S 5 7 Q 2 F z a E F u Z E N h c 2 h F c X V p d m F s Z W 5 0 c y w x M n 0 m c X V v d D s s J n F 1 b 3 Q 7 U 2 V j d G l v b j E v Q m F s Y W 5 j Z V N o Z W V 0 L 0 N o Y W 5 n Z W Q g V H l w Z S 5 7 Q 2 F z a E N h c 2 h F c X V p d m F s Z W 5 0 c 0 F u Z F N o b 3 J 0 V G V y b U l u d m V z d G 1 l b n R z L D E z f S Z x d W 9 0 O y w m c X V v d D t T Z W N 0 a W 9 u M S 9 C Y W x h b m N l U 2 h l Z X Q v Q 2 h h b m d l Z C B U e X B l L n t D b 2 1 t b 2 5 T d G 9 j a y w x N H 0 m c X V v d D s s J n F 1 b 3 Q 7 U 2 V j d G l v b j E v Q m F s Y W 5 j Z V N o Z W V 0 L 0 N o Y W 5 n Z W Q g V H l w Z S 5 7 Q 2 9 t b W 9 u U 3 R v Y 2 t F c X V p d H k s M T V 9 J n F 1 b 3 Q 7 L C Z x d W 9 0 O 1 N l Y 3 R p b 2 4 x L 0 J h b G F u Y 2 V T a G V l d C 9 D a G F u Z 2 V k I F R 5 c G U u e 0 N v b n N 0 c n V j d G l v b k l u U H J v Z 3 J l c 3 M s N z Z 9 J n F 1 b 3 Q 7 L C Z x d W 9 0 O 1 N l Y 3 R p b 2 4 x L 0 J h b G F u Y 2 V T a G V l d C 9 D a G F u Z 2 V k I F R 5 c G U u e 0 N 1 c n J l b n R B Y 2 N y d W V k R X h w Z W 5 z Z X M s M T Z 9 J n F 1 b 3 Q 7 L C Z x d W 9 0 O 1 N l Y 3 R p b 2 4 x L 0 J h b G F u Y 2 V T a G V l d C 9 D a G F u Z 2 V k I F R 5 c G U u e 0 N 1 c n J l b n R B c 3 N l d H M s M T d 9 J n F 1 b 3 Q 7 L C Z x d W 9 0 O 1 N l Y 3 R p b 2 4 x L 0 J h b G F u Y 2 V T a G V l d C 9 D a G F u Z 2 V k I F R 5 c G U u e 0 N 1 c n J l b n R D Y X B p d G F s T G V h c 2 V P Y m x p Z 2 F 0 a W 9 u L D E 4 f S Z x d W 9 0 O y w m c X V v d D t T Z W N 0 a W 9 u M S 9 C Y W x h b m N l U 2 h l Z X Q v Q 2 h h b m d l Z C B U e X B l L n t D d X J y Z W 5 0 R G V i d C w 3 N 3 0 m c X V v d D s s J n F 1 b 3 Q 7 U 2 V j d G l v b j E v Q m F s Y W 5 j Z V N o Z W V 0 L 0 N o Y W 5 n Z W Q g V H l w Z S 5 7 Q 3 V y c m V u d E R l Y n R B b m R D Y X B p d G F s T G V h c 2 V P Y m x p Z 2 F 0 a W 9 u L D E 5 f S Z x d W 9 0 O y w m c X V v d D t T Z W N 0 a W 9 u M S 9 C Y W x h b m N l U 2 h l Z X Q v Q 2 h h b m d l Z C B U e X B l L n t D d X J y Z W 5 0 T G l h Y m l s a X R p Z X M s M j J 9 J n F 1 b 3 Q 7 L C Z x d W 9 0 O 1 N l Y 3 R p b 2 4 x L 0 J h b G F u Y 2 V T a G V l d C 9 D a G F u Z 2 V k I F R 5 c G U u e 0 N 1 c n J l b n R Q c m 9 2 a X N p b 2 5 z L D k 2 f S Z x d W 9 0 O y w m c X V v d D t T Z W N 0 a W 9 u M S 9 C Y W x h b m N l U 2 h l Z X Q v Q 2 h h b m d l Z C B U e X B l L n t H Y W l u c 0 x v c 3 N l c 0 5 v d E F m Z m V j d G l u Z 1 J l d G F p b m V k R W F y b m l u Z 3 M s M j V 9 J n F 1 b 3 Q 7 L C Z x d W 9 0 O 1 N l Y 3 R p b 2 4 x L 0 J h b G F u Y 2 V T a G V l d C 9 D a G F u Z 2 V k I F R 5 c G U u e 0 d v b 2 R 3 a W x s L D I 2 f S Z x d W 9 0 O y w m c X V v d D t T Z W N 0 a W 9 u M S 9 C Y W x h b m N l U 2 h l Z X Q v Q 2 h h b m d l Z C B U e X B l L n t H b 2 9 k d 2 l s b E F u Z E 9 0 a G V y S W 5 0 Y W 5 n a W J s Z U F z c 2 V 0 c y w y N 3 0 m c X V v d D s s J n F 1 b 3 Q 7 U 2 V j d G l v b j E v Q m F s Y W 5 j Z V N o Z W V 0 L 0 N o Y W 5 n Z W Q g V H l w Z S 5 7 R 3 J v c 3 N B Y 2 N v d W 5 0 c 1 J l Y 2 V p d m F i b G U s M j h 9 J n F 1 b 3 Q 7 L C Z x d W 9 0 O 1 N l Y 3 R p b 2 4 x L 0 J h b G F u Y 2 V T a G V l d C 9 D a G F u Z 2 V k I F R 5 c G U u e 0 d y b 3 N z U F B F L D I 5 f S Z x d W 9 0 O y w m c X V v d D t T Z W N 0 a W 9 u M S 9 C Y W x h b m N l U 2 h l Z X Q v Q 2 h h b m d l Z C B U e X B l L n t I Z W x k V G 9 N Y X R 1 c m l 0 e V N l Y 3 V y a X R p Z X M s M T A x f S Z x d W 9 0 O y w m c X V v d D t T Z W N 0 a W 9 u M S 9 C Y W x h b m N l U 2 h l Z X Q v Q 2 h h b m d l Z C B U e X B l L n t J b m N v b W V U Y X h Q Y X l h Y m x l L D c 5 f S Z x d W 9 0 O y w m c X V v d D t T Z W N 0 a W 9 u M S 9 C Y W x h b m N l U 2 h l Z X Q v Q 2 h h b m d l Z C B U e X B l L n t J b n R l c m V z d F B h e W F i b G U s M T A y f S Z x d W 9 0 O y w m c X V v d D t T Z W N 0 a W 9 u M S 9 C Y W x h b m N l U 2 h l Z X Q v Q 2 h h b m d l Z C B U e X B l L n t J b n Z l c 3 R l Z E N h c G l 0 Y W w s M z F 9 J n F 1 b 3 Q 7 L C Z x d W 9 0 O 1 N l Y 3 R p b 2 4 x L 0 J h b G F u Y 2 V T a G V l d C 9 D a G F u Z 2 V k I F R 5 c G U u e 0 l u d m V z d G 1 l b n R p b k Z p b m F u Y 2 l h b E F z c 2 V 0 c y w x M D N 9 J n F 1 b 3 Q 7 L C Z x d W 9 0 O 1 N l Y 3 R p b 2 4 x L 0 J h b G F u Y 2 V T a G V l d C 9 D a G F u Z 2 V k I F R 5 c G U u e 0 l u d m V z d G 1 l b n R z Q W 5 k Q W R 2 Y W 5 j Z X M s O D h 9 J n F 1 b 3 Q 7 L C Z x d W 9 0 O 1 N l Y 3 R p b 2 4 x L 0 J h b G F u Y 2 V T a G V l d C 9 D a G F u Z 2 V k I F R 5 c G U u e 0 x h b m R B b m R J b X B y b 3 Z l b W V u d H M s M z J 9 J n F 1 b 3 Q 7 L C Z x d W 9 0 O 1 N l Y 3 R p b 2 4 x L 0 J h b G F u Y 2 V T a G V l d C 9 D a G F u Z 2 V k I F R 5 c G U u e 0 x l Y X N l c y w 4 O X 0 m c X V v d D s s J n F 1 b 3 Q 7 U 2 V j d G l v b j E v Q m F s Y W 5 j Z V N o Z W V 0 L 0 N o Y W 5 n Z W Q g V H l w Z S 5 7 T G 9 u Z 1 R l c m 1 D Y X B p d G F s T G V h c 2 V P Y m x p Z 2 F 0 a W 9 u L D M z f S Z x d W 9 0 O y w m c X V v d D t T Z W N 0 a W 9 u M S 9 C Y W x h b m N l U 2 h l Z X Q v Q 2 h h b m d l Z C B U e X B l L n t M b 2 5 n V G V y b U R l Y n Q s M z R 9 J n F 1 b 3 Q 7 L C Z x d W 9 0 O 1 N l Y 3 R p b 2 4 x L 0 J h b G F u Y 2 V T a G V l d C 9 D a G F u Z 2 V k I F R 5 c G U u e 0 x v b m d U Z X J t R G V i d E F u Z E N h c G l 0 Y W x M Z W F z Z U 9 i b G l n Y X R p b 2 4 s M z V 9 J n F 1 b 3 Q 7 L C Z x d W 9 0 O 1 N l Y 3 R p b 2 4 x L 0 J h b G F u Y 2 V T a G V l d C 9 D a G F u Z 2 V k I F R 5 c G U u e 0 x v b m d U Z X J t R X F 1 a X R 5 S W 5 2 Z X N 0 b W V u d C w 5 M H 0 m c X V v d D s s J n F 1 b 3 Q 7 U 2 V j d G l v b j E v Q m F s Y W 5 j Z V N o Z W V 0 L 0 N o Y W 5 n Z W Q g V H l w Z S 5 7 T G 9 u Z 1 R l c m 1 Q c m 9 2 a X N p b 2 5 z L D E w N 3 0 m c X V v d D s s J n F 1 b 3 Q 7 U 2 V j d G l v b j E v Q m F s Y W 5 j Z V N o Z W V 0 L 0 N o Y W 5 n Z W Q g V H l w Z S 5 7 T W F j a G l u Z X J 5 R n V y b m l 0 d X J l R X F 1 a X B t Z W 5 0 L D M 2 f S Z x d W 9 0 O y w m c X V v d D t T Z W N 0 a W 9 u M S 9 C Y W x h b m N l U 2 h l Z X Q v Q 2 h h b m d l Z C B U e X B l L n t N a W 5 v c m l 0 e U l u d G V y Z X N 0 L D M 3 f S Z x d W 9 0 O y w m c X V v d D t T Z W N 0 a W 9 u M S 9 C Y W x h b m N l U 2 h l Z X Q v Q 2 h h b m d l Z C B U e X B l L n t O Z X R E Z W J 0 L D M 4 f S Z x d W 9 0 O y w m c X V v d D t T Z W N 0 a W 9 u M S 9 C Y W x h b m N l U 2 h l Z X Q v Q 2 h h b m d l Z C B U e X B l L n t O Z X R Q U E U s M z l 9 J n F 1 b 3 Q 7 L C Z x d W 9 0 O 1 N l Y 3 R p b 2 4 x L 0 J h b G F u Y 2 V T a G V l d C 9 D a G F u Z 2 V k I F R 5 c G U u e 0 5 l d F R h b m d p Y m x l Q X N z Z X R z L D Q w f S Z x d W 9 0 O y w m c X V v d D t T Z W N 0 a W 9 u M S 9 C Y W x h b m N l U 2 h l Z X Q v Q 2 h h b m d l Z C B U e X B l L n t O b 2 5 D d X J y Z W 5 0 R G V m Z X J y Z W R M a W F i a W x p d G l l c y w 0 M n 0 m c X V v d D s s J n F 1 b 3 Q 7 U 2 V j d G l v b j E v Q m F s Y W 5 j Z V N o Z W V 0 L 0 N o Y W 5 n Z W Q g V H l w Z S 5 7 T m 9 u Q 3 V y c m V u d E R l Z m V y c m V k V G F 4 Z X N M a W F i a W x p d G l l c y w 4 M X 0 m c X V v d D s s J n F 1 b 3 Q 7 U 2 V j d G l v b j E v Q m F s Y W 5 j Z V N o Z W V 0 L 0 N o Y W 5 n Z W Q g V H l w Z S 5 7 T m 9 u Q 3 V y c m V u d E 5 v d G V S Z W N l a X Z h Y m x l c y w x M T F 9 J n F 1 b 3 Q 7 L C Z x d W 9 0 O 1 N l Y 3 R p b 2 4 x L 0 J h b G F u Y 2 V T a G V l d C 9 D a G F u Z 2 V k I F R 5 c G U u e 0 9 y Z G l u Y X J 5 U 2 h h c m V z T n V t Y m V y L D Q 1 f S Z x d W 9 0 O y w m c X V v d D t T Z W N 0 a W 9 u M S 9 C Y W x h b m N l U 2 h l Z X Q v Q 2 h h b m d l Z C B U e X B l L n t P d G h l c k N 1 c n J l b n R B c 3 N l d H M s N D Z 9 J n F 1 b 3 Q 7 L C Z x d W 9 0 O 1 N l Y 3 R p b 2 4 x L 0 J h b G F u Y 2 V T a G V l d C 9 D a G F u Z 2 V k I F R 5 c G U u e 0 9 0 a G V y Q 3 V y c m V u d E J v c n J v d 2 l u Z 3 M s O D J 9 J n F 1 b 3 Q 7 L C Z x d W 9 0 O 1 N l Y 3 R p b 2 4 x L 0 J h b G F u Y 2 V T a G V l d C 9 D a G F u Z 2 V k I F R 5 c G U u e 0 9 0 a G V y Q 3 V y c m V u d E x p Y W J p b G l 0 a W V z L D Q 3 f S Z x d W 9 0 O y w m c X V v d D t T Z W N 0 a W 9 u M S 9 C Y W x h b m N l U 2 h l Z X Q v Q 2 h h b m d l Z C B U e X B l L n t P d G h l c k V x d W l 0 e U F k a n V z d G 1 l b n R z L D Q 4 f S Z x d W 9 0 O y w m c X V v d D t T Z W N 0 a W 9 u M S 9 C Y W x h b m N l U 2 h l Z X Q v Q 2 h h b m d l Z C B U e X B l L n t P d G h l c k l u d G F u Z 2 l i b G V B c 3 N l d H M s N D l 9 J n F 1 b 3 Q 7 L C Z x d W 9 0 O 1 N l Y 3 R p b 2 4 x L 0 J h b G F u Y 2 V T a G V l d C 9 D a G F u Z 2 V k I F R 5 c G U u e 0 9 0 a G V y T m 9 u Q 3 V y c m V u d E F z c 2 V 0 c y w 1 M H 0 m c X V v d D s s J n F 1 b 3 Q 7 U 2 V j d G l v b j E v Q m F s Y W 5 j Z V N o Z W V 0 L 0 N o Y W 5 n Z W Q g V H l w Z S 5 7 T 3 R o Z X J O b 2 5 D d X J y Z W 5 0 T G l h Y m l s a X R p Z X M s N T F 9 J n F 1 b 3 Q 7 L C Z x d W 9 0 O 1 N l Y 3 R p b 2 4 x L 0 J h b G F u Y 2 V T a G V l d C 9 D a G F u Z 2 V k I F R 5 c G U u e 0 9 0 a G V y U G F 5 Y W J s Z S w x M T R 9 J n F 1 b 3 Q 7 L C Z x d W 9 0 O 1 N l Y 3 R p b 2 4 x L 0 J h b G F u Y 2 V T a G V l d C 9 D a G F u Z 2 V k I F R 5 c G U u e 0 9 0 a G V y U H J v c G V y d G l l c y w 1 M n 0 m c X V v d D s s J n F 1 b 3 Q 7 U 2 V j d G l v b j E v Q m F s Y W 5 j Z V N o Z W V 0 L 0 N o Y W 5 n Z W Q g V H l w Z S 5 7 T 3 R o Z X J S Z W N l a X Z h Y m x l c y w x M T V 9 J n F 1 b 3 Q 7 L C Z x d W 9 0 O 1 N l Y 3 R p b 2 4 x L 0 J h b G F u Y 2 V T a G V l d C 9 D a G F u Z 2 V k I F R 5 c G U u e 0 9 0 a G V y U 2 h v c n R U Z X J t S W 5 2 Z X N 0 b W V u d H M s O T F 9 J n F 1 b 3 Q 7 L C Z x d W 9 0 O 1 N l Y 3 R p b 2 4 x L 0 J h b G F u Y 2 V T a G V l d C 9 D a G F u Z 2 V k I F R 5 c G U u e 1 B h e W F i b G V z L D U z f S Z x d W 9 0 O y w m c X V v d D t T Z W N 0 a W 9 u M S 9 C Y W x h b m N l U 2 h l Z X Q v Q 2 h h b m d l Z C B U e X B l L n t Q Y X l h Y m x l c 0 F u Z E F j Y 3 J 1 Z W R F e H B l b n N l c y w 1 N H 0 m c X V v d D s s J n F 1 b 3 Q 7 U 2 V j d G l v b j E v Q m F s Y W 5 j Z V N o Z W V 0 L 0 N o Y W 5 n Z W Q g V H l w Z S 5 7 U G V u c 2 l v b m F u Z E 9 0 a G V y U G 9 z d F J l d G l y Z W 1 l b n R C Z W 5 l Z m l 0 U G x h b n N D d X J y Z W 5 0 L D U 1 f S Z x d W 9 0 O y w m c X V v d D t T Z W N 0 a W 9 u M S 9 C Y W x h b m N l U 2 h l Z X Q v Q 2 h h b m d l Z C B U e X B l L n t Q c m V m Z X J y Z W R T Z W N 1 c m l 0 a W V z T 3 V 0 c 2 l k Z V N 0 b 2 N r R X F 1 a X R 5 L D E y N n 0 m c X V v d D s s J n F 1 b 3 Q 7 U 2 V j d G l v b j E v Q m F s Y W 5 j Z V N o Z W V 0 L 0 N o Y W 5 n Z W Q g V H l w Z S 5 7 U H J l c G F p Z E F z c 2 V 0 c y w 4 M 3 0 m c X V v d D s s J n F 1 b 3 Q 7 U 2 V j d G l v b j E v Q m F s Y W 5 j Z V N o Z W V 0 L 0 N o Y W 5 n Z W Q g V H l w Z S 5 7 U H J v c G V y d G l l c y w 1 N 3 0 m c X V v d D s s J n F 1 b 3 Q 7 U 2 V j d G l v b j E v Q m F s Y W 5 j Z V N o Z W V 0 L 0 N o Y W 5 n Z W Q g V H l w Z S 5 7 U m V j Z W l 2 Y W J s Z X M s N T l 9 J n F 1 b 3 Q 7 L C Z x d W 9 0 O 1 N l Y 3 R p b 2 4 x L 0 J h b G F u Y 2 V T a G V l d C 9 D a G F u Z 2 V k I F R 5 c G U u e 1 J l c 3 R y a W N 0 Z W R D Y X N o L D E y M 3 0 m c X V v d D s s J n F 1 b 3 Q 7 U 2 V j d G l v b j E v Q m F s Y W 5 j Z V N o Z W V 0 L 0 N o Y W 5 n Z W Q g V H l w Z S 5 7 U m V 0 Y W l u Z W R F Y X J u a W 5 n c y w 2 M H 0 m c X V v d D s s J n F 1 b 3 Q 7 U 2 V j d G l v b j E v Q m F s Y W 5 j Z V N o Z W V 0 L 0 N o Y W 5 n Z W Q g V H l w Z S 5 7 U 2 h h c m V J c 3 N 1 Z W Q s N j F 9 J n F 1 b 3 Q 7 L C Z x d W 9 0 O 1 N l Y 3 R p b 2 4 x L 0 J h b G F u Y 2 V T a G V l d C 9 D a G F u Z 2 V k I F R 5 c G U u e 1 N 0 b 2 N r a G 9 s Z G V y c 0 V x d W l 0 e S w 2 M n 0 m c X V v d D s s J n F 1 b 3 Q 7 U 2 V j d G l v b j E v Q m F s Y W 5 j Z V N o Z W V 0 L 0 N o Y W 5 n Z W Q g V H l w Z S 5 7 V G F u Z 2 l i b G V C b 2 9 r V m F s d W U s N j N 9 J n F 1 b 3 Q 7 L C Z x d W 9 0 O 1 N l Y 3 R p b 2 4 x L 0 J h b G F u Y 2 V T a G V l d C 9 D a G F u Z 2 V k I F R 5 c G U u e 1 R v d G F s Q X N z Z X R z L D Y 0 f S Z x d W 9 0 O y w m c X V v d D t T Z W N 0 a W 9 u M S 9 C Y W x h b m N l U 2 h l Z X Q v Q 2 h h b m d l Z C B U e X B l L n t U b 3 R h b E N h c G l 0 Y W x p e m F 0 a W 9 u L D Y 1 f S Z x d W 9 0 O y w m c X V v d D t T Z W N 0 a W 9 u M S 9 C Y W x h b m N l U 2 h l Z X Q v Q 2 h h b m d l Z C B U e X B l L n t U b 3 R h b E R l Y n Q s N j Z 9 J n F 1 b 3 Q 7 L C Z x d W 9 0 O 1 N l Y 3 R p b 2 4 x L 0 J h b G F u Y 2 V T a G V l d C 9 D a G F u Z 2 V k I F R 5 c G U u e 1 R v d G F s R X F 1 a X R 5 R 3 J v c 3 N N a W 5 v c m l 0 e U l u d G V y Z X N 0 L D Y 3 f S Z x d W 9 0 O y w m c X V v d D t T Z W N 0 a W 9 u M S 9 C Y W x h b m N l U 2 h l Z X Q v Q 2 h h b m d l Z C B U e X B l L n t U b 3 R h b E x p Y W J p b G l 0 a W V z T m V 0 T W l u b 3 J p d H l J b n R l c m V z d C w 2 O H 0 m c X V v d D s s J n F 1 b 3 Q 7 U 2 V j d G l v b j E v Q m F s Y W 5 j Z V N o Z W V 0 L 0 N o Y W 5 n Z W Q g V H l w Z S 5 7 V G 9 0 Y W x O b 2 5 D d X J y Z W 5 0 Q X N z Z X R z L D Y 5 f S Z x d W 9 0 O y w m c X V v d D t T Z W N 0 a W 9 u M S 9 C Y W x h b m N l U 2 h l Z X Q v Q 2 h h b m d l Z C B U e X B l L n t U b 3 R h b E 5 v b k N 1 c n J l b n R M a W F i a W x p d G l l c 0 5 l d E 1 p b m 9 y a X R 5 S W 5 0 Z X J l c 3 Q s N z B 9 J n F 1 b 3 Q 7 L C Z x d W 9 0 O 1 N l Y 3 R p b 2 4 x L 0 J h b G F u Y 2 V T a G V l d C 9 D a G F u Z 2 V k I F R 5 c G U u e 1 R v d G F s V G F 4 U G F 5 Y W J s Z S w 3 M X 0 m c X V v d D s s J n F 1 b 3 Q 7 U 2 V j d G l v b j E v Q m F s Y W 5 j Z V N o Z W V 0 L 0 N o Y W 5 n Z W Q g V H l w Z S 5 7 V H J h Z G V h b m R P d G h l c l B h e W F i b G V z T m 9 u Q 3 V y c m V u d C w 3 M n 0 m c X V v d D s s J n F 1 b 3 Q 7 U 2 V j d G l v b j E v Q m F s Y W 5 j Z V N o Z W V 0 L 0 N o Y W 5 n Z W Q g V H l w Z S 5 7 V 2 9 y a 2 l u Z 0 N h c G l 0 Y W w s N z V 9 J n F 1 b 3 Q 7 L C Z x d W 9 0 O 1 N l Y 3 R p b 2 4 x L 0 J h b G F u Y 2 V T a G V l d C 9 D a G F u Z 2 V k I F R 5 c G U u e 0 N 1 c n J l b n R E Z W Z l c n J l Z E x p Y W J p b G l 0 a W V z L D I w f S Z x d W 9 0 O y w m c X V v d D t T Z W N 0 a W 9 u M S 9 C Y W x h b m N l U 2 h l Z X Q v Q 2 h h b m d l Z C B U e X B l L n t D d X J y Z W 5 0 R G V m Z X J y Z W R S Z X Z l b n V l L D I x f S Z x d W 9 0 O y w m c X V v d D t T Z W N 0 a W 9 u M S 9 C Y W x h b m N l U 2 h l Z X Q v Q 2 h h b m d l Z C B U e X B l L n t F b X B s b 3 l l Z U J l b m V m a X R z L D I z f S Z x d W 9 0 O y w m c X V v d D t T Z W N 0 a W 9 u M S 9 C Y W x h b m N l U 2 h l Z X Q v Q 2 h h b m d l Z C B U e X B l L n t G a W 5 p c 2 h l Z E d v b 2 R z L D I 0 f S Z x d W 9 0 O y w m c X V v d D t T Z W N 0 a W 9 u M S 9 C Y W x h b m N l U 2 h l Z X Q v Q 2 h h b m d l Z C B U e X B l L n t J b n Z l b n R v c n k s M z B 9 J n F 1 b 3 Q 7 L C Z x d W 9 0 O 1 N l Y 3 R p b 2 4 x L 0 J h b G F u Y 2 V T a G V l d C 9 Q c m 9 t b 3 R l Z C B I Z W F k Z X J z L n t B Y 2 N y d W V k S W 5 0 Z X J l c 3 R S Z W N l a X Z h Y m x l L D k y f S Z x d W 9 0 O y w m c X V v d D t T Z W N 0 a W 9 u M S 9 C Y W x h b m N l U 2 h l Z X Q v Q 2 h h b m d l Z C B U e X B l L n t O b 2 5 D d X J y Z W 5 0 R G V m Z X J y Z W R B c 3 N l d H M s M T A 5 f S Z x d W 9 0 O y w m c X V v d D t T Z W N 0 a W 9 u M S 9 C Y W x h b m N l U 2 h l Z X Q v Q 2 h h b m d l Z C B U e X B l L n t O b 2 5 D d X J y Z W 5 0 R G V m Z X J y Z W R U Y X h l c 0 F z c 2 V 0 c y w x M T B 9 J n F 1 b 3 Q 7 L C Z x d W 9 0 O 1 N l Y 3 R p b 2 4 x L 0 J h b G F u Y 2 V T a G V l d C 9 D a G F u Z 2 V k I F R 5 c G U u e 0 5 v b k N 1 c n J l b n R Q Z W 5 z a W 9 u Q W 5 k T 3 R o Z X J Q b 3 N 0 c m V 0 a X J l b W V u d E J l b m V m a X R Q b G F u c y w 0 N H 0 m c X V v d D s s J n F 1 b 3 Q 7 U 2 V j d G l v b j E v Q m F s Y W 5 j Z V N o Z W V 0 L 0 N o Y W 5 n Z W Q g V H l w Z S 5 7 U m F 3 T W F 0 Z X J p Y W x z L D U 4 f S Z x d W 9 0 O y w m c X V v d D t T Z W N 0 a W 9 u M S 9 C Y W x h b m N l U 2 h l Z X Q v Q 2 h h b m d l Z C B U e X B l L n t X b 3 J r S W 5 Q c m 9 j Z X N z L D c 0 f S Z x d W 9 0 O y w m c X V v d D t T Z W N 0 a W 9 u M S 9 C Y W x h b m N l U 2 h l Z X Q v Q 2 h h b m d l Z C B U e X B l L n t D Y X N o R X F 1 a X Z h b G V u d H M s O D V 9 J n F 1 b 3 Q 7 L C Z x d W 9 0 O 1 N l Y 3 R p b 2 4 x L 0 J h b G F u Y 2 V T a G V l d C 9 D a G F u Z 2 V k I F R 5 c G U u e 0 N h c 2 h G a W 5 h b m N p Y W w s O D Z 9 J n F 1 b 3 Q 7 L C Z x d W 9 0 O 1 N l Y 3 R p b 2 4 x L 0 J h b G F u Y 2 V T a G V l d C 9 D a G F u Z 2 V k I F R 5 c G U u e 0 h l Z G d p b m d B c 3 N l d H N D d X J y Z W 5 0 L D g 3 f S Z x d W 9 0 O y w m c X V v d D t T Z W N 0 a W 9 u M S 9 C Y W x h b m N l U 2 h l Z X Q v Q 2 h h b m d l Z C B U e X B l L n t O b 2 5 D d X J y Z W 5 0 R G V m Z X J y Z W R S Z X Z l b n V l L D Q z f S Z x d W 9 0 O y w m c X V v d D t T Z W N 0 a W 9 u M S 9 C Y W x h b m N l U 2 h l Z X Q v Q 2 h h b m d l Z C B U e X B l L n t D b 2 1 t Z X J j a W F s U G F w Z X I s O T V 9 J n F 1 b 3 Q 7 L C Z x d W 9 0 O 1 N l Y 3 R p b 2 4 x L 0 J h b G F u Y 2 V T a G V l d C 9 D a G F u Z 2 V k I F R 5 c G U u e 0 N 1 c n J l b n R O b 3 R l c 1 B h e W F i b G U s M T E 4 f S Z x d W 9 0 O y w m c X V v d D t T Z W N 0 a W 9 u M S 9 C Y W x h b m N l U 2 h l Z X Q v Q 2 h h b m d l Z C B U e X B l L n t E a X Z p Z G V u Z H N Q Y X l h Y m x l L D k 5 f S Z x d W 9 0 O y w m c X V v d D t T Z W N 0 a W 9 u M S 9 C Y W x h b m N l U 2 h l Z X Q v Q 2 h h b m d l Z C B U e X B l L n t G b 3 J l a W d u Q 3 V y c m V u Y 3 l U c m F u c 2 x h d G l v b k F k a n V z d G 1 l b n R z L D c 4 f S Z x d W 9 0 O y w m c X V v d D t T Z W N 0 a W 9 u M S 9 C Y W x h b m N l U 2 h l Z X Q v U H J v b W 9 0 Z W Q g S G V h Z G V y c y 5 7 T G 9 h b n N S Z W N l a X Z h Y m x l L D E w N n 0 m c X V v d D s s J n F 1 b 3 Q 7 U 2 V j d G l v b j E v Q m F s Y W 5 j Z V N o Z W V 0 L 0 N o Y W 5 n Z W Q g V H l w Z S 5 7 S W 5 2 Z X N 0 b W V u d H N p b k F z c 2 9 j a W F 0 Z X N h d E N v c 3 Q s M T A 0 f S Z x d W 9 0 O y w m c X V v d D t T Z W N 0 a W 9 u M S 9 C Y W x h b m N l U 2 h l Z X Q v Q 2 h h b m d l Z C B U e X B l L n t M a W 5 l T 2 Z D c m V k a X Q s M T A 1 f S Z x d W 9 0 O y w m c X V v d D t T Z W N 0 a W 9 u M S 9 C Y W x h b m N l U 2 h l Z X Q v Q 2 h h b m d l Z C B U e X B l L n t N a W 5 p b X V t U G V u c 2 l v b k x p Y W J p b G l 0 a W V z L D g w f S Z x d W 9 0 O y w m c X V v d D t T Z W N 0 a W 9 u M S 9 C Y W x h b m N l U 2 h l Z X Q v Q 2 h h b m d l Z C B U e X B l L n t Q c m V m Z X J y Z W R T a G F y Z X N O d W 1 i Z X I s M T E 5 f S Z x d W 9 0 O y w m c X V v d D t T Z W N 0 a W 9 u M S 9 C Y W x h b m N l U 2 h l Z X Q v Q 2 h h b m d l Z C B U e X B l L n t Q c m V m Z X J y Z W R T d G 9 j a y w 1 N n 0 m c X V v d D s s J n F 1 b 3 Q 7 U 2 V j d G l v b j E v Q m F s Y W 5 j Z V N o Z W V 0 L 0 N o Y W 5 n Z W Q g V H l w Z S 5 7 V H J l Y X N 1 c n l T a G F y Z X N O d W 1 i Z X I s N z N 9 J n F 1 b 3 Q 7 L C Z x d W 9 0 O 1 N l Y 3 R p b 2 4 x L 0 J h b G F u Y 2 V T a G V l d C 9 D a G F u Z 2 V k I F R 5 c G U u e 1 R y Z W F z d X J 5 U 3 R v Y 2 s s M T E 3 f S Z x d W 9 0 O y w m c X V v d D t T Z W N 0 a W 9 u M S 9 C Y W x h b m N l U 2 h l Z X Q v Q 2 h h b m d l Z C B U e X B l L n t V b n J l Y W x p e m V k R 2 F p b k x v c 3 M s O D R 9 J n F 1 b 3 Q 7 L C Z x d W 9 0 O 1 N l Y 3 R p b 2 4 x L 0 J h b G F u Y 2 V T a G V l d C 9 D a G F u Z 2 V k I F R 5 c G U u e 0 R l Z m l u Z W R Q Z W 5 z a W 9 u Q m V u Z W Z p d C w 5 N 3 0 m c X V v d D s s J n F 1 b 3 Q 7 U 2 V j d G l v b j E v Q m F s Y W 5 j Z V N o Z W V 0 L 0 N o Y W 5 n Z W Q g V H l w Z S 5 7 T m 9 u Q 3 V y c m V u d E F j Y 2 9 1 b n R z U m V j Z W l 2 Y W J s Z S w x M D h 9 J n F 1 b 3 Q 7 L C Z x d W 9 0 O 1 N l Y 3 R p b 2 4 x L 0 J h b G F u Y 2 V T a G V l d C 9 D a G F u Z 2 V k I F R 5 c G U u e 0 9 0 a G V y S W 5 2 Z W 5 0 b 3 J p Z X M s M T I x f S Z x d W 9 0 O y w m c X V v d D t T Z W N 0 a W 9 u M S 9 C Y W x h b m N l U 2 h l Z X Q v Q 2 h h b m d l Z C B U e X B l L n t P d G h l c k l u d m V z d G 1 l b n R z L D E y M n 0 m c X V v d D s s J n F 1 b 3 Q 7 U 2 V j d G l v b j E v Q m F s Y W 5 j Z V N o Z W V 0 L 0 N o Y W 5 n Z W Q g V H l w Z S 5 7 V G F 4 Z X N S Z W N l a X Z h Y m x l L D E x N n 0 m c X V v d D s s J n F 1 b 3 Q 7 U 2 V j d G l v b j E v Q m F s Y W 5 j Z V N o Z W V 0 L 0 N o Y W 5 n Z W Q g V H l w Z S 5 7 Q 3 V y c m V u d E R l Z m V y c m V k Q X N z Z X R z L D E y N 3 0 m c X V v d D s s J n F 1 b 3 Q 7 U 2 V j d G l v b j E v Q m F s Y W 5 j Z V N o Z W V 0 L 0 N o Y W 5 n Z W Q g V H l w Z S 5 7 R G V y a X Z h d G l 2 Z V B y b 2 R 1 Y 3 R M a W F i a W x p d G l l c y w 5 O H 0 m c X V v d D s s J n F 1 b 3 Q 7 U 2 V j d G l v b j E v Q m F s Y W 5 j Z V N o Z W V 0 L 0 N o Y W 5 n Z W Q g V H l w Z S 5 7 R m l u Y W 5 j a W F s Q X N z Z X R z L D E w M H 0 m c X V v d D s s J n F 1 b 3 Q 7 U 2 V j d G l v b j E v Q m F s Y W 5 j Z V N o Z W V 0 L 0 N o Y W 5 n Z W Q g V H l w Z S 5 7 S W 5 2 Z X N 0 b W V u d H N J b k 9 0 a G V y V m V u d H V y Z X N V b m R l c k V x d W l 0 e U 1 l d G h v Z C w x M j h 9 J n F 1 b 3 Q 7 L C Z x d W 9 0 O 1 N l Y 3 R p b 2 4 x L 0 J h b G F u Y 2 V T a G V l d C 9 D a G F u Z 2 V k I F R 5 c G U u e 0 x p Y W J p b G l 0 a W V z S G V s Z G Z v c l N h b G V O b 2 5 D d X J y Z W 5 0 L D E y O X 0 m c X V v d D s s J n F 1 b 3 Q 7 U 2 V j d G l v b j E v Q m F s Y W 5 j Z V N o Z W V 0 L 1 B y b 2 1 v d G V k I E h l Y W R l c n M u e 2 F z T 2 Z Z Z W F y L D E y N X 0 m c X V v d D s s J n F 1 b 3 Q 7 U 2 V j d G l v b j E v Q m F s Y W 5 j Z V N o Z W V 0 L 0 N o Y W 5 n Z W Q g V H l w Z S 5 7 T m 9 u Q 3 V y c m V u d E F j Y 3 J 1 Z W R F e H B l b n N l c y w 0 M X 0 m c X V v d D s s J n F 1 b 3 Q 7 U 2 V j d G l v b j E v Q m F s Y W 5 j Z V N o Z W V 0 L 0 N o Y W 5 n Z W Q g V H l w Z S 5 7 T m 9 u Q 3 V y c m V u d F B y Z X B h a W R B c 3 N l d H M s M T E y f S Z x d W 9 0 O y w m c X V v d D t T Z W N 0 a W 9 u M S 9 C Y W x h b m N l U 2 h l Z X Q v Q 2 h h b m d l Z C B U e X B l L n t P d G h l c k V x d W l 0 e U l u d G V y Z X N 0 L D E x M 3 0 m c X V v d D s s J n F 1 b 3 Q 7 U 2 V j d G l v b j E v Q m F s Y W 5 j Z V N o Z W V 0 L 0 N o Y W 5 n Z W Q g V H l w Z S 5 7 S W 5 2 Z W 5 0 b 3 J p Z X N B Z G p 1 c 3 R t Z W 5 0 c 0 F s b G 9 3 Y W 5 j Z X M s M T I w f S Z x d W 9 0 O y w m c X V v d D t T Z W N 0 a W 9 u M S 9 C Y W x h b m N l U 2 h l Z X Q v Q 2 h h b m d l Z C B U e X B l L n t U a W N r Z X I s M T I 0 f S Z x d W 9 0 O 1 0 s J n F 1 b 3 Q 7 U m V s Y X R p b 2 5 z a G l w S W 5 m b y Z x d W 9 0 O z p b X X 0 i I C 8 + P E V u d H J 5 I F R 5 c G U 9 I k Z p b G x F c n J v c k N v Z G U i I F Z h b H V l P S J z V W 5 r b m 9 3 b i I g L z 4 8 R W 5 0 c n k g V H l w Z T 0 i R m l s b E N v d W 5 0 I i B W Y W x 1 Z T 0 i b D Q y I i A v P j x F b n R y e S B U e X B l P S J B Z G R l Z F R v R G F 0 Y U 1 v Z G V s I i B W Y W x 1 Z T 0 i b D A i I C 8 + P C 9 T d G F i b G V F b n R y a W V z P j w v S X R l b T 4 8 S X R l b T 4 8 S X R l b U x v Y 2 F 0 a W 9 u P j x J d G V t V H l w Z T 5 G b 3 J t d W x h P C 9 J d G V t V H l w Z T 4 8 S X R l b V B h d G g + U 2 V j d G l v b j E v Q m F s Y W 5 j Z V N o Z W V 0 L 1 N v d X J j Z T w v S X R l b V B h d G g + P C 9 J d G V t T G 9 j Y X R p b 2 4 + P F N 0 Y W J s Z U V u d H J p Z X M g L z 4 8 L 0 l 0 Z W 0 + P E l 0 Z W 0 + P E l 0 Z W 1 M b 2 N h d G l v b j 4 8 S X R l b V R 5 c G U + R m 9 y b X V s Y T w v S X R l b V R 5 c G U + P E l 0 Z W 1 Q Y X R o P l N l Y 3 R p b 2 4 x L 0 J h b G F u Y 2 V T a G V l d C 9 C Y W x h b m N l U 2 h l Z X R f U 2 h l Z X Q 8 L 0 l 0 Z W 1 Q Y X R o P j w v S X R l b U x v Y 2 F 0 a W 9 u P j x T d G F i b G V F b n R y a W V z I C 8 + P C 9 J d G V t P j x J d G V t P j x J d G V t T G 9 j Y X R p b 2 4 + P E l 0 Z W 1 U e X B l P k Z v c m 1 1 b G E 8 L 0 l 0 Z W 1 U e X B l P j x J d G V t U G F 0 a D 5 T Z W N 0 a W 9 u M S 9 C Y W x h b m N l U 2 h l Z X Q v U H J v b W 9 0 Z W Q l M j B I Z W F k Z X J z P C 9 J d G V t U G F 0 a D 4 8 L 0 l 0 Z W 1 M b 2 N h d G l v b j 4 8 U 3 R h Y m x l R W 5 0 c m l l c y A v P j w v S X R l b T 4 8 S X R l b T 4 8 S X R l b U x v Y 2 F 0 a W 9 u P j x J d G V t V H l w Z T 5 G b 3 J t d W x h P C 9 J d G V t V H l w Z T 4 8 S X R l b V B h d G g + U 2 V j d G l v b j E v Q m F s Y W 5 j Z V N o Z W V 0 L 0 N o Y W 5 n Z W Q l M j B U e X B l P C 9 J d G V t U G F 0 a D 4 8 L 0 l 0 Z W 1 M b 2 N h d G l v b j 4 8 U 3 R h Y m x l R W 5 0 c m l l c y A v P j w v S X R l b T 4 8 S X R l b T 4 8 S X R l b U x v Y 2 F 0 a W 9 u P j x J d G V t V H l w Z T 5 G b 3 J t d W x h P C 9 J d G V t V H l w Z T 4 8 S X R l b V B h d G g + U 2 V j d G l v b j E v Q 2 F z a E Z s b 3 c 8 L 0 l 0 Z W 1 Q Y X R o P j w v S X R l b U x v Y 2 F 0 a W 9 u P j x T d G F i b G V F b n R y a W V z P j x F b n R y e S B U e X B l P S J J c 1 B y a X Z h d G U i I F Z h b H V l P S J s M C I g L z 4 8 R W 5 0 c n k g V H l w Z T 0 i U X V l c n l J R C I g V m F s d W U 9 I n M 2 N 2 Y z N D B m Y i 0 w Y z M 2 L T Q w Y m E t Y j J h Y i 1 k O G I 0 N W R h Y W J i Z T 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h c 2 h G b G 9 3 I i A v P j x F b n R y e S B U e X B l P S J G a W x s Z W R D b 2 1 w b G V 0 Z V J l c 3 V s d F R v V 2 9 y a 3 N o Z W V 0 I i B W Y W x 1 Z T 0 i b D E i I C 8 + P E V u d H J 5 I F R 5 c G U 9 I k Z p b G x D b 2 x 1 b W 5 O Y W 1 l c y I g V m F s d W U 9 I n N b J n F 1 b 3 Q 7 a W Q m c X V v d D s s J n F 1 b 3 Q 7 Y X N P Z k R h d G U m c X V v d D s s J n F 1 b 3 Q 7 W W V h c i Z x d W 9 0 O y w m c X V v d D t w Z X J p b 2 R U e X B l J n F 1 b 3 Q 7 L C Z x d W 9 0 O 2 N 1 c n J l b m N 5 Q 2 9 k Z S Z x d W 9 0 O y w m c X V v d D t B c 3 N l d E l t c G F p c m 1 l b n R D a G F y Z 2 U m c X V v d D s s J n F 1 b 3 Q 7 Q m V n a W 5 u a W 5 n Q 2 F z a F B v c 2 l 0 a W 9 u J n F 1 b 3 Q 7 L C Z x d W 9 0 O 0 N h c G l 0 Y W x F e H B l b m R p d H V y Z S Z x d W 9 0 O y w m c X V v d D t D Y X N o R m x v d 0 Z y b 2 1 D b 2 5 0 a W 5 1 a W 5 n R m l u Y W 5 j a W 5 n Q W N 0 a X Z p d G l l c y Z x d W 9 0 O y w m c X V v d D t D Y X N o R m x v d 0 Z y b 2 1 D b 2 5 0 a W 5 1 a W 5 n S W 5 2 Z X N 0 a W 5 n Q W N 0 a X Z p d G l l c y Z x d W 9 0 O y w m c X V v d D t D Y X N o R m x v d 0 Z y b 2 1 D b 2 5 0 a W 5 1 a W 5 n T 3 B l c m F 0 a W 5 n Q W N 0 a X Z p d G l l c y Z x d W 9 0 O y w m c X V v d D t D a G F u Z 2 V J b k F j Y 2 9 1 b n R Q Y X l h Y m x l J n F 1 b 3 Q 7 L C Z x d W 9 0 O 0 N o Y W 5 n Z U l u Q W N j c n V l Z E V 4 c G V u c 2 U m c X V v d D s s J n F 1 b 3 Q 7 Q 2 h h b m d l S W 5 D Y X N o U 3 V w c G x l b W V u d G F s Q X N S Z X B v c n R l Z C Z x d W 9 0 O y w m c X V v d D t D a G F u Z 2 V J b k 9 0 a G V y Q 3 V y c m V u d E F z c 2 V 0 c y Z x d W 9 0 O y w m c X V v d D t D a G F u Z 2 V J b k 9 0 a G V y Q 3 V y c m V u d E x p Y W J p b G l 0 a W V z J n F 1 b 3 Q 7 L C Z x d W 9 0 O 0 N o Y W 5 n Z U l u T 3 R o Z X J X b 3 J r a W 5 n Q 2 F w a X R h b C Z x d W 9 0 O y w m c X V v d D t D a G F u Z 2 V J b l B h e W F i b G U m c X V v d D s s J n F 1 b 3 Q 7 Q 2 h h b m d l S W 5 Q Y X l h Y m x l c 0 F u Z E F j Y 3 J 1 Z W R F e H B l b n N l J n F 1 b 3 Q 7 L C Z x d W 9 0 O 0 N o Y W 5 n Z U l u U H J l c G F p Z E F z c 2 V 0 c y Z x d W 9 0 O y w m c X V v d D t D a G F u Z 2 V J b l J l Y 2 V p d m F i b G V z J n F 1 b 3 Q 7 L C Z x d W 9 0 O 0 N o Y W 5 n Z U l u V 2 9 y a 2 l u Z 0 N h c G l 0 Y W w m c X V v d D s s J n F 1 b 3 Q 7 Q 2 h h b m d l c 0 l u Q W N j b 3 V u d F J l Y 2 V p d m F i b G V z J n F 1 b 3 Q 7 L C Z x d W 9 0 O 0 N o Y W 5 n Z X N J b k N h c 2 g m c X V v d D s s J n F 1 b 3 Q 7 Q 2 9 t b W 9 u U 3 R v Y 2 t J c 3 N 1 Y W 5 j Z S Z x d W 9 0 O y w m c X V v d D t D b 2 1 t b 2 5 T d G 9 j a 1 B h e W 1 l b n R z J n F 1 b 3 Q 7 L C Z x d W 9 0 O 0 R l Z m V y c m V k S W 5 j b 2 1 l V G F 4 J n F 1 b 3 Q 7 L C Z x d W 9 0 O 0 R l Z m V y c m V k V G F 4 J n F 1 b 3 Q 7 L C Z x d W 9 0 O 0 R l c H J l Y 2 l h d G l v b k F t b 3 J 0 a X p h d G l v b k R l c G x l d G l v b i Z x d W 9 0 O y w m c X V v d D t E Z X B y Z W N p Y X R p b 2 5 B b m R B b W 9 y d G l 6 Y X R p b 2 4 m c X V v d D s s J n F 1 b 3 Q 7 R W F y b m l u Z 3 N M b 3 N z Z X N G c m 9 t R X F 1 a X R 5 S W 5 2 Z X N 0 b W V u d H M m c X V v d D s s J n F 1 b 3 Q 7 R W Z m Z W N 0 T 2 Z F e G N o Y W 5 n Z V J h d G V D a G F u Z 2 V z J n F 1 b 3 Q 7 L C Z x d W 9 0 O 0 V u Z E N h c 2 h Q b 3 N p d G l v b i Z x d W 9 0 O y w m c X V v d D t G a W 5 h b m N p b m d D Y X N o R m x v d y Z x d W 9 0 O y w m c X V v d D t G c m V l Q 2 F z a E Z s b 3 c m c X V v d D s s J n F 1 b 3 Q 7 R 2 F p b k x v c 3 N P b k l u d m V z d G 1 l b n R T Z W N 1 c m l 0 a W V z J n F 1 b 3 Q 7 L C Z x d W 9 0 O 0 d h a W 5 M b 3 N z T 2 5 T Y W x l T 2 Z C d X N p b m V z c y Z x d W 9 0 O y w m c X V v d D t J b m N v b W V U Y X h Q Y W l k U 3 V w c G x l b W V u d G F s R G F 0 Y S Z x d W 9 0 O y w m c X V v d D t J b n R l c m V z d F B h a W R T d X B w b G V t Z W 5 0 Y W x E Y X R h J n F 1 b 3 Q 7 L C Z x d W 9 0 O 0 l u d m V z d G l u Z 0 N h c 2 h G b G 9 3 J n F 1 b 3 Q 7 L C Z x d W 9 0 O 0 l z c 3 V h b m N l T 2 Z D Y X B p d G F s U 3 R v Y 2 s m c X V v d D s s J n F 1 b 3 Q 7 S X N z d W F u Y 2 V P Z k R l Y n Q m c X V v d D s s J n F 1 b 3 Q 7 T G 9 u Z 1 R l c m 1 E Z W J 0 S X N z d W F u Y 2 U m c X V v d D s s J n F 1 b 3 Q 7 T G 9 u Z 1 R l c m 1 E Z W J 0 U G F 5 b W V u d H M m c X V v d D s s J n F 1 b 3 Q 7 T m V 0 Q n V z a W 5 l c 3 N Q d X J j a G F z Z U F u Z F N h b G U m c X V v d D s s J n F 1 b 3 Q 7 T m V 0 Q 2 9 t b W 9 u U 3 R v Y 2 t J c 3 N 1 Y W 5 j Z S Z x d W 9 0 O y w m c X V v d D t O Z X R G b 3 J l a W d u Q 3 V y c m V u Y 3 l F e G N o Y W 5 n Z U d h a W 5 M b 3 N z J n F 1 b 3 Q 7 L C Z x d W 9 0 O 0 5 l d E l u Y 2 9 t Z S Z x d W 9 0 O y w m c X V v d D t O Z X R J b m N v b W V G c m 9 t Q 2 9 u d G l u d W l u Z 0 9 w Z X J h d G l v b n M m c X V v d D s s J n F 1 b 3 Q 7 T m V 0 S W 5 2 Z X N 0 b W V u d F B 1 c m N o Y X N l Q W 5 k U 2 F s Z S Z x d W 9 0 O y w m c X V v d D t O Z X R J c 3 N 1 Y W 5 j Z V B h e W 1 l b n R z T 2 Z E Z W J 0 J n F 1 b 3 Q 7 L C Z x d W 9 0 O 0 5 l d E x v b m d U Z X J t R G V i d E l z c 3 V h b m N l J n F 1 b 3 Q 7 L C Z x d W 9 0 O 0 5 l d E 9 0 a G V y R m l u Y W 5 j a W 5 n Q 2 h h c m d l c y Z x d W 9 0 O y w m c X V v d D t O Z X R P d G h l c k l u d m V z d G l u Z 0 N o Y W 5 n Z X M m c X V v d D s s J n F 1 b 3 Q 7 T m V 0 U F B F U H V y Y 2 h h c 2 V B b m R T Y W x l J n F 1 b 3 Q 7 L C Z x d W 9 0 O 0 5 l d F B y Z W Z l c n J l Z F N 0 b 2 N r S X N z d W F u Y 2 U m c X V v d D s s J n F 1 b 3 Q 7 T 3 B l c m F 0 a W 5 n Q 2 F z a E Z s b 3 c m c X V v d D s s J n F 1 b 3 Q 7 T 3 B l c m F 0 a W 5 n R 2 F p b n N M b 3 N z Z X M m c X V v d D s s J n F 1 b 3 Q 7 T 3 R o Z X J D Y X N o Q W R q d X N 0 b W V u d E 9 1 d H N p Z G V D a G F u Z 2 V p b k N h c 2 g m c X V v d D s s J n F 1 b 3 Q 7 T 3 R o Z X J O b 2 5 D Y X N o S X R l b X M m c X V v d D s s J n F 1 b 3 Q 7 U H J l Z m V y c m V k U 3 R v Y 2 t J c 3 N 1 Y W 5 j Z S Z x d W 9 0 O y w m c X V v d D t Q c m 9 j Z W V k c 0 Z y b 2 1 T d G 9 j a 0 9 w d G l v b k V 4 Z X J j a X N l Z C Z x d W 9 0 O y w m c X V v d D t Q d X J j a G F z Z U 9 m Q n V z a W 5 l c 3 M m c X V v d D s s J n F 1 b 3 Q 7 U H V y Y 2 h h c 2 V P Z k l u d m V z d G 1 l b n Q m c X V v d D s s J n F 1 b 3 Q 7 U H V y Y 2 h h c 2 V P Z l B Q R S Z x d W 9 0 O y w m c X V v d D t S Z X B h e W 1 l b n R P Z k R l Y n Q m c X V v d D s s J n F 1 b 3 Q 7 U m V w d X J j a G F z Z U 9 m Q 2 F w a X R h b F N 0 b 2 N r J n F 1 b 3 Q 7 L C Z x d W 9 0 O 1 N h b G V P Z k J 1 c 2 l u Z X N z J n F 1 b 3 Q 7 L C Z x d W 9 0 O 1 N h b G V P Z k l u d m V z d G 1 l b n Q m c X V v d D s s J n F 1 b 3 Q 7 U 2 F s Z U 9 m U F B F J n F 1 b 3 Q 7 L C Z x d W 9 0 O 1 N 0 b 2 N r Q m F z Z W R D b 2 1 w Z W 5 z Y X R p b 2 4 m c X V v d D s s J n F 1 b 3 Q 7 V W 5 y Z W F s a X p l Z E d h a W 5 M b 3 N z T 2 5 J b n Z l c 3 R t Z W 5 0 U 2 V j d X J p d G l l c y Z x d W 9 0 O y w m c X V v d D t B b W 9 y d G l 6 Y X R p b 2 5 D Y X N o R m x v d y Z x d W 9 0 O y w m c X V v d D t B b W 9 y d G l 6 Y X R p b 2 5 P Z k l u d G F u Z 2 l i b G V z J n F 1 b 3 Q 7 L C Z x d W 9 0 O 0 N h c G l 0 Y W x F e H B l b m R p d H V y Z V J l c G 9 y d G V k J n F 1 b 3 Q 7 L C Z x d W 9 0 O 0 N h c 2 h E a X Z p Z G V u Z H N Q Y W l k J n F 1 b 3 Q 7 L C Z x d W 9 0 O 0 N o Y W 5 n Z U l u S W 5 j b 2 1 l V G F 4 U G F 5 Y W J s Z S Z x d W 9 0 O y w m c X V v d D t D a G F u Z 2 V J b k l u d m V u d G 9 y e S Z x d W 9 0 O y w m c X V v d D t D a G F u Z 2 V J b l R h e F B h e W F i b G U m c X V v d D s s J n F 1 b 3 Q 7 Q 2 9 t b W 9 u U 3 R v Y 2 t E a X Z p Z G V u Z F B h a W Q m c X V v d D s s J n F 1 b 3 Q 7 R G V w c m V j a W F 0 a W 9 u J n F 1 b 3 Q 7 L C Z x d W 9 0 O 0 d h a W 5 M b 3 N z T 2 5 T Y W x l T 2 Z Q U E U m c X V v d D s s J n F 1 b 3 Q 7 Q 2 F z a E Z s b 3 d G c m 9 t R G l z Y 2 9 u d G l u d W V k T 3 B l c m F 0 a W 9 u J n F 1 b 3 Q 7 L C Z x d W 9 0 O 0 5 l d F N o b 3 J 0 V G V y b U R l Y n R J c 3 N 1 Y W 5 j Z S Z x d W 9 0 O y w m c X V v d D t Q Z W 5 z a W 9 u Q W 5 k R W 1 w b G 9 5 Z W V C Z W 5 l Z m l 0 R X h w Z W 5 z Z S Z x d W 9 0 O y w m c X V v d D t T a G 9 y d F R l c m 1 E Z W J 0 S X N z d W F u Y 2 U m c X V v d D s s J n F 1 b 3 Q 7 R G l 2 a W R l b m R S Z W N l a X Z l Z E N G T y Z x d W 9 0 O y w m c X V v d D t J b n R l c m V z d F B h a W R D R k 8 m c X V v d D s s J n F 1 b 3 Q 7 S W 5 0 Z X J l c 3 R S Z W N l a X Z l Z E N G T y Z x d W 9 0 O y w m c X V v d D t T a G 9 y d F R l c m 1 E Z W J 0 U G F 5 b W V u d H M m c X V v d D s s J n F 1 b 3 Q 7 V G F 4 Z X N S Z W Z 1 b m R Q Y W l k J n F 1 b 3 Q 7 L C Z x d W 9 0 O 0 N h c 2 h G c m 9 t R G l z Y 2 9 u d G l u d W V k R m l u Y W 5 j a W 5 n Q W N 0 a X Z p d G l l c y Z x d W 9 0 O y w m c X V v d D t J b n R l c m V z d F J l Y 2 V p d m V k Q 0 Z J J n F 1 b 3 Q 7 L C Z x d W 9 0 O 0 N h c 2 h G c m 9 t R G l z Y 2 9 u d G l u d W V k S W 5 2 Z X N 0 a W 5 n Q W N 0 a X Z p d G l l c y Z x d W 9 0 O y w m c X V v d D t D Y X N o R n J v b U R p c 2 N v b n R p b n V l Z E 9 w Z X J h d G l u Z 0 F j d G l 2 a X R p Z X M m c X V v d D s s J n F 1 b 3 Q 7 R G l 2 a W R l b m R z U m V j Z W l 2 Z W R D R k k m c X V v d D s s J n F 1 b 3 Q 7 U H J l Z m V y c m V k U 3 R v Y 2 t E a X Z p Z G V u Z F B h a W Q m c X V v d D s s J n F 1 b 3 Q 7 U H J l Z m V y c m V k U 3 R v Y 2 t Q Y X l t Z W 5 0 c y Z x d W 9 0 O y w m c X V v d D t h c 0 9 m W W V h c i Z x d W 9 0 O y w m c X V v d D t Q c m 9 2 a X N p b 2 5 h b m R X c m l 0 Z U 9 m Z m 9 m Q X N z Z X R z J n F 1 b 3 Q 7 L C Z x d W 9 0 O 0 5 l d E l u d G F u Z 2 l i b G V z U H V y Y 2 h h c 2 V B b m R T Y W x l J n F 1 b 3 Q 7 L C Z x d W 9 0 O 1 B 1 c m N o Y X N l T 2 Z J b n R h b m d p Y m x l c y Z x d W 9 0 O y w m c X V v d D t U a W N r Z X I m c X V v d D t d I i A v P j x F b n R y e S B U e X B l P S J G a W x s Q 2 9 s d W 1 u V H l w Z X M i I F Z h b H V l P S J z Q m d r R E J n W U R B d 0 1 E Q X d N R E F 3 T U R B d 0 1 E Q X d N R E F 3 T U R B d 0 1 E Q X d N R E F 3 T U R B d 0 1 E Q X d N R E F 3 T U R B d 0 1 E Q X d N R E F 3 T U R B d 0 1 E Q X d N R E F 3 T U R B d 0 1 E Q X d N R E F 3 T U R B d 0 1 E Q X d N R E F 3 T U R B d 0 1 E Q X d B R E F 3 T U F B Q U F E Q U F N Q U F 3 T U R B d 0 1 B Q X d N R E J n P T 0 i I C 8 + P E V u d H J 5 I F R 5 c G U 9 I k Z p b G x M Y X N 0 V X B k Y X R l Z C I g V m F s d W U 9 I m Q y M D I 0 L T A 4 L T I 2 V D E 4 O j E z O j I 5 L j Q 3 O T A w N j B a I i A v P j x F b n R y e S B U e X B l P S J G a W x s U 3 R h d H V z I i B W Y W x 1 Z T 0 i c 0 N v b X B s Z X R l I i A v P j x F b n R y e S B U e X B l P S J G a W x s R X J y b 3 J D b 3 V u d C I g V m F s d W U 9 I m w w I i A v P j x F b n R y e S B U e X B l P S J S Z W x h d G l v b n N o a X B J b m Z v Q 2 9 u d G F p b m V y I i B W Y W x 1 Z T 0 i c 3 s m c X V v d D t j b 2 x 1 b W 5 D b 3 V u d C Z x d W 9 0 O z o x M D M s J n F 1 b 3 Q 7 a 2 V 5 Q 2 9 s d W 1 u T m F t Z X M m c X V v d D s 6 W 1 0 s J n F 1 b 3 Q 7 c X V l c n l S Z W x h d G l v b n N o a X B z J n F 1 b 3 Q 7 O l t d L C Z x d W 9 0 O 2 N v b H V t b k l k Z W 5 0 a X R p Z X M m c X V v d D s 6 W y Z x d W 9 0 O 1 N l Y 3 R p b 2 4 x L 0 N h c 2 h G b G 9 3 L 0 N o Y W 5 n Z W Q g V H l w Z S 5 7 a W Q s M H 0 m c X V v d D s s J n F 1 b 3 Q 7 U 2 V j d G l v b j E v Q 2 F z a E Z s b 3 c v Q 2 h h b m d l Z C B U e X B l L n t h c 0 9 m R G F 0 Z S w x f S Z x d W 9 0 O y w m c X V v d D t T Z W N 0 a W 9 u M S 9 D Y X N o R m x v d y 9 J b n N l c n R l Z C B Z Z W F y L n t Z Z W F y L D E w M n 0 m c X V v d D s s J n F 1 b 3 Q 7 U 2 V j d G l v b j E v Q 2 F z a E Z s b 3 c v Q 2 h h b m d l Z C B U e X B l L n t w Z X J p b 2 R U e X B l L D J 9 J n F 1 b 3 Q 7 L C Z x d W 9 0 O 1 N l Y 3 R p b 2 4 x L 0 N h c 2 h G b G 9 3 L 0 N o Y W 5 n Z W Q g V H l w Z S 5 7 Y 3 V y c m V u Y 3 l D b 2 R l L D N 9 J n F 1 b 3 Q 7 L C Z x d W 9 0 O 1 N l Y 3 R p b 2 4 x L 0 N h c 2 h G b G 9 3 L 0 N o Y W 5 n Z W Q g V H l w Z S 5 7 Q X N z Z X R J b X B h a X J t Z W 5 0 Q 2 h h c m d l L D Z 9 J n F 1 b 3 Q 7 L C Z x d W 9 0 O 1 N l Y 3 R p b 2 4 x L 0 N h c 2 h G b G 9 3 L 0 N o Y W 5 n Z W Q g V H l w Z S 5 7 Q m V n a W 5 u a W 5 n Q 2 F z a F B v c 2 l 0 a W 9 u L D d 9 J n F 1 b 3 Q 7 L C Z x d W 9 0 O 1 N l Y 3 R p b 2 4 x L 0 N h c 2 h G b G 9 3 L 0 N o Y W 5 n Z W Q g V H l w Z S 5 7 Q 2 F w a X R h b E V 4 c G V u Z G l 0 d X J l L D h 9 J n F 1 b 3 Q 7 L C Z x d W 9 0 O 1 N l Y 3 R p b 2 4 x L 0 N h c 2 h G b G 9 3 L 0 N o Y W 5 n Z W Q g V H l w Z S 5 7 Q 2 F z a E Z s b 3 d G c m 9 t Q 2 9 u d G l u d W l u Z 0 Z p b m F u Y 2 l u Z 0 F j d G l 2 a X R p Z X M s O X 0 m c X V v d D s s J n F 1 b 3 Q 7 U 2 V j d G l v b j E v Q 2 F z a E Z s b 3 c v Q 2 h h b m d l Z C B U e X B l L n t D Y X N o R m x v d 0 Z y b 2 1 D b 2 5 0 a W 5 1 a W 5 n S W 5 2 Z X N 0 a W 5 n Q W N 0 a X Z p d G l l c y w x M H 0 m c X V v d D s s J n F 1 b 3 Q 7 U 2 V j d G l v b j E v Q 2 F z a E Z s b 3 c v Q 2 h h b m d l Z C B U e X B l L n t D Y X N o R m x v d 0 Z y b 2 1 D b 2 5 0 a W 5 1 a W 5 n T 3 B l c m F 0 a W 5 n Q W N 0 a X Z p d G l l c y w x M X 0 m c X V v d D s s J n F 1 b 3 Q 7 U 2 V j d G l v b j E v Q 2 F z a E Z s b 3 c v Q 2 h h b m d l Z C B U e X B l L n t D a G F u Z 2 V J b k F j Y 2 9 1 b n R Q Y X l h Y m x l L D E y f S Z x d W 9 0 O y w m c X V v d D t T Z W N 0 a W 9 u M S 9 D Y X N o R m x v d y 9 D a G F u Z 2 V k I F R 5 c G U u e 0 N o Y W 5 n Z U l u Q W N j c n V l Z E V 4 c G V u c 2 U s M T N 9 J n F 1 b 3 Q 7 L C Z x d W 9 0 O 1 N l Y 3 R p b 2 4 x L 0 N h c 2 h G b G 9 3 L 0 N o Y W 5 n Z W Q g V H l w Z S 5 7 Q 2 h h b m d l S W 5 D Y X N o U 3 V w c G x l b W V u d G F s Q X N S Z X B v c n R l Z C w x N H 0 m c X V v d D s s J n F 1 b 3 Q 7 U 2 V j d G l v b j E v Q 2 F z a E Z s b 3 c v Q 2 h h b m d l Z C B U e X B l L n t D a G F u Z 2 V J b k 9 0 a G V y Q 3 V y c m V u d E F z c 2 V 0 c y w 3 M 3 0 m c X V v d D s s J n F 1 b 3 Q 7 U 2 V j d G l v b j E v Q 2 F z a E Z s b 3 c v Q 2 h h b m d l Z C B U e X B l L n t D a G F u Z 2 V J b k 9 0 a G V y Q 3 V y c m V u d E x p Y W J p b G l 0 a W V z L D c 0 f S Z x d W 9 0 O y w m c X V v d D t T Z W N 0 a W 9 u M S 9 D Y X N o R m x v d y 9 D a G F u Z 2 V k I F R 5 c G U u e 0 N o Y W 5 n Z U l u T 3 R o Z X J X b 3 J r a W 5 n Q 2 F w a X R h b C w x N n 0 m c X V v d D s s J n F 1 b 3 Q 7 U 2 V j d G l v b j E v Q 2 F z a E Z s b 3 c v Q 2 h h b m d l Z C B U e X B l L n t D a G F u Z 2 V J b l B h e W F i b G U s M T d 9 J n F 1 b 3 Q 7 L C Z x d W 9 0 O 1 N l Y 3 R p b 2 4 x L 0 N h c 2 h G b G 9 3 L 0 N o Y W 5 n Z W Q g V H l w Z S 5 7 Q 2 h h b m d l S W 5 Q Y X l h Y m x l c 0 F u Z E F j Y 3 J 1 Z W R F e H B l b n N l L D E 4 f S Z x d W 9 0 O y w m c X V v d D t T Z W N 0 a W 9 u M S 9 D Y X N o R m x v d y 9 D a G F u Z 2 V k I F R 5 c G U u e 0 N o Y W 5 n Z U l u U H J l c G F p Z E F z c 2 V 0 c y w x O X 0 m c X V v d D s s J n F 1 b 3 Q 7 U 2 V j d G l v b j E v Q 2 F z a E Z s b 3 c v Q 2 h h b m d l Z C B U e X B l L n t D a G F u Z 2 V J b l J l Y 2 V p d m F i b G V z L D I w f S Z x d W 9 0 O y w m c X V v d D t T Z W N 0 a W 9 u M S 9 D Y X N o R m x v d y 9 D a G F u Z 2 V k I F R 5 c G U u e 0 N o Y W 5 n Z U l u V 2 9 y a 2 l u Z 0 N h c G l 0 Y W w s M j F 9 J n F 1 b 3 Q 7 L C Z x d W 9 0 O 1 N l Y 3 R p b 2 4 x L 0 N h c 2 h G b G 9 3 L 0 N o Y W 5 n Z W Q g V H l w Z S 5 7 Q 2 h h b m d l c 0 l u Q W N j b 3 V u d F J l Y 2 V p d m F i b G V z L D I y f S Z x d W 9 0 O y w m c X V v d D t T Z W N 0 a W 9 u M S 9 D Y X N o R m x v d y 9 D a G F u Z 2 V k I F R 5 c G U u e 0 N o Y W 5 n Z X N J b k N h c 2 g s M j N 9 J n F 1 b 3 Q 7 L C Z x d W 9 0 O 1 N l Y 3 R p b 2 4 x L 0 N h c 2 h G b G 9 3 L 0 N o Y W 5 n Z W Q g V H l w Z S 5 7 Q 2 9 t b W 9 u U 3 R v Y 2 t J c 3 N 1 Y W 5 j Z S w 3 N X 0 m c X V v d D s s J n F 1 b 3 Q 7 U 2 V j d G l v b j E v Q 2 F z a E Z s b 3 c v Q 2 h h b m d l Z C B U e X B l L n t D b 2 1 t b 2 5 T d G 9 j a 1 B h e W 1 l b n R z L D I 0 f S Z x d W 9 0 O y w m c X V v d D t T Z W N 0 a W 9 u M S 9 D Y X N o R m x v d y 9 D a G F u Z 2 V k I F R 5 c G U u e 0 R l Z m V y c m V k S W 5 j b 2 1 l V G F 4 L D U 3 f S Z x d W 9 0 O y w m c X V v d D t T Z W N 0 a W 9 u M S 9 D Y X N o R m x v d y 9 D a G F u Z 2 V k I F R 5 c G U u e 0 R l Z m V y c m V k V G F 4 L D U 4 f S Z x d W 9 0 O y w m c X V v d D t T Z W N 0 a W 9 u M S 9 D Y X N o R m x v d y 9 D a G F u Z 2 V k I F R 5 c G U u e 0 R l c H J l Y 2 l h d G l v b k F t b 3 J 0 a X p h d G l v b k R l c G x l d G l v b i w y N n 0 m c X V v d D s s J n F 1 b 3 Q 7 U 2 V j d G l v b j E v Q 2 F z a E Z s b 3 c v Q 2 h h b m d l Z C B U e X B l L n t E Z X B y Z W N p Y X R p b 2 5 B b m R B b W 9 y d G l 6 Y X R p b 2 4 s M j d 9 J n F 1 b 3 Q 7 L C Z x d W 9 0 O 1 N l Y 3 R p b 2 4 x L 0 N h c 2 h G b G 9 3 L 0 N o Y W 5 n Z W Q g V H l w Z S 5 7 R W F y b m l u Z 3 N M b 3 N z Z X N G c m 9 t R X F 1 a X R 5 S W 5 2 Z X N 0 b W V u d H M s N T l 9 J n F 1 b 3 Q 7 L C Z x d W 9 0 O 1 N l Y 3 R p b 2 4 x L 0 N h c 2 h G b G 9 3 L 0 N o Y W 5 n Z W Q g V H l w Z S 5 7 R W Z m Z W N 0 T 2 Z F e G N o Y W 5 n Z V J h d G V D a G F u Z 2 V z L D I 4 f S Z x d W 9 0 O y w m c X V v d D t T Z W N 0 a W 9 u M S 9 D Y X N o R m x v d y 9 D a G F u Z 2 V k I F R 5 c G U u e 0 V u Z E N h c 2 h Q b 3 N p d G l v b i w y O X 0 m c X V v d D s s J n F 1 b 3 Q 7 U 2 V j d G l v b j E v Q 2 F z a E Z s b 3 c v Q 2 h h b m d l Z C B U e X B l L n t G a W 5 h b m N p b m d D Y X N o R m x v d y w z M H 0 m c X V v d D s s J n F 1 b 3 Q 7 U 2 V j d G l v b j E v Q 2 F z a E Z s b 3 c v Q 2 h h b m d l Z C B U e X B l L n t G c m V l Q 2 F z a E Z s b 3 c s M z F 9 J n F 1 b 3 Q 7 L C Z x d W 9 0 O 1 N l Y 3 R p b 2 4 x L 0 N h c 2 h G b G 9 3 L 0 N o Y W 5 n Z W Q g V H l w Z S 5 7 R 2 F p b k x v c 3 N P b k l u d m V z d G 1 l b n R T Z W N 1 c m l 0 a W V z L D Y w f S Z x d W 9 0 O y w m c X V v d D t T Z W N 0 a W 9 u M S 9 D Y X N o R m x v d y 9 D a G F u Z 2 V k I F R 5 c G U u e 0 d h a W 5 M b 3 N z T 2 5 T Y W x l T 2 Z C d X N p b m V z c y w 2 M X 0 m c X V v d D s s J n F 1 b 3 Q 7 U 2 V j d G l v b j E v Q 2 F z a E Z s b 3 c v Q 2 h h b m d l Z C B U e X B l L n t J b m N v b W V U Y X h Q Y W l k U 3 V w c G x l b W V u d G F s R G F 0 Y S w 2 M 3 0 m c X V v d D s s J n F 1 b 3 Q 7 U 2 V j d G l v b j E v Q 2 F z a E Z s b 3 c v Q 2 h h b m d l Z C B U e X B l L n t J b n R l c m V z d F B h a W R T d X B w b G V t Z W 5 0 Y W x E Y X R h L D Y 0 f S Z x d W 9 0 O y w m c X V v d D t T Z W N 0 a W 9 u M S 9 D Y X N o R m x v d y 9 D a G F u Z 2 V k I F R 5 c G U u e 0 l u d m V z d G l u Z 0 N h c 2 h G b G 9 3 L D M y f S Z x d W 9 0 O y w m c X V v d D t T Z W N 0 a W 9 u M S 9 D Y X N o R m x v d y 9 D a G F u Z 2 V k I F R 5 c G U u e 0 l z c 3 V h b m N l T 2 Z D Y X B p d G F s U 3 R v Y 2 s s N z Z 9 J n F 1 b 3 Q 7 L C Z x d W 9 0 O 1 N l Y 3 R p b 2 4 x L 0 N h c 2 h G b G 9 3 L 0 N o Y W 5 n Z W Q g V H l w Z S 5 7 S X N z d W F u Y 2 V P Z k R l Y n Q s M z N 9 J n F 1 b 3 Q 7 L C Z x d W 9 0 O 1 N l Y 3 R p b 2 4 x L 0 N h c 2 h G b G 9 3 L 0 N o Y W 5 n Z W Q g V H l w Z S 5 7 T G 9 u Z 1 R l c m 1 E Z W J 0 S X N z d W F u Y 2 U s M z R 9 J n F 1 b 3 Q 7 L C Z x d W 9 0 O 1 N l Y 3 R p b 2 4 x L 0 N h c 2 h G b G 9 3 L 0 N o Y W 5 n Z W Q g V H l w Z S 5 7 T G 9 u Z 1 R l c m 1 E Z W J 0 U G F 5 b W V u d H M s N j V 9 J n F 1 b 3 Q 7 L C Z x d W 9 0 O 1 N l Y 3 R p b 2 4 x L 0 N h c 2 h G b G 9 3 L 0 N o Y W 5 n Z W Q g V H l w Z S 5 7 T m V 0 Q n V z a W 5 l c 3 N Q d X J j a G F z Z U F u Z F N h b G U s M z V 9 J n F 1 b 3 Q 7 L C Z x d W 9 0 O 1 N l Y 3 R p b 2 4 x L 0 N h c 2 h G b G 9 3 L 0 N o Y W 5 n Z W Q g V H l w Z S 5 7 T m V 0 Q 2 9 t b W 9 u U 3 R v Y 2 t J c 3 N 1 Y W 5 j Z S w z N n 0 m c X V v d D s s J n F 1 b 3 Q 7 U 2 V j d G l v b j E v Q 2 F z a E Z s b 3 c v Q 2 h h b m d l Z C B U e X B l L n t O Z X R G b 3 J l a W d u Q 3 V y c m V u Y 3 l F e G N o Y W 5 n Z U d h a W 5 M b 3 N z L D k 5 f S Z x d W 9 0 O y w m c X V v d D t T Z W N 0 a W 9 u M S 9 D Y X N o R m x v d y 9 D a G F u Z 2 V k I F R 5 c G U u e 0 5 l d E l u Y 2 9 t Z S w z N 3 0 m c X V v d D s s J n F 1 b 3 Q 7 U 2 V j d G l v b j E v Q 2 F z a E Z s b 3 c v Q 2 h h b m d l Z C B U e X B l L n t O Z X R J b m N v b W V G c m 9 t Q 2 9 u d G l u d W l u Z 0 9 w Z X J h d G l v b n M s M z h 9 J n F 1 b 3 Q 7 L C Z x d W 9 0 O 1 N l Y 3 R p b 2 4 x L 0 N h c 2 h G b G 9 3 L 0 N o Y W 5 n Z W Q g V H l w Z S 5 7 T m V 0 S W 5 2 Z X N 0 b W V u d F B 1 c m N o Y X N l Q W 5 k U 2 F s Z S w 3 N 3 0 m c X V v d D s s J n F 1 b 3 Q 7 U 2 V j d G l v b j E v Q 2 F z a E Z s b 3 c v Q 2 h h b m d l Z C B U e X B l L n t O Z X R J c 3 N 1 Y W 5 j Z V B h e W 1 l b n R z T 2 Z E Z W J 0 L D M 5 f S Z x d W 9 0 O y w m c X V v d D t T Z W N 0 a W 9 u M S 9 D Y X N o R m x v d y 9 D a G F u Z 2 V k I F R 5 c G U u e 0 5 l d E x v b m d U Z X J t R G V i d E l z c 3 V h b m N l L D Q w f S Z x d W 9 0 O y w m c X V v d D t T Z W N 0 a W 9 u M S 9 D Y X N o R m x v d y 9 D a G F u Z 2 V k I F R 5 c G U u e 0 5 l d E 9 0 a G V y R m l u Y W 5 j a W 5 n Q 2 h h c m d l c y w 0 M X 0 m c X V v d D s s J n F 1 b 3 Q 7 U 2 V j d G l v b j E v Q 2 F z a E Z s b 3 c v Q 2 h h b m d l Z C B U e X B l L n t O Z X R P d G h l c k l u d m V z d G l u Z 0 N o Y W 5 n Z X M s N D J 9 J n F 1 b 3 Q 7 L C Z x d W 9 0 O 1 N l Y 3 R p b 2 4 x L 0 N h c 2 h G b G 9 3 L 0 N o Y W 5 n Z W Q g V H l w Z S 5 7 T m V 0 U F B F U H V y Y 2 h h c 2 V B b m R T Y W x l L D Q z f S Z x d W 9 0 O y w m c X V v d D t T Z W N 0 a W 9 u M S 9 D Y X N o R m x v d y 9 D a G F u Z 2 V k I F R 5 c G U u e 0 5 l d F B y Z W Z l c n J l Z F N 0 b 2 N r S X N z d W F u Y 2 U s O T N 9 J n F 1 b 3 Q 7 L C Z x d W 9 0 O 1 N l Y 3 R p b 2 4 x L 0 N h c 2 h G b G 9 3 L 0 N o Y W 5 n Z W Q g V H l w Z S 5 7 T 3 B l c m F 0 a W 5 n Q 2 F z a E Z s b 3 c s N D R 9 J n F 1 b 3 Q 7 L C Z x d W 9 0 O 1 N l Y 3 R p b 2 4 x L 0 N h c 2 h G b G 9 3 L 0 N o Y W 5 n Z W Q g V H l w Z S 5 7 T 3 B l c m F 0 a W 5 n R 2 F p b n N M b 3 N z Z X M s N D V 9 J n F 1 b 3 Q 7 L C Z x d W 9 0 O 1 N l Y 3 R p b 2 4 x L 0 N h c 2 h G b G 9 3 L 0 N o Y W 5 n Z W Q g V H l w Z S 5 7 T 3 R o Z X J D Y X N o Q W R q d X N 0 b W V u d E 9 1 d H N p Z G V D a G F u Z 2 V p b k N h c 2 g s N j d 9 J n F 1 b 3 Q 7 L C Z x d W 9 0 O 1 N l Y 3 R p b 2 4 x L 0 N h c 2 h G b G 9 3 L 0 N o Y W 5 n Z W Q g V H l w Z S 5 7 T 3 R o Z X J O b 2 5 D Y X N o S X R l b X M s N j h 9 J n F 1 b 3 Q 7 L C Z x d W 9 0 O 1 N l Y 3 R p b 2 4 x L 0 N h c 2 h G b G 9 3 L 0 N o Y W 5 n Z W Q g V H l w Z S 5 7 U H J l Z m V y c m V k U 3 R v Y 2 t J c 3 N 1 Y W 5 j Z S w 5 N X 0 m c X V v d D s s J n F 1 b 3 Q 7 U 2 V j d G l v b j E v Q 2 F z a E Z s b 3 c v Q 2 h h b m d l Z C B U e X B l L n t Q c m 9 j Z W V k c 0 Z y b 2 1 T d G 9 j a 0 9 w d G l v b k V 4 Z X J j a X N l Z C w 0 N n 0 m c X V v d D s s J n F 1 b 3 Q 7 U 2 V j d G l v b j E v Q 2 F z a E Z s b 3 c v Q 2 h h b m d l Z C B U e X B l L n t Q d X J j a G F z Z U 9 m Q n V z a W 5 l c 3 M s N D d 9 J n F 1 b 3 Q 7 L C Z x d W 9 0 O 1 N l Y 3 R p b 2 4 x L 0 N h c 2 h G b G 9 3 L 0 N o Y W 5 n Z W Q g V H l w Z S 5 7 U H V y Y 2 h h c 2 V P Z k l u d m V z d G 1 l b n Q s N z h 9 J n F 1 b 3 Q 7 L C Z x d W 9 0 O 1 N l Y 3 R p b 2 4 x L 0 N h c 2 h G b G 9 3 L 0 N o Y W 5 n Z W Q g V H l w Z S 5 7 U H V y Y 2 h h c 2 V P Z l B Q R S w 0 O H 0 m c X V v d D s s J n F 1 b 3 Q 7 U 2 V j d G l v b j E v Q 2 F z a E Z s b 3 c v Q 2 h h b m d l Z C B U e X B l L n t S Z X B h e W 1 l b n R P Z k R l Y n Q s N z B 9 J n F 1 b 3 Q 7 L C Z x d W 9 0 O 1 N l Y 3 R p b 2 4 x L 0 N h c 2 h G b G 9 3 L 0 N o Y W 5 n Z W Q g V H l w Z S 5 7 U m V w d X J j a G F z Z U 9 m Q 2 F w a X R h b F N 0 b 2 N r L D Q 5 f S Z x d W 9 0 O y w m c X V v d D t T Z W N 0 a W 9 u M S 9 D Y X N o R m x v d y 9 D a G F u Z 2 V k I F R 5 c G U u e 1 N h b G V P Z k J 1 c 2 l u Z X N z L D U w f S Z x d W 9 0 O y w m c X V v d D t T Z W N 0 a W 9 u M S 9 D Y X N o R m x v d y 9 D a G F u Z 2 V k I F R 5 c G U u e 1 N h b G V P Z k l u d m V z d G 1 l b n Q s N z l 9 J n F 1 b 3 Q 7 L C Z x d W 9 0 O 1 N l Y 3 R p b 2 4 x L 0 N h c 2 h G b G 9 3 L 0 N o Y W 5 n Z W Q g V H l w Z S 5 7 U 2 F s Z U 9 m U F B F L D U x f S Z x d W 9 0 O y w m c X V v d D t T Z W N 0 a W 9 u M S 9 D Y X N o R m x v d y 9 D a G F u Z 2 V k I F R 5 c G U u e 1 N 0 b 2 N r Q m F z Z W R D b 2 1 w Z W 5 z Y X R p b 2 4 s N T J 9 J n F 1 b 3 Q 7 L C Z x d W 9 0 O 1 N l Y 3 R p b 2 4 x L 0 N h c 2 h G b G 9 3 L 0 N o Y W 5 n Z W Q g V H l w Z S 5 7 V W 5 y Z W F s a X p l Z E d h a W 5 M b 3 N z T 2 5 J b n Z l c 3 R t Z W 5 0 U 2 V j d X J p d G l l c y w 3 M n 0 m c X V v d D s s J n F 1 b 3 Q 7 U 2 V j d G l v b j E v Q 2 F z a E Z s b 3 c v Q 2 h h b m d l Z C B U e X B l L n t B b W 9 y d G l 6 Y X R p b 2 5 D Y X N o R m x v d y w 0 f S Z x d W 9 0 O y w m c X V v d D t T Z W N 0 a W 9 u M S 9 D Y X N o R m x v d y 9 D a G F u Z 2 V k I F R 5 c G U u e 0 F t b 3 J 0 a X p h d G l v b k 9 m S W 5 0 Y W 5 n a W J s Z X M s N X 0 m c X V v d D s s J n F 1 b 3 Q 7 U 2 V j d G l v b j E v Q 2 F z a E Z s b 3 c v Q 2 h h b m d l Z C B U e X B l L n t D Y X B p d G F s R X h w Z W 5 k a X R 1 c m V S Z X B v c n R l Z C w 4 M X 0 m c X V v d D s s J n F 1 b 3 Q 7 U 2 V j d G l v b j E v Q 2 F z a E Z s b 3 c v Q 2 h h b m d l Z C B U e X B l L n t D Y X N o R G l 2 a W R l b m R z U G F p Z C w 1 M 3 0 m c X V v d D s s J n F 1 b 3 Q 7 U 2 V j d G l v b j E v Q 2 F z a E Z s b 3 c v Q 2 h h b m d l Z C B U e X B l L n t D a G F u Z 2 V J b k l u Y 2 9 t Z V R h e F B h e W F i b G U s N T R 9 J n F 1 b 3 Q 7 L C Z x d W 9 0 O 1 N l Y 3 R p b 2 4 x L 0 N h c 2 h G b G 9 3 L 0 N o Y W 5 n Z W Q g V H l w Z S 5 7 Q 2 h h b m d l S W 5 J b n Z l b n R v c n k s M T V 9 J n F 1 b 3 Q 7 L C Z x d W 9 0 O 1 N l Y 3 R p b 2 4 x L 0 N h c 2 h G b G 9 3 L 0 N o Y W 5 n Z W Q g V H l w Z S 5 7 Q 2 h h b m d l S W 5 U Y X h Q Y X l h Y m x l L D U 1 f S Z x d W 9 0 O y w m c X V v d D t T Z W N 0 a W 9 u M S 9 D Y X N o R m x v d y 9 D a G F u Z 2 V k I F R 5 c G U u e 0 N v b W 1 v b l N 0 b 2 N r R G l 2 a W R l b m R Q Y W l k L D U 2 f S Z x d W 9 0 O y w m c X V v d D t T Z W N 0 a W 9 u M S 9 D Y X N o R m x v d y 9 D a G F u Z 2 V k I F R 5 c G U u e 0 R l c H J l Y 2 l h d G l v b i w y N X 0 m c X V v d D s s J n F 1 b 3 Q 7 U 2 V j d G l v b j E v Q 2 F z a E Z s b 3 c v Q 2 h h b m d l Z C B U e X B l L n t H Y W l u T G 9 z c 0 9 u U 2 F s Z U 9 m U F B F L D Y y f S Z x d W 9 0 O y w m c X V v d D t T Z W N 0 a W 9 u M S 9 D Y X N o R m x v d y 9 Q c m 9 t b 3 R l Z C B I Z W F k Z X J z L n t D Y X N o R m x v d 0 Z y b 2 1 E a X N j b 2 5 0 a W 5 1 Z W R P c G V y Y X R p b 2 4 s O D J 9 J n F 1 b 3 Q 7 L C Z x d W 9 0 O 1 N l Y 3 R p b 2 4 x L 0 N h c 2 h G b G 9 3 L 0 N o Y W 5 n Z W Q g V H l w Z S 5 7 T m V 0 U 2 h v c n R U Z X J t R G V i d E l z c 3 V h b m N l L D Y 2 f S Z x d W 9 0 O y w m c X V v d D t T Z W N 0 a W 9 u M S 9 D Y X N o R m x v d y 9 D a G F u Z 2 V k I F R 5 c G U u e 1 B l b n N p b 2 5 B b m R F b X B s b 3 l l Z U J l b m V m a X R F e H B l b n N l L D Y 5 f S Z x d W 9 0 O y w m c X V v d D t T Z W N 0 a W 9 u M S 9 D Y X N o R m x v d y 9 D a G F u Z 2 V k I F R 5 c G U u e 1 N o b 3 J 0 V G V y b U R l Y n R J c 3 N 1 Y W 5 j Z S w 4 M H 0 m c X V v d D s s J n F 1 b 3 Q 7 U 2 V j d G l v b j E v Q 2 F z a E Z s b 3 c v U H J v b W 9 0 Z W Q g S G V h Z G V y c y 5 7 R G l 2 a W R l b m R S Z W N l a X Z l Z E N G T y w 4 N n 0 m c X V v d D s s J n F 1 b 3 Q 7 U 2 V j d G l v b j E v Q 2 F z a E Z s b 3 c v U H J v b W 9 0 Z W Q g S G V h Z G V y c y 5 7 S W 5 0 Z X J l c 3 R Q Y W l k Q 0 Z P L D g 3 f S Z x d W 9 0 O y w m c X V v d D t T Z W N 0 a W 9 u M S 9 D Y X N o R m x v d y 9 Q c m 9 t b 3 R l Z C B I Z W F k Z X J z L n t J b n R l c m V z d F J l Y 2 V p d m V k Q 0 Z P L D g 4 f S Z x d W 9 0 O y w m c X V v d D t T Z W N 0 a W 9 u M S 9 D Y X N o R m x v d y 9 D a G F u Z 2 V k I F R 5 c G U u e 1 N o b 3 J 0 V G V y b U R l Y n R Q Y X l t Z W 5 0 c y w 3 M X 0 m c X V v d D s s J n F 1 b 3 Q 7 U 2 V j d G l v b j E v Q 2 F z a E Z s b 3 c v U H J v b W 9 0 Z W Q g S G V h Z G V y c y 5 7 V G F 4 Z X N S Z W Z 1 b m R Q Y W l k L D k w f S Z x d W 9 0 O y w m c X V v d D t T Z W N 0 a W 9 u M S 9 D Y X N o R m x v d y 9 D a G F u Z 2 V k I F R 5 c G U u e 0 N h c 2 h G c m 9 t R G l z Y 2 9 u d G l u d W V k R m l u Y W 5 j a W 5 n Q W N 0 a X Z p d G l l c y w 4 M 3 0 m c X V v d D s s J n F 1 b 3 Q 7 U 2 V j d G l v b j E v Q 2 F z a E Z s b 3 c v U H J v b W 9 0 Z W Q g S G V h Z G V y c y 5 7 S W 5 0 Z X J l c 3 R S Z W N l a X Z l Z E N G S S w 5 M n 0 m c X V v d D s s J n F 1 b 3 Q 7 U 2 V j d G l v b j E v Q 2 F z a E Z s b 3 c v Q 2 h h b m d l Z C B U e X B l L n t D Y X N o R n J v b U R p c 2 N v b n R p b n V l Z E l u d m V z d G l u Z 0 F j d G l 2 a X R p Z X M s O D R 9 J n F 1 b 3 Q 7 L C Z x d W 9 0 O 1 N l Y 3 R p b 2 4 x L 0 N h c 2 h G b G 9 3 L 0 N o Y W 5 n Z W Q g V H l w Z S 5 7 Q 2 F z a E Z y b 2 1 E a X N j b 2 5 0 a W 5 1 Z W R P c G V y Y X R p b m d B Y 3 R p d m l 0 a W V z L D g 1 f S Z x d W 9 0 O y w m c X V v d D t T Z W N 0 a W 9 u M S 9 D Y X N o R m x v d y 9 D a G F u Z 2 V k I F R 5 c G U u e 0 R p d m l k Z W 5 k c 1 J l Y 2 V p d m V k Q 0 Z J L D k x f S Z x d W 9 0 O y w m c X V v d D t T Z W N 0 a W 9 u M S 9 D Y X N o R m x v d y 9 D a G F u Z 2 V k I F R 5 c G U u e 1 B y Z W Z l c n J l Z F N 0 b 2 N r R G l 2 a W R l b m R Q Y W l k L D k 0 f S Z x d W 9 0 O y w m c X V v d D t T Z W N 0 a W 9 u M S 9 D Y X N o R m x v d y 9 D a G F u Z 2 V k I F R 5 c G U u e 1 B y Z W Z l c n J l Z F N 0 b 2 N r U G F 5 b W V u d H M s O T Z 9 J n F 1 b 3 Q 7 L C Z x d W 9 0 O 1 N l Y 3 R p b 2 4 x L 0 N h c 2 h G b G 9 3 L 1 B y b 2 1 v d G V k I E h l Y W R l c n M u e 2 F z T 2 Z Z Z W F y L D k 4 f S Z x d W 9 0 O y w m c X V v d D t T Z W N 0 a W 9 u M S 9 D Y X N o R m x v d y 9 D a G F u Z 2 V k I F R 5 c G U u e 1 B y b 3 Z p c 2 l v b m F u Z F d y a X R l T 2 Z m b 2 Z B c 3 N l d H M s O D l 9 J n F 1 b 3 Q 7 L C Z x d W 9 0 O 1 N l Y 3 R p b 2 4 x L 0 N h c 2 h G b G 9 3 L 0 N o Y W 5 n Z W Q g V H l w Z S 5 7 T m V 0 S W 5 0 Y W 5 n a W J s Z X N Q d X J j a G F z Z U F u Z F N h b G U s M T A w f S Z x d W 9 0 O y w m c X V v d D t T Z W N 0 a W 9 u M S 9 D Y X N o R m x v d y 9 D a G F u Z 2 V k I F R 5 c G U u e 1 B 1 c m N o Y X N l T 2 Z J b n R h b m d p Y m x l c y w x M D F 9 J n F 1 b 3 Q 7 L C Z x d W 9 0 O 1 N l Y 3 R p b 2 4 x L 0 N h c 2 h G b G 9 3 L 0 N o Y W 5 n Z W Q g V H l w Z S 5 7 V G l j a 2 V y L D k 3 f S Z x d W 9 0 O 1 0 s J n F 1 b 3 Q 7 Q 2 9 s d W 1 u Q 2 9 1 b n Q m c X V v d D s 6 M T A z L C Z x d W 9 0 O 0 t l e U N v b H V t b k 5 h b W V z J n F 1 b 3 Q 7 O l t d L C Z x d W 9 0 O 0 N v b H V t b k l k Z W 5 0 a X R p Z X M m c X V v d D s 6 W y Z x d W 9 0 O 1 N l Y 3 R p b 2 4 x L 0 N h c 2 h G b G 9 3 L 0 N o Y W 5 n Z W Q g V H l w Z S 5 7 a W Q s M H 0 m c X V v d D s s J n F 1 b 3 Q 7 U 2 V j d G l v b j E v Q 2 F z a E Z s b 3 c v Q 2 h h b m d l Z C B U e X B l L n t h c 0 9 m R G F 0 Z S w x f S Z x d W 9 0 O y w m c X V v d D t T Z W N 0 a W 9 u M S 9 D Y X N o R m x v d y 9 J b n N l c n R l Z C B Z Z W F y L n t Z Z W F y L D E w M n 0 m c X V v d D s s J n F 1 b 3 Q 7 U 2 V j d G l v b j E v Q 2 F z a E Z s b 3 c v Q 2 h h b m d l Z C B U e X B l L n t w Z X J p b 2 R U e X B l L D J 9 J n F 1 b 3 Q 7 L C Z x d W 9 0 O 1 N l Y 3 R p b 2 4 x L 0 N h c 2 h G b G 9 3 L 0 N o Y W 5 n Z W Q g V H l w Z S 5 7 Y 3 V y c m V u Y 3 l D b 2 R l L D N 9 J n F 1 b 3 Q 7 L C Z x d W 9 0 O 1 N l Y 3 R p b 2 4 x L 0 N h c 2 h G b G 9 3 L 0 N o Y W 5 n Z W Q g V H l w Z S 5 7 Q X N z Z X R J b X B h a X J t Z W 5 0 Q 2 h h c m d l L D Z 9 J n F 1 b 3 Q 7 L C Z x d W 9 0 O 1 N l Y 3 R p b 2 4 x L 0 N h c 2 h G b G 9 3 L 0 N o Y W 5 n Z W Q g V H l w Z S 5 7 Q m V n a W 5 u a W 5 n Q 2 F z a F B v c 2 l 0 a W 9 u L D d 9 J n F 1 b 3 Q 7 L C Z x d W 9 0 O 1 N l Y 3 R p b 2 4 x L 0 N h c 2 h G b G 9 3 L 0 N o Y W 5 n Z W Q g V H l w Z S 5 7 Q 2 F w a X R h b E V 4 c G V u Z G l 0 d X J l L D h 9 J n F 1 b 3 Q 7 L C Z x d W 9 0 O 1 N l Y 3 R p b 2 4 x L 0 N h c 2 h G b G 9 3 L 0 N o Y W 5 n Z W Q g V H l w Z S 5 7 Q 2 F z a E Z s b 3 d G c m 9 t Q 2 9 u d G l u d W l u Z 0 Z p b m F u Y 2 l u Z 0 F j d G l 2 a X R p Z X M s O X 0 m c X V v d D s s J n F 1 b 3 Q 7 U 2 V j d G l v b j E v Q 2 F z a E Z s b 3 c v Q 2 h h b m d l Z C B U e X B l L n t D Y X N o R m x v d 0 Z y b 2 1 D b 2 5 0 a W 5 1 a W 5 n S W 5 2 Z X N 0 a W 5 n Q W N 0 a X Z p d G l l c y w x M H 0 m c X V v d D s s J n F 1 b 3 Q 7 U 2 V j d G l v b j E v Q 2 F z a E Z s b 3 c v Q 2 h h b m d l Z C B U e X B l L n t D Y X N o R m x v d 0 Z y b 2 1 D b 2 5 0 a W 5 1 a W 5 n T 3 B l c m F 0 a W 5 n Q W N 0 a X Z p d G l l c y w x M X 0 m c X V v d D s s J n F 1 b 3 Q 7 U 2 V j d G l v b j E v Q 2 F z a E Z s b 3 c v Q 2 h h b m d l Z C B U e X B l L n t D a G F u Z 2 V J b k F j Y 2 9 1 b n R Q Y X l h Y m x l L D E y f S Z x d W 9 0 O y w m c X V v d D t T Z W N 0 a W 9 u M S 9 D Y X N o R m x v d y 9 D a G F u Z 2 V k I F R 5 c G U u e 0 N o Y W 5 n Z U l u Q W N j c n V l Z E V 4 c G V u c 2 U s M T N 9 J n F 1 b 3 Q 7 L C Z x d W 9 0 O 1 N l Y 3 R p b 2 4 x L 0 N h c 2 h G b G 9 3 L 0 N o Y W 5 n Z W Q g V H l w Z S 5 7 Q 2 h h b m d l S W 5 D Y X N o U 3 V w c G x l b W V u d G F s Q X N S Z X B v c n R l Z C w x N H 0 m c X V v d D s s J n F 1 b 3 Q 7 U 2 V j d G l v b j E v Q 2 F z a E Z s b 3 c v Q 2 h h b m d l Z C B U e X B l L n t D a G F u Z 2 V J b k 9 0 a G V y Q 3 V y c m V u d E F z c 2 V 0 c y w 3 M 3 0 m c X V v d D s s J n F 1 b 3 Q 7 U 2 V j d G l v b j E v Q 2 F z a E Z s b 3 c v Q 2 h h b m d l Z C B U e X B l L n t D a G F u Z 2 V J b k 9 0 a G V y Q 3 V y c m V u d E x p Y W J p b G l 0 a W V z L D c 0 f S Z x d W 9 0 O y w m c X V v d D t T Z W N 0 a W 9 u M S 9 D Y X N o R m x v d y 9 D a G F u Z 2 V k I F R 5 c G U u e 0 N o Y W 5 n Z U l u T 3 R o Z X J X b 3 J r a W 5 n Q 2 F w a X R h b C w x N n 0 m c X V v d D s s J n F 1 b 3 Q 7 U 2 V j d G l v b j E v Q 2 F z a E Z s b 3 c v Q 2 h h b m d l Z C B U e X B l L n t D a G F u Z 2 V J b l B h e W F i b G U s M T d 9 J n F 1 b 3 Q 7 L C Z x d W 9 0 O 1 N l Y 3 R p b 2 4 x L 0 N h c 2 h G b G 9 3 L 0 N o Y W 5 n Z W Q g V H l w Z S 5 7 Q 2 h h b m d l S W 5 Q Y X l h Y m x l c 0 F u Z E F j Y 3 J 1 Z W R F e H B l b n N l L D E 4 f S Z x d W 9 0 O y w m c X V v d D t T Z W N 0 a W 9 u M S 9 D Y X N o R m x v d y 9 D a G F u Z 2 V k I F R 5 c G U u e 0 N o Y W 5 n Z U l u U H J l c G F p Z E F z c 2 V 0 c y w x O X 0 m c X V v d D s s J n F 1 b 3 Q 7 U 2 V j d G l v b j E v Q 2 F z a E Z s b 3 c v Q 2 h h b m d l Z C B U e X B l L n t D a G F u Z 2 V J b l J l Y 2 V p d m F i b G V z L D I w f S Z x d W 9 0 O y w m c X V v d D t T Z W N 0 a W 9 u M S 9 D Y X N o R m x v d y 9 D a G F u Z 2 V k I F R 5 c G U u e 0 N o Y W 5 n Z U l u V 2 9 y a 2 l u Z 0 N h c G l 0 Y W w s M j F 9 J n F 1 b 3 Q 7 L C Z x d W 9 0 O 1 N l Y 3 R p b 2 4 x L 0 N h c 2 h G b G 9 3 L 0 N o Y W 5 n Z W Q g V H l w Z S 5 7 Q 2 h h b m d l c 0 l u Q W N j b 3 V u d F J l Y 2 V p d m F i b G V z L D I y f S Z x d W 9 0 O y w m c X V v d D t T Z W N 0 a W 9 u M S 9 D Y X N o R m x v d y 9 D a G F u Z 2 V k I F R 5 c G U u e 0 N o Y W 5 n Z X N J b k N h c 2 g s M j N 9 J n F 1 b 3 Q 7 L C Z x d W 9 0 O 1 N l Y 3 R p b 2 4 x L 0 N h c 2 h G b G 9 3 L 0 N o Y W 5 n Z W Q g V H l w Z S 5 7 Q 2 9 t b W 9 u U 3 R v Y 2 t J c 3 N 1 Y W 5 j Z S w 3 N X 0 m c X V v d D s s J n F 1 b 3 Q 7 U 2 V j d G l v b j E v Q 2 F z a E Z s b 3 c v Q 2 h h b m d l Z C B U e X B l L n t D b 2 1 t b 2 5 T d G 9 j a 1 B h e W 1 l b n R z L D I 0 f S Z x d W 9 0 O y w m c X V v d D t T Z W N 0 a W 9 u M S 9 D Y X N o R m x v d y 9 D a G F u Z 2 V k I F R 5 c G U u e 0 R l Z m V y c m V k S W 5 j b 2 1 l V G F 4 L D U 3 f S Z x d W 9 0 O y w m c X V v d D t T Z W N 0 a W 9 u M S 9 D Y X N o R m x v d y 9 D a G F u Z 2 V k I F R 5 c G U u e 0 R l Z m V y c m V k V G F 4 L D U 4 f S Z x d W 9 0 O y w m c X V v d D t T Z W N 0 a W 9 u M S 9 D Y X N o R m x v d y 9 D a G F u Z 2 V k I F R 5 c G U u e 0 R l c H J l Y 2 l h d G l v b k F t b 3 J 0 a X p h d G l v b k R l c G x l d G l v b i w y N n 0 m c X V v d D s s J n F 1 b 3 Q 7 U 2 V j d G l v b j E v Q 2 F z a E Z s b 3 c v Q 2 h h b m d l Z C B U e X B l L n t E Z X B y Z W N p Y X R p b 2 5 B b m R B b W 9 y d G l 6 Y X R p b 2 4 s M j d 9 J n F 1 b 3 Q 7 L C Z x d W 9 0 O 1 N l Y 3 R p b 2 4 x L 0 N h c 2 h G b G 9 3 L 0 N o Y W 5 n Z W Q g V H l w Z S 5 7 R W F y b m l u Z 3 N M b 3 N z Z X N G c m 9 t R X F 1 a X R 5 S W 5 2 Z X N 0 b W V u d H M s N T l 9 J n F 1 b 3 Q 7 L C Z x d W 9 0 O 1 N l Y 3 R p b 2 4 x L 0 N h c 2 h G b G 9 3 L 0 N o Y W 5 n Z W Q g V H l w Z S 5 7 R W Z m Z W N 0 T 2 Z F e G N o Y W 5 n Z V J h d G V D a G F u Z 2 V z L D I 4 f S Z x d W 9 0 O y w m c X V v d D t T Z W N 0 a W 9 u M S 9 D Y X N o R m x v d y 9 D a G F u Z 2 V k I F R 5 c G U u e 0 V u Z E N h c 2 h Q b 3 N p d G l v b i w y O X 0 m c X V v d D s s J n F 1 b 3 Q 7 U 2 V j d G l v b j E v Q 2 F z a E Z s b 3 c v Q 2 h h b m d l Z C B U e X B l L n t G a W 5 h b m N p b m d D Y X N o R m x v d y w z M H 0 m c X V v d D s s J n F 1 b 3 Q 7 U 2 V j d G l v b j E v Q 2 F z a E Z s b 3 c v Q 2 h h b m d l Z C B U e X B l L n t G c m V l Q 2 F z a E Z s b 3 c s M z F 9 J n F 1 b 3 Q 7 L C Z x d W 9 0 O 1 N l Y 3 R p b 2 4 x L 0 N h c 2 h G b G 9 3 L 0 N o Y W 5 n Z W Q g V H l w Z S 5 7 R 2 F p b k x v c 3 N P b k l u d m V z d G 1 l b n R T Z W N 1 c m l 0 a W V z L D Y w f S Z x d W 9 0 O y w m c X V v d D t T Z W N 0 a W 9 u M S 9 D Y X N o R m x v d y 9 D a G F u Z 2 V k I F R 5 c G U u e 0 d h a W 5 M b 3 N z T 2 5 T Y W x l T 2 Z C d X N p b m V z c y w 2 M X 0 m c X V v d D s s J n F 1 b 3 Q 7 U 2 V j d G l v b j E v Q 2 F z a E Z s b 3 c v Q 2 h h b m d l Z C B U e X B l L n t J b m N v b W V U Y X h Q Y W l k U 3 V w c G x l b W V u d G F s R G F 0 Y S w 2 M 3 0 m c X V v d D s s J n F 1 b 3 Q 7 U 2 V j d G l v b j E v Q 2 F z a E Z s b 3 c v Q 2 h h b m d l Z C B U e X B l L n t J b n R l c m V z d F B h a W R T d X B w b G V t Z W 5 0 Y W x E Y X R h L D Y 0 f S Z x d W 9 0 O y w m c X V v d D t T Z W N 0 a W 9 u M S 9 D Y X N o R m x v d y 9 D a G F u Z 2 V k I F R 5 c G U u e 0 l u d m V z d G l u Z 0 N h c 2 h G b G 9 3 L D M y f S Z x d W 9 0 O y w m c X V v d D t T Z W N 0 a W 9 u M S 9 D Y X N o R m x v d y 9 D a G F u Z 2 V k I F R 5 c G U u e 0 l z c 3 V h b m N l T 2 Z D Y X B p d G F s U 3 R v Y 2 s s N z Z 9 J n F 1 b 3 Q 7 L C Z x d W 9 0 O 1 N l Y 3 R p b 2 4 x L 0 N h c 2 h G b G 9 3 L 0 N o Y W 5 n Z W Q g V H l w Z S 5 7 S X N z d W F u Y 2 V P Z k R l Y n Q s M z N 9 J n F 1 b 3 Q 7 L C Z x d W 9 0 O 1 N l Y 3 R p b 2 4 x L 0 N h c 2 h G b G 9 3 L 0 N o Y W 5 n Z W Q g V H l w Z S 5 7 T G 9 u Z 1 R l c m 1 E Z W J 0 S X N z d W F u Y 2 U s M z R 9 J n F 1 b 3 Q 7 L C Z x d W 9 0 O 1 N l Y 3 R p b 2 4 x L 0 N h c 2 h G b G 9 3 L 0 N o Y W 5 n Z W Q g V H l w Z S 5 7 T G 9 u Z 1 R l c m 1 E Z W J 0 U G F 5 b W V u d H M s N j V 9 J n F 1 b 3 Q 7 L C Z x d W 9 0 O 1 N l Y 3 R p b 2 4 x L 0 N h c 2 h G b G 9 3 L 0 N o Y W 5 n Z W Q g V H l w Z S 5 7 T m V 0 Q n V z a W 5 l c 3 N Q d X J j a G F z Z U F u Z F N h b G U s M z V 9 J n F 1 b 3 Q 7 L C Z x d W 9 0 O 1 N l Y 3 R p b 2 4 x L 0 N h c 2 h G b G 9 3 L 0 N o Y W 5 n Z W Q g V H l w Z S 5 7 T m V 0 Q 2 9 t b W 9 u U 3 R v Y 2 t J c 3 N 1 Y W 5 j Z S w z N n 0 m c X V v d D s s J n F 1 b 3 Q 7 U 2 V j d G l v b j E v Q 2 F z a E Z s b 3 c v Q 2 h h b m d l Z C B U e X B l L n t O Z X R G b 3 J l a W d u Q 3 V y c m V u Y 3 l F e G N o Y W 5 n Z U d h a W 5 M b 3 N z L D k 5 f S Z x d W 9 0 O y w m c X V v d D t T Z W N 0 a W 9 u M S 9 D Y X N o R m x v d y 9 D a G F u Z 2 V k I F R 5 c G U u e 0 5 l d E l u Y 2 9 t Z S w z N 3 0 m c X V v d D s s J n F 1 b 3 Q 7 U 2 V j d G l v b j E v Q 2 F z a E Z s b 3 c v Q 2 h h b m d l Z C B U e X B l L n t O Z X R J b m N v b W V G c m 9 t Q 2 9 u d G l u d W l u Z 0 9 w Z X J h d G l v b n M s M z h 9 J n F 1 b 3 Q 7 L C Z x d W 9 0 O 1 N l Y 3 R p b 2 4 x L 0 N h c 2 h G b G 9 3 L 0 N o Y W 5 n Z W Q g V H l w Z S 5 7 T m V 0 S W 5 2 Z X N 0 b W V u d F B 1 c m N o Y X N l Q W 5 k U 2 F s Z S w 3 N 3 0 m c X V v d D s s J n F 1 b 3 Q 7 U 2 V j d G l v b j E v Q 2 F z a E Z s b 3 c v Q 2 h h b m d l Z C B U e X B l L n t O Z X R J c 3 N 1 Y W 5 j Z V B h e W 1 l b n R z T 2 Z E Z W J 0 L D M 5 f S Z x d W 9 0 O y w m c X V v d D t T Z W N 0 a W 9 u M S 9 D Y X N o R m x v d y 9 D a G F u Z 2 V k I F R 5 c G U u e 0 5 l d E x v b m d U Z X J t R G V i d E l z c 3 V h b m N l L D Q w f S Z x d W 9 0 O y w m c X V v d D t T Z W N 0 a W 9 u M S 9 D Y X N o R m x v d y 9 D a G F u Z 2 V k I F R 5 c G U u e 0 5 l d E 9 0 a G V y R m l u Y W 5 j a W 5 n Q 2 h h c m d l c y w 0 M X 0 m c X V v d D s s J n F 1 b 3 Q 7 U 2 V j d G l v b j E v Q 2 F z a E Z s b 3 c v Q 2 h h b m d l Z C B U e X B l L n t O Z X R P d G h l c k l u d m V z d G l u Z 0 N o Y W 5 n Z X M s N D J 9 J n F 1 b 3 Q 7 L C Z x d W 9 0 O 1 N l Y 3 R p b 2 4 x L 0 N h c 2 h G b G 9 3 L 0 N o Y W 5 n Z W Q g V H l w Z S 5 7 T m V 0 U F B F U H V y Y 2 h h c 2 V B b m R T Y W x l L D Q z f S Z x d W 9 0 O y w m c X V v d D t T Z W N 0 a W 9 u M S 9 D Y X N o R m x v d y 9 D a G F u Z 2 V k I F R 5 c G U u e 0 5 l d F B y Z W Z l c n J l Z F N 0 b 2 N r S X N z d W F u Y 2 U s O T N 9 J n F 1 b 3 Q 7 L C Z x d W 9 0 O 1 N l Y 3 R p b 2 4 x L 0 N h c 2 h G b G 9 3 L 0 N o Y W 5 n Z W Q g V H l w Z S 5 7 T 3 B l c m F 0 a W 5 n Q 2 F z a E Z s b 3 c s N D R 9 J n F 1 b 3 Q 7 L C Z x d W 9 0 O 1 N l Y 3 R p b 2 4 x L 0 N h c 2 h G b G 9 3 L 0 N o Y W 5 n Z W Q g V H l w Z S 5 7 T 3 B l c m F 0 a W 5 n R 2 F p b n N M b 3 N z Z X M s N D V 9 J n F 1 b 3 Q 7 L C Z x d W 9 0 O 1 N l Y 3 R p b 2 4 x L 0 N h c 2 h G b G 9 3 L 0 N o Y W 5 n Z W Q g V H l w Z S 5 7 T 3 R o Z X J D Y X N o Q W R q d X N 0 b W V u d E 9 1 d H N p Z G V D a G F u Z 2 V p b k N h c 2 g s N j d 9 J n F 1 b 3 Q 7 L C Z x d W 9 0 O 1 N l Y 3 R p b 2 4 x L 0 N h c 2 h G b G 9 3 L 0 N o Y W 5 n Z W Q g V H l w Z S 5 7 T 3 R o Z X J O b 2 5 D Y X N o S X R l b X M s N j h 9 J n F 1 b 3 Q 7 L C Z x d W 9 0 O 1 N l Y 3 R p b 2 4 x L 0 N h c 2 h G b G 9 3 L 0 N o Y W 5 n Z W Q g V H l w Z S 5 7 U H J l Z m V y c m V k U 3 R v Y 2 t J c 3 N 1 Y W 5 j Z S w 5 N X 0 m c X V v d D s s J n F 1 b 3 Q 7 U 2 V j d G l v b j E v Q 2 F z a E Z s b 3 c v Q 2 h h b m d l Z C B U e X B l L n t Q c m 9 j Z W V k c 0 Z y b 2 1 T d G 9 j a 0 9 w d G l v b k V 4 Z X J j a X N l Z C w 0 N n 0 m c X V v d D s s J n F 1 b 3 Q 7 U 2 V j d G l v b j E v Q 2 F z a E Z s b 3 c v Q 2 h h b m d l Z C B U e X B l L n t Q d X J j a G F z Z U 9 m Q n V z a W 5 l c 3 M s N D d 9 J n F 1 b 3 Q 7 L C Z x d W 9 0 O 1 N l Y 3 R p b 2 4 x L 0 N h c 2 h G b G 9 3 L 0 N o Y W 5 n Z W Q g V H l w Z S 5 7 U H V y Y 2 h h c 2 V P Z k l u d m V z d G 1 l b n Q s N z h 9 J n F 1 b 3 Q 7 L C Z x d W 9 0 O 1 N l Y 3 R p b 2 4 x L 0 N h c 2 h G b G 9 3 L 0 N o Y W 5 n Z W Q g V H l w Z S 5 7 U H V y Y 2 h h c 2 V P Z l B Q R S w 0 O H 0 m c X V v d D s s J n F 1 b 3 Q 7 U 2 V j d G l v b j E v Q 2 F z a E Z s b 3 c v Q 2 h h b m d l Z C B U e X B l L n t S Z X B h e W 1 l b n R P Z k R l Y n Q s N z B 9 J n F 1 b 3 Q 7 L C Z x d W 9 0 O 1 N l Y 3 R p b 2 4 x L 0 N h c 2 h G b G 9 3 L 0 N o Y W 5 n Z W Q g V H l w Z S 5 7 U m V w d X J j a G F z Z U 9 m Q 2 F w a X R h b F N 0 b 2 N r L D Q 5 f S Z x d W 9 0 O y w m c X V v d D t T Z W N 0 a W 9 u M S 9 D Y X N o R m x v d y 9 D a G F u Z 2 V k I F R 5 c G U u e 1 N h b G V P Z k J 1 c 2 l u Z X N z L D U w f S Z x d W 9 0 O y w m c X V v d D t T Z W N 0 a W 9 u M S 9 D Y X N o R m x v d y 9 D a G F u Z 2 V k I F R 5 c G U u e 1 N h b G V P Z k l u d m V z d G 1 l b n Q s N z l 9 J n F 1 b 3 Q 7 L C Z x d W 9 0 O 1 N l Y 3 R p b 2 4 x L 0 N h c 2 h G b G 9 3 L 0 N o Y W 5 n Z W Q g V H l w Z S 5 7 U 2 F s Z U 9 m U F B F L D U x f S Z x d W 9 0 O y w m c X V v d D t T Z W N 0 a W 9 u M S 9 D Y X N o R m x v d y 9 D a G F u Z 2 V k I F R 5 c G U u e 1 N 0 b 2 N r Q m F z Z W R D b 2 1 w Z W 5 z Y X R p b 2 4 s N T J 9 J n F 1 b 3 Q 7 L C Z x d W 9 0 O 1 N l Y 3 R p b 2 4 x L 0 N h c 2 h G b G 9 3 L 0 N o Y W 5 n Z W Q g V H l w Z S 5 7 V W 5 y Z W F s a X p l Z E d h a W 5 M b 3 N z T 2 5 J b n Z l c 3 R t Z W 5 0 U 2 V j d X J p d G l l c y w 3 M n 0 m c X V v d D s s J n F 1 b 3 Q 7 U 2 V j d G l v b j E v Q 2 F z a E Z s b 3 c v Q 2 h h b m d l Z C B U e X B l L n t B b W 9 y d G l 6 Y X R p b 2 5 D Y X N o R m x v d y w 0 f S Z x d W 9 0 O y w m c X V v d D t T Z W N 0 a W 9 u M S 9 D Y X N o R m x v d y 9 D a G F u Z 2 V k I F R 5 c G U u e 0 F t b 3 J 0 a X p h d G l v b k 9 m S W 5 0 Y W 5 n a W J s Z X M s N X 0 m c X V v d D s s J n F 1 b 3 Q 7 U 2 V j d G l v b j E v Q 2 F z a E Z s b 3 c v Q 2 h h b m d l Z C B U e X B l L n t D Y X B p d G F s R X h w Z W 5 k a X R 1 c m V S Z X B v c n R l Z C w 4 M X 0 m c X V v d D s s J n F 1 b 3 Q 7 U 2 V j d G l v b j E v Q 2 F z a E Z s b 3 c v Q 2 h h b m d l Z C B U e X B l L n t D Y X N o R G l 2 a W R l b m R z U G F p Z C w 1 M 3 0 m c X V v d D s s J n F 1 b 3 Q 7 U 2 V j d G l v b j E v Q 2 F z a E Z s b 3 c v Q 2 h h b m d l Z C B U e X B l L n t D a G F u Z 2 V J b k l u Y 2 9 t Z V R h e F B h e W F i b G U s N T R 9 J n F 1 b 3 Q 7 L C Z x d W 9 0 O 1 N l Y 3 R p b 2 4 x L 0 N h c 2 h G b G 9 3 L 0 N o Y W 5 n Z W Q g V H l w Z S 5 7 Q 2 h h b m d l S W 5 J b n Z l b n R v c n k s M T V 9 J n F 1 b 3 Q 7 L C Z x d W 9 0 O 1 N l Y 3 R p b 2 4 x L 0 N h c 2 h G b G 9 3 L 0 N o Y W 5 n Z W Q g V H l w Z S 5 7 Q 2 h h b m d l S W 5 U Y X h Q Y X l h Y m x l L D U 1 f S Z x d W 9 0 O y w m c X V v d D t T Z W N 0 a W 9 u M S 9 D Y X N o R m x v d y 9 D a G F u Z 2 V k I F R 5 c G U u e 0 N v b W 1 v b l N 0 b 2 N r R G l 2 a W R l b m R Q Y W l k L D U 2 f S Z x d W 9 0 O y w m c X V v d D t T Z W N 0 a W 9 u M S 9 D Y X N o R m x v d y 9 D a G F u Z 2 V k I F R 5 c G U u e 0 R l c H J l Y 2 l h d G l v b i w y N X 0 m c X V v d D s s J n F 1 b 3 Q 7 U 2 V j d G l v b j E v Q 2 F z a E Z s b 3 c v Q 2 h h b m d l Z C B U e X B l L n t H Y W l u T G 9 z c 0 9 u U 2 F s Z U 9 m U F B F L D Y y f S Z x d W 9 0 O y w m c X V v d D t T Z W N 0 a W 9 u M S 9 D Y X N o R m x v d y 9 Q c m 9 t b 3 R l Z C B I Z W F k Z X J z L n t D Y X N o R m x v d 0 Z y b 2 1 E a X N j b 2 5 0 a W 5 1 Z W R P c G V y Y X R p b 2 4 s O D J 9 J n F 1 b 3 Q 7 L C Z x d W 9 0 O 1 N l Y 3 R p b 2 4 x L 0 N h c 2 h G b G 9 3 L 0 N o Y W 5 n Z W Q g V H l w Z S 5 7 T m V 0 U 2 h v c n R U Z X J t R G V i d E l z c 3 V h b m N l L D Y 2 f S Z x d W 9 0 O y w m c X V v d D t T Z W N 0 a W 9 u M S 9 D Y X N o R m x v d y 9 D a G F u Z 2 V k I F R 5 c G U u e 1 B l b n N p b 2 5 B b m R F b X B s b 3 l l Z U J l b m V m a X R F e H B l b n N l L D Y 5 f S Z x d W 9 0 O y w m c X V v d D t T Z W N 0 a W 9 u M S 9 D Y X N o R m x v d y 9 D a G F u Z 2 V k I F R 5 c G U u e 1 N o b 3 J 0 V G V y b U R l Y n R J c 3 N 1 Y W 5 j Z S w 4 M H 0 m c X V v d D s s J n F 1 b 3 Q 7 U 2 V j d G l v b j E v Q 2 F z a E Z s b 3 c v U H J v b W 9 0 Z W Q g S G V h Z G V y c y 5 7 R G l 2 a W R l b m R S Z W N l a X Z l Z E N G T y w 4 N n 0 m c X V v d D s s J n F 1 b 3 Q 7 U 2 V j d G l v b j E v Q 2 F z a E Z s b 3 c v U H J v b W 9 0 Z W Q g S G V h Z G V y c y 5 7 S W 5 0 Z X J l c 3 R Q Y W l k Q 0 Z P L D g 3 f S Z x d W 9 0 O y w m c X V v d D t T Z W N 0 a W 9 u M S 9 D Y X N o R m x v d y 9 Q c m 9 t b 3 R l Z C B I Z W F k Z X J z L n t J b n R l c m V z d F J l Y 2 V p d m V k Q 0 Z P L D g 4 f S Z x d W 9 0 O y w m c X V v d D t T Z W N 0 a W 9 u M S 9 D Y X N o R m x v d y 9 D a G F u Z 2 V k I F R 5 c G U u e 1 N o b 3 J 0 V G V y b U R l Y n R Q Y X l t Z W 5 0 c y w 3 M X 0 m c X V v d D s s J n F 1 b 3 Q 7 U 2 V j d G l v b j E v Q 2 F z a E Z s b 3 c v U H J v b W 9 0 Z W Q g S G V h Z G V y c y 5 7 V G F 4 Z X N S Z W Z 1 b m R Q Y W l k L D k w f S Z x d W 9 0 O y w m c X V v d D t T Z W N 0 a W 9 u M S 9 D Y X N o R m x v d y 9 D a G F u Z 2 V k I F R 5 c G U u e 0 N h c 2 h G c m 9 t R G l z Y 2 9 u d G l u d W V k R m l u Y W 5 j a W 5 n Q W N 0 a X Z p d G l l c y w 4 M 3 0 m c X V v d D s s J n F 1 b 3 Q 7 U 2 V j d G l v b j E v Q 2 F z a E Z s b 3 c v U H J v b W 9 0 Z W Q g S G V h Z G V y c y 5 7 S W 5 0 Z X J l c 3 R S Z W N l a X Z l Z E N G S S w 5 M n 0 m c X V v d D s s J n F 1 b 3 Q 7 U 2 V j d G l v b j E v Q 2 F z a E Z s b 3 c v Q 2 h h b m d l Z C B U e X B l L n t D Y X N o R n J v b U R p c 2 N v b n R p b n V l Z E l u d m V z d G l u Z 0 F j d G l 2 a X R p Z X M s O D R 9 J n F 1 b 3 Q 7 L C Z x d W 9 0 O 1 N l Y 3 R p b 2 4 x L 0 N h c 2 h G b G 9 3 L 0 N o Y W 5 n Z W Q g V H l w Z S 5 7 Q 2 F z a E Z y b 2 1 E a X N j b 2 5 0 a W 5 1 Z W R P c G V y Y X R p b m d B Y 3 R p d m l 0 a W V z L D g 1 f S Z x d W 9 0 O y w m c X V v d D t T Z W N 0 a W 9 u M S 9 D Y X N o R m x v d y 9 D a G F u Z 2 V k I F R 5 c G U u e 0 R p d m l k Z W 5 k c 1 J l Y 2 V p d m V k Q 0 Z J L D k x f S Z x d W 9 0 O y w m c X V v d D t T Z W N 0 a W 9 u M S 9 D Y X N o R m x v d y 9 D a G F u Z 2 V k I F R 5 c G U u e 1 B y Z W Z l c n J l Z F N 0 b 2 N r R G l 2 a W R l b m R Q Y W l k L D k 0 f S Z x d W 9 0 O y w m c X V v d D t T Z W N 0 a W 9 u M S 9 D Y X N o R m x v d y 9 D a G F u Z 2 V k I F R 5 c G U u e 1 B y Z W Z l c n J l Z F N 0 b 2 N r U G F 5 b W V u d H M s O T Z 9 J n F 1 b 3 Q 7 L C Z x d W 9 0 O 1 N l Y 3 R p b 2 4 x L 0 N h c 2 h G b G 9 3 L 1 B y b 2 1 v d G V k I E h l Y W R l c n M u e 2 F z T 2 Z Z Z W F y L D k 4 f S Z x d W 9 0 O y w m c X V v d D t T Z W N 0 a W 9 u M S 9 D Y X N o R m x v d y 9 D a G F u Z 2 V k I F R 5 c G U u e 1 B y b 3 Z p c 2 l v b m F u Z F d y a X R l T 2 Z m b 2 Z B c 3 N l d H M s O D l 9 J n F 1 b 3 Q 7 L C Z x d W 9 0 O 1 N l Y 3 R p b 2 4 x L 0 N h c 2 h G b G 9 3 L 0 N o Y W 5 n Z W Q g V H l w Z S 5 7 T m V 0 S W 5 0 Y W 5 n a W J s Z X N Q d X J j a G F z Z U F u Z F N h b G U s M T A w f S Z x d W 9 0 O y w m c X V v d D t T Z W N 0 a W 9 u M S 9 D Y X N o R m x v d y 9 D a G F u Z 2 V k I F R 5 c G U u e 1 B 1 c m N o Y X N l T 2 Z J b n R h b m d p Y m x l c y w x M D F 9 J n F 1 b 3 Q 7 L C Z x d W 9 0 O 1 N l Y 3 R p b 2 4 x L 0 N h c 2 h G b G 9 3 L 0 N o Y W 5 n Z W Q g V H l w Z S 5 7 V G l j a 2 V y L D k 3 f S Z x d W 9 0 O 1 0 s J n F 1 b 3 Q 7 U m V s Y X R p b 2 5 z a G l w S W 5 m b y Z x d W 9 0 O z p b X X 0 i I C 8 + P E V u d H J 5 I F R 5 c G U 9 I k Z p b G x F c n J v c k N v Z G U i I F Z h b H V l P S J z V W 5 r b m 9 3 b i I g L z 4 8 R W 5 0 c n k g V H l w Z T 0 i R m l s b E N v d W 5 0 I i B W Y W x 1 Z T 0 i b D U 2 I i A v P j x F b n R y e S B U e X B l P S J B Z G R l Z F R v R G F 0 Y U 1 v Z G V s I i B W Y W x 1 Z T 0 i b D A i I C 8 + P C 9 T d G F i b G V F b n R y a W V z P j w v S X R l b T 4 8 S X R l b T 4 8 S X R l b U x v Y 2 F 0 a W 9 u P j x J d G V t V H l w Z T 5 G b 3 J t d W x h P C 9 J d G V t V H l w Z T 4 8 S X R l b V B h d G g + U 2 V j d G l v b j E v Q 2 F z a E Z s b 3 c v U 2 9 1 c m N l P C 9 J d G V t U G F 0 a D 4 8 L 0 l 0 Z W 1 M b 2 N h d G l v b j 4 8 U 3 R h Y m x l R W 5 0 c m l l c y A v P j w v S X R l b T 4 8 S X R l b T 4 8 S X R l b U x v Y 2 F 0 a W 9 u P j x J d G V t V H l w Z T 5 G b 3 J t d W x h P C 9 J d G V t V H l w Z T 4 8 S X R l b V B h d G g + U 2 V j d G l v b j E v Q 2 F z a E Z s b 3 c v Q 2 F z a E Z s b 3 d f U 2 h l Z X Q 8 L 0 l 0 Z W 1 Q Y X R o P j w v S X R l b U x v Y 2 F 0 a W 9 u P j x T d G F i b G V F b n R y a W V z I C 8 + P C 9 J d G V t P j x J d G V t P j x J d G V t T G 9 j Y X R p b 2 4 + P E l 0 Z W 1 U e X B l P k Z v c m 1 1 b G E 8 L 0 l 0 Z W 1 U e X B l P j x J d G V t U G F 0 a D 5 T Z W N 0 a W 9 u M S 9 D Y X N o R m x v d y 9 Q c m 9 t b 3 R l Z C U y M E h l Y W R l c n M 8 L 0 l 0 Z W 1 Q Y X R o P j w v S X R l b U x v Y 2 F 0 a W 9 u P j x T d G F i b G V F b n R y a W V z I C 8 + P C 9 J d G V t P j x J d G V t P j x J d G V t T G 9 j Y X R p b 2 4 + P E l 0 Z W 1 U e X B l P k Z v c m 1 1 b G E 8 L 0 l 0 Z W 1 U e X B l P j x J d G V t U G F 0 a D 5 T Z W N 0 a W 9 u M S 9 D Y X N o R m x v d y 9 D a G F u Z 2 V k J T I w V H l w Z T w v S X R l b V B h d G g + P C 9 J d G V t T G 9 j Y X R p b 2 4 + P F N 0 Y W J s Z U V u d H J p Z X M g L z 4 8 L 0 l 0 Z W 0 + P E l 0 Z W 0 + P E l 0 Z W 1 M b 2 N h d G l v b j 4 8 S X R l b V R 5 c G U + R m 9 y b X V s Y T w v S X R l b V R 5 c G U + P E l 0 Z W 1 Q Y X R o P l N l Y 3 R p b 2 4 x L 0 1 l d G F E Y X R h P C 9 J d G V t U G F 0 a D 4 8 L 0 l 0 Z W 1 M b 2 N h d G l v b j 4 8 U 3 R h Y m x l R W 5 0 c m l l c z 4 8 R W 5 0 c n k g V H l w Z T 0 i S X N Q c m l 2 Y X R l I i B W Y W x 1 Z T 0 i b D A i I C 8 + P E V u d H J 5 I F R 5 c G U 9 I l F 1 Z X J 5 S U Q i I F Z h b H V l P S J z Z j Q x Y W E y N D A t O D M 2 M i 0 0 O D U x L T k 0 Y T Y t M D d j M D N m Z D F j N T c 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R h R G F 0 Y S I g L z 4 8 R W 5 0 c n k g V H l w Z T 0 i R m l s b G V k Q 2 9 t c G x l d G V S Z X N 1 b H R U b 1 d v c m t z a G V l d C I g V m F s d W U 9 I m w x I i A v P j x F b n R y e S B U e X B l P S J G a W x s T G F z d F V w Z G F 0 Z W Q i I F Z h b H V l P S J k M j A y N C 0 w O C 0 y N l Q x O D o x M z o z M S 4 w N z E 5 M j Q 3 W i I g L z 4 8 R W 5 0 c n k g V H l w Z T 0 i R m l s b E N v b H V t b l R 5 c G V z I i B W Y W x 1 Z T 0 i c 0 J n T U d C Z 1 l H Q 1 F V R E F 3 V U Z C U V V E Q l F V Q U J R T U Z C U V V E Q U F V R k J R Y 0 Z C U V V G Q X d V R k J R V U Z B d 0 1 G Q l F j S E J 3 V U c i I C 8 + P E V u d H J 5 I F R 5 c G U 9 I k Z p b G x D b 2 x 1 b W 5 O Y W 1 l c y I g V m F s d W U 9 I n N b J n F 1 b 3 Q 7 a W Q m c X V v d D s s J n F 1 b 3 Q 7 Z n V s b F R p b W V F b X B s b 3 l l Z X M m c X V v d D s s J n F 1 b 3 Q 7 d 2 V i c 2 l 0 Z S Z x d W 9 0 O y w m c X V v d D t p b m R 1 c 3 R y e S Z x d W 9 0 O y w m c X V v d D t z Z W N 0 b 3 I m c X V v d D s s J n F 1 b 3 Q 7 b G 9 u Z 0 J 1 c 2 l u Z X N z U 3 V t b W F y e S Z x d W 9 0 O y w m c X V v d D t E Y X R l J n F 1 b 3 Q 7 L C Z x d W 9 0 O 2 R l Y n R U b 0 V x d W l 0 e S Z x d W 9 0 O y w m c X V v d D t 0 b 3 R h b E R l Y n Q m c X V v d D s s J n F 1 b 3 Q 7 Z W J p d G R h J n F 1 b 3 Q 7 L C Z x d W 9 0 O 2 9 w Z X J h d G l u Z 0 1 h c m d p b n M m c X V v d D s s J n F 1 b 3 Q 7 c m V 2 Z W 5 1 Z U d y b 3 d 0 a C Z x d W 9 0 O y w m c X V v d D t 0 b 3 R h b E N h c 2 h Q Z X J T a G F y Z S Z x d W 9 0 O y w m c X V v d D t y Z X Z l b n V l U G V y U 2 h h c m U m c X V v d D s s J n F 1 b 3 Q 7 d G 9 0 Y W x D Y X N o J n F 1 b 3 Q 7 L C Z x d W 9 0 O 3 J l d H V y b k 9 u Q X N z Z X R z J n F 1 b 3 Q 7 L C Z x d W 9 0 O 3 B y b 2 Z p d E 1 h c m d p b n M m c X V v d D s s J n F 1 b 3 Q 7 Z 3 J v c 3 N Q c m 9 m a X R z J n F 1 b 3 Q 7 L C Z x d W 9 0 O 2 V h c m 5 p b m d z R 3 J v d 3 R o J n F 1 b 3 Q 7 L C Z x d W 9 0 O 2 Z y Z W V D Y X N o Z m x v d y Z x d W 9 0 O y w m c X V v d D t y Z X R 1 c m 5 P b k V x d W l 0 e S Z x d W 9 0 O y w m c X V v d D t x d W l j a 1 J h d G l v J n F 1 b 3 Q 7 L C Z x d W 9 0 O 2 N 1 c n J l b n R S Y X R p b y Z x d W 9 0 O y w m c X V v d D t v c G V y Y X R p b m d D Y X N o Z m x v d y Z x d W 9 0 O y w m c X V v d D t 0 Y X J n Z X R N Z W F u U H J p Y 2 U m c X V v d D s s J n F 1 b 3 Q 7 c H J l d m l v d X N D b G 9 z Z S Z x d W 9 0 O y w m c X V v d D t k a X Z p Z G V u Z F J h d G U m c X V v d D s s J n F 1 b 3 Q 7 Z G l 2 a W R l b m R Z a W V s Z C Z x d W 9 0 O y w m c X V v d D t l e E R p d m l k Z W 5 k R G F 0 Z S Z x d W 9 0 O y w m c X V v d D t m a X Z l W W V h c k F 2 Z 0 R p d m l k Z W 5 k W W l l b G Q m c X V v d D s s J n F 1 b 3 Q 7 Y m V 0 Y S Z x d W 9 0 O y w m c X V v d D t 0 c m F p b G l u Z 1 B F J n F 1 b 3 Q 7 L C Z x d W 9 0 O 2 Z v c n d h c m R Q R S Z x d W 9 0 O y w m c X V v d D t h d m V y Y W d l V m 9 s d W 1 l M T B k Y X l z J n F 1 b 3 Q 7 L C Z x d W 9 0 O 2 Z p Z n R 5 V H d v V 2 V l a 0 x v d y Z x d W 9 0 O y w m c X V v d D t m a W Z 0 e V R 3 b 1 d l Z W t I a W d o J n F 1 b 3 Q 7 L C Z x d W 9 0 O 3 B y a W N l V G 9 T Y W x l c 1 R y Y W l s a W 5 n M T J N b 2 5 0 a H M m c X V v d D s s J n F 1 b 3 Q 7 d H J h a W x p b m d B b m 5 1 Y W x E a X Z p Z G V u Z F J h d G U m c X V v d D s s J n F 1 b 3 Q 7 d H J h a W x p b m d B b m 5 1 Y W x E a X Z p Z G V u Z F l p Z W x k J n F 1 b 3 Q 7 L C Z x d W 9 0 O 2 1 h c m t l d E N h c C Z x d W 9 0 O y w m c X V v d D t z a G F y Z X N P d X R z d G F u Z G l u Z y Z x d W 9 0 O y w m c X V v d D t i b 2 9 r V m F s d W U m c X V v d D s s J n F 1 b 3 Q 7 c H J p Y 2 V U b 0 J v b 2 s m c X V v d D s s J n F 1 b 3 Q 7 b G F z d E Z p c 2 N h b F l l Y X J F b m Q m c X V v d D s s J n F 1 b 3 Q 7 b m V 4 d E Z p c 2 N h b F l l Y X J F b m Q m c X V v d D s s J n F 1 b 3 Q 7 b W 9 z d F J l Y 2 V u d F F 1 Y X J 0 Z X I m c X V v d D s s J n F 1 b 3 Q 7 c G V n U m F 0 a W 8 m c X V v d D s s J n F 1 b 3 Q 7 V G l j a 2 V y J n F 1 b 3 Q 7 X S I g L z 4 8 R W 5 0 c n k g V H l w Z T 0 i R m l s b F N 0 Y X R 1 c y I g V m F s d W U 9 I n N D b 2 1 w b G V 0 Z S I g L z 4 8 R W 5 0 c n k g V H l w Z T 0 i R m l s b E V y c m 9 y Q 2 9 1 b n Q i I F Z h b H V l P S J s M C I g L z 4 8 R W 5 0 c n k g V H l w Z T 0 i U m V s Y X R p b 2 5 z a G l w S W 5 m b 0 N v b n R h a W 5 l c i I g V m F s d W U 9 I n N 7 J n F 1 b 3 Q 7 Y 2 9 s d W 1 u Q 2 9 1 b n Q m c X V v d D s 6 N D g s J n F 1 b 3 Q 7 a 2 V 5 Q 2 9 s d W 1 u T m F t Z X M m c X V v d D s 6 W 1 0 s J n F 1 b 3 Q 7 c X V l c n l S Z W x h d G l v b n N o a X B z J n F 1 b 3 Q 7 O l t d L C Z x d W 9 0 O 2 N v b H V t b k l k Z W 5 0 a X R p Z X M m c X V v d D s 6 W y Z x d W 9 0 O 1 N l Y 3 R p b 2 4 x L 0 1 l d G F E Y X R h L 0 N o Y W 5 n Z W Q g V H l w Z S 5 7 a W Q s M H 0 m c X V v d D s s J n F 1 b 3 Q 7 U 2 V j d G l v b j E v T W V 0 Y U R h d G E v Q 2 h h b m d l Z C B U e X B l L n t m d W x s V G l t Z U V t c G x v e W V l c y w x f S Z x d W 9 0 O y w m c X V v d D t T Z W N 0 a W 9 u M S 9 N Z X R h R G F 0 Y S 9 D a G F u Z 2 V k I F R 5 c G U u e 3 d l Y n N p d G U s M n 0 m c X V v d D s s J n F 1 b 3 Q 7 U 2 V j d G l v b j E v T W V 0 Y U R h d G E v Q 2 h h b m d l Z C B U e X B l L n t p b m R 1 c 3 R y e S w z f S Z x d W 9 0 O y w m c X V v d D t T Z W N 0 a W 9 u M S 9 N Z X R h R G F 0 Y S 9 D a G F u Z 2 V k I F R 5 c G U u e 3 N l Y 3 R v c i w 0 f S Z x d W 9 0 O y w m c X V v d D t T Z W N 0 a W 9 u M S 9 N Z X R h R G F 0 Y S 9 D a G F u Z 2 V k I F R 5 c G U u e 2 x v b m d C d X N p b m V z c 1 N 1 b W 1 h c n k s N X 0 m c X V v d D s s J n F 1 b 3 Q 7 U 2 V j d G l v b j E v T W V 0 Y U R h d G E v Q 2 h h b m d l Z C B U e X B l L n t E Y X R l L D Z 9 J n F 1 b 3 Q 7 L C Z x d W 9 0 O 1 N l Y 3 R p b 2 4 x L 0 1 l d G F E Y X R h L 0 N o Y W 5 n Z W Q g V H l w Z S 5 7 Z G V i d F R v R X F 1 a X R 5 L D d 9 J n F 1 b 3 Q 7 L C Z x d W 9 0 O 1 N l Y 3 R p b 2 4 x L 0 1 l d G F E Y X R h L 0 N o Y W 5 n Z W Q g V H l w Z S 5 7 d G 9 0 Y W x E Z W J 0 L D h 9 J n F 1 b 3 Q 7 L C Z x d W 9 0 O 1 N l Y 3 R p b 2 4 x L 0 1 l d G F E Y X R h L 0 N o Y W 5 n Z W Q g V H l w Z S 5 7 Z W J p d G R h L D l 9 J n F 1 b 3 Q 7 L C Z x d W 9 0 O 1 N l Y 3 R p b 2 4 x L 0 1 l d G F E Y X R h L 0 N o Y W 5 n Z W Q g V H l w Z S 5 7 b 3 B l c m F 0 a W 5 n T W F y Z 2 l u c y w x M H 0 m c X V v d D s s J n F 1 b 3 Q 7 U 2 V j d G l v b j E v T W V 0 Y U R h d G E v Q 2 h h b m d l Z C B U e X B l L n t y Z X Z l b n V l R 3 J v d 3 R o L D E x f S Z x d W 9 0 O y w m c X V v d D t T Z W N 0 a W 9 u M S 9 N Z X R h R G F 0 Y S 9 D a G F u Z 2 V k I F R 5 c G U u e 3 R v d G F s Q 2 F z a F B l c l N o Y X J l L D E y f S Z x d W 9 0 O y w m c X V v d D t T Z W N 0 a W 9 u M S 9 N Z X R h R G F 0 Y S 9 D a G F u Z 2 V k I F R 5 c G U u e 3 J l d m V u d W V Q Z X J T a G F y Z S w x M 3 0 m c X V v d D s s J n F 1 b 3 Q 7 U 2 V j d G l v b j E v T W V 0 Y U R h d G E v Q 2 h h b m d l Z C B U e X B l L n t 0 b 3 R h b E N h c 2 g s M T R 9 J n F 1 b 3 Q 7 L C Z x d W 9 0 O 1 N l Y 3 R p b 2 4 x L 0 1 l d G F E Y X R h L 0 N o Y W 5 n Z W Q g V H l w Z S 5 7 c m V 0 d X J u T 2 5 B c 3 N l d H M s M T V 9 J n F 1 b 3 Q 7 L C Z x d W 9 0 O 1 N l Y 3 R p b 2 4 x L 0 1 l d G F E Y X R h L 0 N o Y W 5 n Z W Q g V H l w Z S 5 7 c H J v Z m l 0 T W F y Z 2 l u c y w x N n 0 m c X V v d D s s J n F 1 b 3 Q 7 U 2 V j d G l v b j E v T W V 0 Y U R h d G E v Q 2 h h b m d l Z C B U e X B l L n t n c m 9 z c 1 B y b 2 Z p d H M s M T d 9 J n F 1 b 3 Q 7 L C Z x d W 9 0 O 1 N l Y 3 R p b 2 4 x L 0 1 l d G F E Y X R h L 0 N o Y W 5 n Z W Q g V H l w Z S 5 7 Z W F y b m l u Z 3 N H c m 9 3 d G g s M T h 9 J n F 1 b 3 Q 7 L C Z x d W 9 0 O 1 N l Y 3 R p b 2 4 x L 0 1 l d G F E Y X R h L 0 N o Y W 5 n Z W Q g V H l w Z S 5 7 Z n J l Z U N h c 2 h m b G 9 3 L D E 5 f S Z x d W 9 0 O y w m c X V v d D t T Z W N 0 a W 9 u M S 9 N Z X R h R G F 0 Y S 9 D a G F u Z 2 V k I F R 5 c G U u e 3 J l d H V y b k 9 u R X F 1 a X R 5 L D I w f S Z x d W 9 0 O y w m c X V v d D t T Z W N 0 a W 9 u M S 9 N Z X R h R G F 0 Y S 9 D a G F u Z 2 V k I F R 5 c G U u e 3 F 1 a W N r U m F 0 a W 8 s M j F 9 J n F 1 b 3 Q 7 L C Z x d W 9 0 O 1 N l Y 3 R p b 2 4 x L 0 1 l d G F E Y X R h L 0 N o Y W 5 n Z W Q g V H l w Z S 5 7 Y 3 V y c m V u d F J h d G l v L D I y f S Z x d W 9 0 O y w m c X V v d D t T Z W N 0 a W 9 u M S 9 N Z X R h R G F 0 Y S 9 D a G F u Z 2 V k I F R 5 c G U u e 2 9 w Z X J h d G l u Z 0 N h c 2 h m b G 9 3 L D I z f S Z x d W 9 0 O y w m c X V v d D t T Z W N 0 a W 9 u M S 9 N Z X R h R G F 0 Y S 9 Q c m 9 t b 3 R l Z C B I Z W F k Z X J z L n t 0 Y X J n Z X R N Z W F u U H J p Y 2 U s M j R 9 J n F 1 b 3 Q 7 L C Z x d W 9 0 O 1 N l Y 3 R p b 2 4 x L 0 1 l d G F E Y X R h L 0 N o Y W 5 n Z W Q g V H l w Z S 5 7 c H J l d m l v d X N D b G 9 z Z S w y N X 0 m c X V v d D s s J n F 1 b 3 Q 7 U 2 V j d G l v b j E v T W V 0 Y U R h d G E v Q 2 h h b m d l Z C B U e X B l L n t k a X Z p Z G V u Z F J h d G U s M j Z 9 J n F 1 b 3 Q 7 L C Z x d W 9 0 O 1 N l Y 3 R p b 2 4 x L 0 1 l d G F E Y X R h L 0 N o Y W 5 n Z W Q g V H l w Z S 5 7 Z G l 2 a W R l b m R Z a W V s Z C w y N 3 0 m c X V v d D s s J n F 1 b 3 Q 7 U 2 V j d G l v b j E v T W V 0 Y U R h d G E v Q 2 h h b m d l Z C B U e X B l L n t l e E R p d m l k Z W 5 k R G F 0 Z S w y O H 0 m c X V v d D s s J n F 1 b 3 Q 7 U 2 V j d G l v b j E v T W V 0 Y U R h d G E v Q 2 h h b m d l Z C B U e X B l L n t m a X Z l W W V h c k F 2 Z 0 R p d m l k Z W 5 k W W l l b G Q s M j l 9 J n F 1 b 3 Q 7 L C Z x d W 9 0 O 1 N l Y 3 R p b 2 4 x L 0 1 l d G F E Y X R h L 0 N o Y W 5 n Z W Q g V H l w Z S 5 7 Y m V 0 Y S w z M H 0 m c X V v d D s s J n F 1 b 3 Q 7 U 2 V j d G l v b j E v T W V 0 Y U R h d G E v Q 2 h h b m d l Z C B U e X B l L n t 0 c m F p b G l u Z 1 B F L D M x f S Z x d W 9 0 O y w m c X V v d D t T Z W N 0 a W 9 u M S 9 N Z X R h R G F 0 Y S 9 D a G F u Z 2 V k I F R 5 c G U u e 2 Z v c n d h c m R Q R S w z M n 0 m c X V v d D s s J n F 1 b 3 Q 7 U 2 V j d G l v b j E v T W V 0 Y U R h d G E v Q 2 h h b m d l Z C B U e X B l L n t h d m V y Y W d l V m 9 s d W 1 l M T B k Y X l z L D M z f S Z x d W 9 0 O y w m c X V v d D t T Z W N 0 a W 9 u M S 9 N Z X R h R G F 0 Y S 9 D a G F u Z 2 V k I F R 5 c G U u e 2 Z p Z n R 5 V H d v V 2 V l a 0 x v d y w z N H 0 m c X V v d D s s J n F 1 b 3 Q 7 U 2 V j d G l v b j E v T W V 0 Y U R h d G E v Q 2 h h b m d l Z C B U e X B l L n t m a W Z 0 e V R 3 b 1 d l Z W t I a W d o L D M 1 f S Z x d W 9 0 O y w m c X V v d D t T Z W N 0 a W 9 u M S 9 N Z X R h R G F 0 Y S 9 D a G F u Z 2 V k I F R 5 c G U u e 3 B y a W N l V G 9 T Y W x l c 1 R y Y W l s a W 5 n M T J N b 2 5 0 a H M s M z Z 9 J n F 1 b 3 Q 7 L C Z x d W 9 0 O 1 N l Y 3 R p b 2 4 x L 0 1 l d G F E Y X R h L 0 N o Y W 5 n Z W Q g V H l w Z S 5 7 d H J h a W x p b m d B b m 5 1 Y W x E a X Z p Z G V u Z F J h d G U s M z d 9 J n F 1 b 3 Q 7 L C Z x d W 9 0 O 1 N l Y 3 R p b 2 4 x L 0 1 l d G F E Y X R h L 0 N o Y W 5 n Z W Q g V H l w Z S 5 7 d H J h a W x p b m d B b m 5 1 Y W x E a X Z p Z G V u Z F l p Z W x k L D M 4 f S Z x d W 9 0 O y w m c X V v d D t T Z W N 0 a W 9 u M S 9 N Z X R h R G F 0 Y S 9 D a G F u Z 2 V k I F R 5 c G U u e 2 1 h c m t l d E N h c C w z O X 0 m c X V v d D s s J n F 1 b 3 Q 7 U 2 V j d G l v b j E v T W V 0 Y U R h d G E v Q 2 h h b m d l Z C B U e X B l L n t z a G F y Z X N P d X R z d G F u Z G l u Z y w 0 M H 0 m c X V v d D s s J n F 1 b 3 Q 7 U 2 V j d G l v b j E v T W V 0 Y U R h d G E v Q 2 h h b m d l Z C B U e X B l L n t i b 2 9 r V m F s d W U s N D F 9 J n F 1 b 3 Q 7 L C Z x d W 9 0 O 1 N l Y 3 R p b 2 4 x L 0 1 l d G F E Y X R h L 0 N o Y W 5 n Z W Q g V H l w Z S 5 7 c H J p Y 2 V U b 0 J v b 2 s s N D J 9 J n F 1 b 3 Q 7 L C Z x d W 9 0 O 1 N l Y 3 R p b 2 4 x L 0 1 l d G F E Y X R h L 0 N o Y W 5 n Z W Q g V H l w Z S 5 7 b G F z d E Z p c 2 N h b F l l Y X J F b m Q s N D N 9 J n F 1 b 3 Q 7 L C Z x d W 9 0 O 1 N l Y 3 R p b 2 4 x L 0 1 l d G F E Y X R h L 0 N o Y W 5 n Z W Q g V H l w Z S 5 7 b m V 4 d E Z p c 2 N h b F l l Y X J F b m Q s N D R 9 J n F 1 b 3 Q 7 L C Z x d W 9 0 O 1 N l Y 3 R p b 2 4 x L 0 1 l d G F E Y X R h L 0 N o Y W 5 n Z W Q g V H l w Z S 5 7 b W 9 z d F J l Y 2 V u d F F 1 Y X J 0 Z X I s N D V 9 J n F 1 b 3 Q 7 L C Z x d W 9 0 O 1 N l Y 3 R p b 2 4 x L 0 1 l d G F E Y X R h L 0 N o Y W 5 n Z W Q g V H l w Z S 5 7 c G V n U m F 0 a W 8 s N D Z 9 J n F 1 b 3 Q 7 L C Z x d W 9 0 O 1 N l Y 3 R p b 2 4 x L 0 1 l d G F E Y X R h L 0 N o Y W 5 n Z W Q g V H l w Z S 5 7 V G l j a 2 V y L D Q 3 f S Z x d W 9 0 O 1 0 s J n F 1 b 3 Q 7 Q 2 9 s d W 1 u Q 2 9 1 b n Q m c X V v d D s 6 N D g s J n F 1 b 3 Q 7 S 2 V 5 Q 2 9 s d W 1 u T m F t Z X M m c X V v d D s 6 W 1 0 s J n F 1 b 3 Q 7 Q 2 9 s d W 1 u S W R l b n R p d G l l c y Z x d W 9 0 O z p b J n F 1 b 3 Q 7 U 2 V j d G l v b j E v T W V 0 Y U R h d G E v Q 2 h h b m d l Z C B U e X B l L n t p Z C w w f S Z x d W 9 0 O y w m c X V v d D t T Z W N 0 a W 9 u M S 9 N Z X R h R G F 0 Y S 9 D a G F u Z 2 V k I F R 5 c G U u e 2 Z 1 b G x U a W 1 l R W 1 w b G 9 5 Z W V z L D F 9 J n F 1 b 3 Q 7 L C Z x d W 9 0 O 1 N l Y 3 R p b 2 4 x L 0 1 l d G F E Y X R h L 0 N o Y W 5 n Z W Q g V H l w Z S 5 7 d 2 V i c 2 l 0 Z S w y f S Z x d W 9 0 O y w m c X V v d D t T Z W N 0 a W 9 u M S 9 N Z X R h R G F 0 Y S 9 D a G F u Z 2 V k I F R 5 c G U u e 2 l u Z H V z d H J 5 L D N 9 J n F 1 b 3 Q 7 L C Z x d W 9 0 O 1 N l Y 3 R p b 2 4 x L 0 1 l d G F E Y X R h L 0 N o Y W 5 n Z W Q g V H l w Z S 5 7 c 2 V j d G 9 y L D R 9 J n F 1 b 3 Q 7 L C Z x d W 9 0 O 1 N l Y 3 R p b 2 4 x L 0 1 l d G F E Y X R h L 0 N o Y W 5 n Z W Q g V H l w Z S 5 7 b G 9 u Z 0 J 1 c 2 l u Z X N z U 3 V t b W F y e S w 1 f S Z x d W 9 0 O y w m c X V v d D t T Z W N 0 a W 9 u M S 9 N Z X R h R G F 0 Y S 9 D a G F u Z 2 V k I F R 5 c G U u e 0 R h d G U s N n 0 m c X V v d D s s J n F 1 b 3 Q 7 U 2 V j d G l v b j E v T W V 0 Y U R h d G E v Q 2 h h b m d l Z C B U e X B l L n t k Z W J 0 V G 9 F c X V p d H k s N 3 0 m c X V v d D s s J n F 1 b 3 Q 7 U 2 V j d G l v b j E v T W V 0 Y U R h d G E v Q 2 h h b m d l Z C B U e X B l L n t 0 b 3 R h b E R l Y n Q s O H 0 m c X V v d D s s J n F 1 b 3 Q 7 U 2 V j d G l v b j E v T W V 0 Y U R h d G E v Q 2 h h b m d l Z C B U e X B l L n t l Y m l 0 Z G E s O X 0 m c X V v d D s s J n F 1 b 3 Q 7 U 2 V j d G l v b j E v T W V 0 Y U R h d G E v Q 2 h h b m d l Z C B U e X B l L n t v c G V y Y X R p b m d N Y X J n a W 5 z L D E w f S Z x d W 9 0 O y w m c X V v d D t T Z W N 0 a W 9 u M S 9 N Z X R h R G F 0 Y S 9 D a G F u Z 2 V k I F R 5 c G U u e 3 J l d m V u d W V H c m 9 3 d G g s M T F 9 J n F 1 b 3 Q 7 L C Z x d W 9 0 O 1 N l Y 3 R p b 2 4 x L 0 1 l d G F E Y X R h L 0 N o Y W 5 n Z W Q g V H l w Z S 5 7 d G 9 0 Y W x D Y X N o U G V y U 2 h h c m U s M T J 9 J n F 1 b 3 Q 7 L C Z x d W 9 0 O 1 N l Y 3 R p b 2 4 x L 0 1 l d G F E Y X R h L 0 N o Y W 5 n Z W Q g V H l w Z S 5 7 c m V 2 Z W 5 1 Z V B l c l N o Y X J l L D E z f S Z x d W 9 0 O y w m c X V v d D t T Z W N 0 a W 9 u M S 9 N Z X R h R G F 0 Y S 9 D a G F u Z 2 V k I F R 5 c G U u e 3 R v d G F s Q 2 F z a C w x N H 0 m c X V v d D s s J n F 1 b 3 Q 7 U 2 V j d G l v b j E v T W V 0 Y U R h d G E v Q 2 h h b m d l Z C B U e X B l L n t y Z X R 1 c m 5 P b k F z c 2 V 0 c y w x N X 0 m c X V v d D s s J n F 1 b 3 Q 7 U 2 V j d G l v b j E v T W V 0 Y U R h d G E v Q 2 h h b m d l Z C B U e X B l L n t w c m 9 m a X R N Y X J n a W 5 z L D E 2 f S Z x d W 9 0 O y w m c X V v d D t T Z W N 0 a W 9 u M S 9 N Z X R h R G F 0 Y S 9 D a G F u Z 2 V k I F R 5 c G U u e 2 d y b 3 N z U H J v Z m l 0 c y w x N 3 0 m c X V v d D s s J n F 1 b 3 Q 7 U 2 V j d G l v b j E v T W V 0 Y U R h d G E v Q 2 h h b m d l Z C B U e X B l L n t l Y X J u a W 5 n c 0 d y b 3 d 0 a C w x O H 0 m c X V v d D s s J n F 1 b 3 Q 7 U 2 V j d G l v b j E v T W V 0 Y U R h d G E v Q 2 h h b m d l Z C B U e X B l L n t m c m V l Q 2 F z a G Z s b 3 c s M T l 9 J n F 1 b 3 Q 7 L C Z x d W 9 0 O 1 N l Y 3 R p b 2 4 x L 0 1 l d G F E Y X R h L 0 N o Y W 5 n Z W Q g V H l w Z S 5 7 c m V 0 d X J u T 2 5 F c X V p d H k s M j B 9 J n F 1 b 3 Q 7 L C Z x d W 9 0 O 1 N l Y 3 R p b 2 4 x L 0 1 l d G F E Y X R h L 0 N o Y W 5 n Z W Q g V H l w Z S 5 7 c X V p Y 2 t S Y X R p b y w y M X 0 m c X V v d D s s J n F 1 b 3 Q 7 U 2 V j d G l v b j E v T W V 0 Y U R h d G E v Q 2 h h b m d l Z C B U e X B l L n t j d X J y Z W 5 0 U m F 0 a W 8 s M j J 9 J n F 1 b 3 Q 7 L C Z x d W 9 0 O 1 N l Y 3 R p b 2 4 x L 0 1 l d G F E Y X R h L 0 N o Y W 5 n Z W Q g V H l w Z S 5 7 b 3 B l c m F 0 a W 5 n Q 2 F z a G Z s b 3 c s M j N 9 J n F 1 b 3 Q 7 L C Z x d W 9 0 O 1 N l Y 3 R p b 2 4 x L 0 1 l d G F E Y X R h L 1 B y b 2 1 v d G V k I E h l Y W R l c n M u e 3 R h c m d l d E 1 l Y W 5 Q c m l j Z S w y N H 0 m c X V v d D s s J n F 1 b 3 Q 7 U 2 V j d G l v b j E v T W V 0 Y U R h d G E v Q 2 h h b m d l Z C B U e X B l L n t w c m V 2 a W 9 1 c 0 N s b 3 N l L D I 1 f S Z x d W 9 0 O y w m c X V v d D t T Z W N 0 a W 9 u M S 9 N Z X R h R G F 0 Y S 9 D a G F u Z 2 V k I F R 5 c G U u e 2 R p d m l k Z W 5 k U m F 0 Z S w y N n 0 m c X V v d D s s J n F 1 b 3 Q 7 U 2 V j d G l v b j E v T W V 0 Y U R h d G E v Q 2 h h b m d l Z C B U e X B l L n t k a X Z p Z G V u Z F l p Z W x k L D I 3 f S Z x d W 9 0 O y w m c X V v d D t T Z W N 0 a W 9 u M S 9 N Z X R h R G F 0 Y S 9 D a G F u Z 2 V k I F R 5 c G U u e 2 V 4 R G l 2 a W R l b m R E Y X R l L D I 4 f S Z x d W 9 0 O y w m c X V v d D t T Z W N 0 a W 9 u M S 9 N Z X R h R G F 0 Y S 9 D a G F u Z 2 V k I F R 5 c G U u e 2 Z p d m V Z Z W F y Q X Z n R G l 2 a W R l b m R Z a W V s Z C w y O X 0 m c X V v d D s s J n F 1 b 3 Q 7 U 2 V j d G l v b j E v T W V 0 Y U R h d G E v Q 2 h h b m d l Z C B U e X B l L n t i Z X R h L D M w f S Z x d W 9 0 O y w m c X V v d D t T Z W N 0 a W 9 u M S 9 N Z X R h R G F 0 Y S 9 D a G F u Z 2 V k I F R 5 c G U u e 3 R y Y W l s a W 5 n U E U s M z F 9 J n F 1 b 3 Q 7 L C Z x d W 9 0 O 1 N l Y 3 R p b 2 4 x L 0 1 l d G F E Y X R h L 0 N o Y W 5 n Z W Q g V H l w Z S 5 7 Z m 9 y d 2 F y Z F B F L D M y f S Z x d W 9 0 O y w m c X V v d D t T Z W N 0 a W 9 u M S 9 N Z X R h R G F 0 Y S 9 D a G F u Z 2 V k I F R 5 c G U u e 2 F 2 Z X J h Z 2 V W b 2 x 1 b W U x M G R h e X M s M z N 9 J n F 1 b 3 Q 7 L C Z x d W 9 0 O 1 N l Y 3 R p b 2 4 x L 0 1 l d G F E Y X R h L 0 N o Y W 5 n Z W Q g V H l w Z S 5 7 Z m l m d H l U d 2 9 X Z W V r T G 9 3 L D M 0 f S Z x d W 9 0 O y w m c X V v d D t T Z W N 0 a W 9 u M S 9 N Z X R h R G F 0 Y S 9 D a G F u Z 2 V k I F R 5 c G U u e 2 Z p Z n R 5 V H d v V 2 V l a 0 h p Z 2 g s M z V 9 J n F 1 b 3 Q 7 L C Z x d W 9 0 O 1 N l Y 3 R p b 2 4 x L 0 1 l d G F E Y X R h L 0 N o Y W 5 n Z W Q g V H l w Z S 5 7 c H J p Y 2 V U b 1 N h b G V z V H J h a W x p b m c x M k 1 v b n R o c y w z N n 0 m c X V v d D s s J n F 1 b 3 Q 7 U 2 V j d G l v b j E v T W V 0 Y U R h d G E v Q 2 h h b m d l Z C B U e X B l L n t 0 c m F p b G l u Z 0 F u b n V h b E R p d m l k Z W 5 k U m F 0 Z S w z N 3 0 m c X V v d D s s J n F 1 b 3 Q 7 U 2 V j d G l v b j E v T W V 0 Y U R h d G E v Q 2 h h b m d l Z C B U e X B l L n t 0 c m F p b G l u Z 0 F u b n V h b E R p d m l k Z W 5 k W W l l b G Q s M z h 9 J n F 1 b 3 Q 7 L C Z x d W 9 0 O 1 N l Y 3 R p b 2 4 x L 0 1 l d G F E Y X R h L 0 N o Y W 5 n Z W Q g V H l w Z S 5 7 b W F y a 2 V 0 Q 2 F w L D M 5 f S Z x d W 9 0 O y w m c X V v d D t T Z W N 0 a W 9 u M S 9 N Z X R h R G F 0 Y S 9 D a G F u Z 2 V k I F R 5 c G U u e 3 N o Y X J l c 0 9 1 d H N 0 Y W 5 k a W 5 n L D Q w f S Z x d W 9 0 O y w m c X V v d D t T Z W N 0 a W 9 u M S 9 N Z X R h R G F 0 Y S 9 D a G F u Z 2 V k I F R 5 c G U u e 2 J v b 2 t W Y W x 1 Z S w 0 M X 0 m c X V v d D s s J n F 1 b 3 Q 7 U 2 V j d G l v b j E v T W V 0 Y U R h d G E v Q 2 h h b m d l Z C B U e X B l L n t w c m l j Z V R v Q m 9 v a y w 0 M n 0 m c X V v d D s s J n F 1 b 3 Q 7 U 2 V j d G l v b j E v T W V 0 Y U R h d G E v Q 2 h h b m d l Z C B U e X B l L n t s Y X N 0 R m l z Y 2 F s W W V h c k V u Z C w 0 M 3 0 m c X V v d D s s J n F 1 b 3 Q 7 U 2 V j d G l v b j E v T W V 0 Y U R h d G E v Q 2 h h b m d l Z C B U e X B l L n t u Z X h 0 R m l z Y 2 F s W W V h c k V u Z C w 0 N H 0 m c X V v d D s s J n F 1 b 3 Q 7 U 2 V j d G l v b j E v T W V 0 Y U R h d G E v Q 2 h h b m d l Z C B U e X B l L n t t b 3 N 0 U m V j Z W 5 0 U X V h c n R l c i w 0 N X 0 m c X V v d D s s J n F 1 b 3 Q 7 U 2 V j d G l v b j E v T W V 0 Y U R h d G E v Q 2 h h b m d l Z C B U e X B l L n t w Z W d S Y X R p b y w 0 N n 0 m c X V v d D s s J n F 1 b 3 Q 7 U 2 V j d G l v b j E v T W V 0 Y U R h d G E v Q 2 h h b m d l Z C B U e X B l L n t U a W N r Z X I s N D d 9 J n F 1 b 3 Q 7 X S w m c X V v d D t S Z W x h d G l v b n N o a X B J b m Z v J n F 1 b 3 Q 7 O l t d f S I g L z 4 8 R W 5 0 c n k g V H l w Z T 0 i R m l s b E V y c m 9 y Q 2 9 k Z S I g V m F s d W U 9 I n N V b m t u b 3 d u I i A v P j x F b n R y e S B U e X B l P S J G a W x s Q 2 9 1 b n Q i I F Z h b H V l P S J s O S I g L z 4 8 R W 5 0 c n k g V H l w Z T 0 i Q W R k Z W R U b 0 R h d G F N b 2 R l b C I g V m F s d W U 9 I m w w I i A v P j w v U 3 R h Y m x l R W 5 0 c m l l c z 4 8 L 0 l 0 Z W 0 + P E l 0 Z W 0 + P E l 0 Z W 1 M b 2 N h d G l v b j 4 8 S X R l b V R 5 c G U + R m 9 y b X V s Y T w v S X R l b V R 5 c G U + P E l 0 Z W 1 Q Y X R o P l N l Y 3 R p b 2 4 x L 0 1 l d G F E Y X R h L 1 N v d X J j Z T w v S X R l b V B h d G g + P C 9 J d G V t T G 9 j Y X R p b 2 4 + P F N 0 Y W J s Z U V u d H J p Z X M g L z 4 8 L 0 l 0 Z W 0 + P E l 0 Z W 0 + P E l 0 Z W 1 M b 2 N h d G l v b j 4 8 S X R l b V R 5 c G U + R m 9 y b X V s Y T w v S X R l b V R 5 c G U + P E l 0 Z W 1 Q Y X R o P l N l Y 3 R p b 2 4 x L 0 1 l d G F E Y X R h L 0 1 l d G F E Y X R h X 1 N o Z W V 0 P C 9 J d G V t U G F 0 a D 4 8 L 0 l 0 Z W 1 M b 2 N h d G l v b j 4 8 U 3 R h Y m x l R W 5 0 c m l l c y A v P j w v S X R l b T 4 8 S X R l b T 4 8 S X R l b U x v Y 2 F 0 a W 9 u P j x J d G V t V H l w Z T 5 G b 3 J t d W x h P C 9 J d G V t V H l w Z T 4 8 S X R l b V B h d G g + U 2 V j d G l v b j E v T W V 0 Y U R h d G E v U H J v b W 9 0 Z W Q l M j B I Z W F k Z X J z P C 9 J d G V t U G F 0 a D 4 8 L 0 l 0 Z W 1 M b 2 N h d G l v b j 4 8 U 3 R h Y m x l R W 5 0 c m l l c y A v P j w v S X R l b T 4 8 S X R l b T 4 8 S X R l b U x v Y 2 F 0 a W 9 u P j x J d G V t V H l w Z T 5 G b 3 J t d W x h P C 9 J d G V t V H l w Z T 4 8 S X R l b V B h d G g + U 2 V j d G l v b j E v T W V 0 Y U R h d G E v Q 2 h h b m d l Z C U y M F R 5 c G U 8 L 0 l 0 Z W 1 Q Y X R o P j w v S X R l b U x v Y 2 F 0 a W 9 u P j x T d G F i b G V F b n R y a W V z I C 8 + P C 9 J d G V t P j x J d G V t P j x J d G V t T G 9 j Y X R p b 2 4 + P E l 0 Z W 1 U e X B l P k Z v c m 1 1 b G E 8 L 0 l 0 Z W 1 U e X B l P j x J d G V t U G F 0 a D 5 T Z W N 0 a W 9 u M S 9 U a W N r Z X J Z Z W F y c z w v S X R l b V B h d G g + P C 9 J d G V t T G 9 j Y X R p b 2 4 + P F N 0 Y W J s Z U V u d H J p Z X M + P E V u d H J 5 I F R 5 c G U 9 I l F 1 Z X J 5 S U Q i I F Z h b H V l P S J z M D A 1 N W N h N j A t Y T k 4 Z C 0 0 N D Q z L T h m N D A t N j F k M W F h N G V k M D A 2 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l j a 2 V y W W V h c n M i I C 8 + P E V u d H J 5 I F R 5 c G U 9 I k Z p b G x l Z E N v b X B s Z X R l U m V z d W x 0 V G 9 X b 3 J r c 2 h l Z X Q i I F Z h b H V l P S J s M S I g L z 4 8 R W 5 0 c n k g V H l w Z T 0 i R m l s b E N v b H V t b k 5 h b W V z I i B W Y W x 1 Z T 0 i c 1 s m c X V v d D t U a W N r Z X I m c X V v d D s s J n F 1 b 3 Q 7 Y X N P Z k R h d G U m c X V v d D s s J n F 1 b 3 Q 7 Y X N P Z k R h d G V f T W l u J n F 1 b 3 Q 7 L C Z x d W 9 0 O 2 F z T 2 Z E Y X R l X 0 1 h e C Z x d W 9 0 O y w m c X V v d D t Z Z W F y J n F 1 b 3 Q 7 X S I g L z 4 8 R W 5 0 c n k g V H l w Z T 0 i R m l s b E N v b H V t b l R 5 c G V z I i B W Y W x 1 Z T 0 i c 0 J n a 0 p D U U 0 9 I i A v P j x F b n R y e S B U e X B l P S J G a W x s T G F z d F V w Z G F 0 Z W Q i I F Z h b H V l P S J k M j A y N C 0 w O C 0 y N l Q x O D o x M z o z M C 4 5 O D Q x N z U 1 W i I g L z 4 8 R W 5 0 c n k g V H l w Z T 0 i R m l s b F N 0 Y X R 1 c y I g V m F s d W U 9 I n N D b 2 1 w b G V 0 Z S I g L z 4 8 R W 5 0 c n k g V H l w Z T 0 i R m l s b E V y c m 9 y Q 2 9 1 b n Q i I F Z h b H V l P S J s M C I g L z 4 8 R W 5 0 c n k g V H l w Z T 0 i U m V s Y X R p b 2 5 z a G l w S W 5 m b 0 N v b n R h a W 5 l c i I g V m F s d W U 9 I n N 7 J n F 1 b 3 Q 7 Y 2 9 s d W 1 u Q 2 9 1 b n Q m c X V v d D s 6 N S w m c X V v d D t r Z X l D b 2 x 1 b W 5 O Y W 1 l c y Z x d W 9 0 O z p b J n F 1 b 3 Q 7 V G l j a 2 V y J n F 1 b 3 Q 7 L C Z x d W 9 0 O 2 F z T 2 Z E Y X R l J n F 1 b 3 Q 7 X S w m c X V v d D t x d W V y e V J l b G F 0 a W 9 u c 2 h p c H M m c X V v d D s 6 W 1 0 s J n F 1 b 3 Q 7 Y 2 9 s d W 1 u S W R l b n R p d G l l c y Z x d W 9 0 O z p b J n F 1 b 3 Q 7 U 2 V j d G l v b j E v V G l j a 2 V y W W V h c n M v R 3 J v d X B l Z C B S b 3 d z L n t U a W N r Z X I s M H 0 m c X V v d D s s J n F 1 b 3 Q 7 U 2 V j d G l v b j E v V G l j a 2 V y W W V h c n M v R 3 J v d X B l Z C B S b 3 d z L n t h c 0 9 m R G F 0 Z S w x f S Z x d W 9 0 O y w m c X V v d D t T Z W N 0 a W 9 u M S 9 U a W N r Z X J Z Z W F y c y 9 H c m 9 1 c G V k I F J v d 3 M u e 2 F z T 2 Z E Y X R l X 0 1 p b i w y f S Z x d W 9 0 O y w m c X V v d D t T Z W N 0 a W 9 u M S 9 U a W N r Z X J Z Z W F y c y 9 H c m 9 1 c G V k I F J v d 3 M u e 2 F z T 2 Z E Y X R l X 0 1 h e C w z f S Z x d W 9 0 O y w m c X V v d D t T Z W N 0 a W 9 u M S 9 U a W N r Z X J Z Z W F y c y 9 J b n N l c n R l Z C B Z Z W F y L n t Z Z W F y L D R 9 J n F 1 b 3 Q 7 X S w m c X V v d D t D b 2 x 1 b W 5 D b 3 V u d C Z x d W 9 0 O z o 1 L C Z x d W 9 0 O 0 t l e U N v b H V t b k 5 h b W V z J n F 1 b 3 Q 7 O l s m c X V v d D t U a W N r Z X I m c X V v d D s s J n F 1 b 3 Q 7 Y X N P Z k R h d G U m c X V v d D t d L C Z x d W 9 0 O 0 N v b H V t b k l k Z W 5 0 a X R p Z X M m c X V v d D s 6 W y Z x d W 9 0 O 1 N l Y 3 R p b 2 4 x L 1 R p Y 2 t l c l l l Y X J z L 0 d y b 3 V w Z W Q g U m 9 3 c y 5 7 V G l j a 2 V y L D B 9 J n F 1 b 3 Q 7 L C Z x d W 9 0 O 1 N l Y 3 R p b 2 4 x L 1 R p Y 2 t l c l l l Y X J z L 0 d y b 3 V w Z W Q g U m 9 3 c y 5 7 Y X N P Z k R h d G U s M X 0 m c X V v d D s s J n F 1 b 3 Q 7 U 2 V j d G l v b j E v V G l j a 2 V y W W V h c n M v R 3 J v d X B l Z C B S b 3 d z L n t h c 0 9 m R G F 0 Z V 9 N a W 4 s M n 0 m c X V v d D s s J n F 1 b 3 Q 7 U 2 V j d G l v b j E v V G l j a 2 V y W W V h c n M v R 3 J v d X B l Z C B S b 3 d z L n t h c 0 9 m R G F 0 Z V 9 N Y X g s M 3 0 m c X V v d D s s J n F 1 b 3 Q 7 U 2 V j d G l v b j E v V G l j a 2 V y W W V h c n M v S W 5 z Z X J 0 Z W Q g W W V h c i 5 7 W W V h c i w 0 f S Z x d W 9 0 O 1 0 s J n F 1 b 3 Q 7 U m V s Y X R p b 2 5 z a G l w S W 5 m b y Z x d W 9 0 O z p b X X 0 i I C 8 + P E V u d H J 5 I F R 5 c G U 9 I k Z p b G x F c n J v c k N v Z G U i I F Z h b H V l P S J z V W 5 r b m 9 3 b i I g L z 4 8 R W 5 0 c n k g V H l w Z T 0 i R m l s b E N v d W 5 0 I i B W Y W x 1 Z T 0 i b D M 2 I i A v P j x F b n R y e S B U e X B l P S J B Z G R l Z F R v R G F 0 Y U 1 v Z G V s I i B W Y W x 1 Z T 0 i b D A i I C 8 + P C 9 T d G F i b G V F b n R y a W V z P j w v S X R l b T 4 8 S X R l b T 4 8 S X R l b U x v Y 2 F 0 a W 9 u P j x J d G V t V H l w Z T 5 G b 3 J t d W x h P C 9 J d G V t V H l w Z T 4 8 S X R l b V B h d G g + U 2 V j d G l v b j E v V G l j a 2 V y W W V h c n M v U 2 9 1 c m N l P C 9 J d G V t U G F 0 a D 4 8 L 0 l 0 Z W 1 M b 2 N h d G l v b j 4 8 U 3 R h Y m x l R W 5 0 c m l l c y A v P j w v S X R l b T 4 8 S X R l b T 4 8 S X R l b U x v Y 2 F 0 a W 9 u P j x J d G V t V H l w Z T 5 G b 3 J t d W x h P C 9 J d G V t V H l w Z T 4 8 S X R l b V B h d G g + U 2 V j d G l v b j E v V G l j a 2 V y W W V h c n M v R m l s d G V y Z W Q l M j B S b 3 d z P C 9 J d G V t U G F 0 a D 4 8 L 0 l 0 Z W 1 M b 2 N h d G l v b j 4 8 U 3 R h Y m x l R W 5 0 c m l l c y A v P j w v S X R l b T 4 8 S X R l b T 4 8 S X R l b U x v Y 2 F 0 a W 9 u P j x J d G V t V H l w Z T 5 G b 3 J t d W x h P C 9 J d G V t V H l w Z T 4 8 S X R l b V B h d G g + U 2 V j d G l v b j E v V G l j a 2 V y W W V h c n M v R 3 J v d X B l Z C U y M F J v d 3 M 8 L 0 l 0 Z W 1 Q Y X R o P j w v S X R l b U x v Y 2 F 0 a W 9 u P j x T d G F i b G V F b n R y a W V z I C 8 + P C 9 J d G V t P j x J d G V t P j x J d G V t T G 9 j Y X R p b 2 4 + P E l 0 Z W 1 U e X B l P k Z v c m 1 1 b G E 8 L 0 l 0 Z W 1 U e X B l P j x J d G V t U G F 0 a D 5 T Z W N 0 a W 9 u M S 9 U a W N r Z X J Z Z W F y c y 9 J b n N l c n R l Z C U y M F l l Y X I 8 L 0 l 0 Z W 1 Q Y X R o P j w v S X R l b U x v Y 2 F 0 a W 9 u P j x T d G F i b G V F b n R y a W V z I C 8 + P C 9 J d G V t P j x J d G V t P j x J d G V t T G 9 j Y X R p b 2 4 + P E l 0 Z W 1 U e X B l P k Z v c m 1 1 b G E 8 L 0 l 0 Z W 1 U e X B l P j x J d G V t U G F 0 a D 5 T Z W N 0 a W 9 u M S 9 U a W N r Z X J Z Z W F y c y 9 T b 3 J 0 Z W Q l M j B S b 3 d z P C 9 J d G V t U G F 0 a D 4 8 L 0 l 0 Z W 1 M b 2 N h d G l v b j 4 8 U 3 R h Y m x l R W 5 0 c m l l c y A v P j w v S X R l b T 4 8 S X R l b T 4 8 S X R l b U x v Y 2 F 0 a W 9 u P j x J d G V t V H l w Z T 5 G b 3 J t d W x h P C 9 J d G V t V H l w Z T 4 8 S X R l b V B h d G g + U 2 V j d G l v b j E v V G l j a 2 V y c z w v S X R l b V B h d G g + P C 9 J d G V t T G 9 j Y X R p b 2 4 + P F N 0 Y W J s Z U V u d H J p Z X M + P E V u d H J 5 I F R 5 c G U 9 I l F 1 Z X J 5 S U Q i I F Z h b H V l P S J z M m F m N z N m M 2 I t N z g 2 Z C 0 0 N W V l L W J k Y j A t Y z d m Y T Y 5 M m Z h N z R i 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l j a 2 V y c y I g L z 4 8 R W 5 0 c n k g V H l w Z T 0 i R m l s b G V k Q 2 9 t c G x l d G V S Z X N 1 b H R U b 1 d v c m t z a G V l d C I g V m F s d W U 9 I m w x I i A v P j x F b n R y e S B U e X B l P S J G a W x s T G F z d F V w Z G F 0 Z W Q i I F Z h b H V l P S J k M j A y N C 0 w O C 0 y N l Q x O D o x M z o z M S 4 w M z M w M j Y z W i I g L z 4 8 R W 5 0 c n k g V H l w Z T 0 i R m l s b E N v b H V t b l R 5 c G V z I i B W Y W x 1 Z T 0 i c 0 J n P T 0 i I C 8 + P E V u d H J 5 I F R 5 c G U 9 I k Z p b G x D b 2 x 1 b W 5 O Y W 1 l c y I g V m F s d W U 9 I n N b J n F 1 b 3 Q 7 V G l j a 2 V y J n F 1 b 3 Q 7 X S I g L z 4 8 R W 5 0 c n k g V H l w Z T 0 i R m l s b F N 0 Y X R 1 c y I g V m F s d W U 9 I n N D b 2 1 w b G V 0 Z S I g L z 4 8 R W 5 0 c n k g V H l w Z T 0 i R m l s b E V y c m 9 y Q 2 9 1 b n Q i I F Z h b H V l P S J s M C I g L z 4 8 R W 5 0 c n k g V H l w Z T 0 i U m V s Y X R p b 2 5 z a G l w S W 5 m b 0 N v b n R h a W 5 l c i I g V m F s d W U 9 I n N 7 J n F 1 b 3 Q 7 Y 2 9 s d W 1 u Q 2 9 1 b n Q m c X V v d D s 6 M S w m c X V v d D t r Z X l D b 2 x 1 b W 5 O Y W 1 l c y Z x d W 9 0 O z p b J n F 1 b 3 Q 7 V G l j a 2 V y J n F 1 b 3 Q 7 X S w m c X V v d D t x d W V y e V J l b G F 0 a W 9 u c 2 h p c H M m c X V v d D s 6 W 1 0 s J n F 1 b 3 Q 7 Y 2 9 s d W 1 u S W R l b n R p d G l l c y Z x d W 9 0 O z p b J n F 1 b 3 Q 7 U 2 V j d G l v b j E v S W 5 j b 2 1 l U 3 R h d G V t Z W 5 0 L 0 N o Y W 5 n Z W Q g V H l w Z S 5 7 V G l j a 2 V y L D c 0 f S Z x d W 9 0 O 1 0 s J n F 1 b 3 Q 7 Q 2 9 s d W 1 u Q 2 9 1 b n Q m c X V v d D s 6 M S w m c X V v d D t L Z X l D b 2 x 1 b W 5 O Y W 1 l c y Z x d W 9 0 O z p b J n F 1 b 3 Q 7 V G l j a 2 V y J n F 1 b 3 Q 7 X S w m c X V v d D t D b 2 x 1 b W 5 J Z G V u d G l 0 a W V z J n F 1 b 3 Q 7 O l s m c X V v d D t T Z W N 0 a W 9 u M S 9 J b m N v b W V T d G F 0 Z W 1 l b n Q v Q 2 h h b m d l Z C B U e X B l L n t U a W N r Z X I s N z R 9 J n F 1 b 3 Q 7 X S w m c X V v d D t S Z W x h d G l v b n N o a X B J b m Z v J n F 1 b 3 Q 7 O l t d f S I g L z 4 8 R W 5 0 c n k g V H l w Z T 0 i R m l s b E V y c m 9 y Q 2 9 k Z S I g V m F s d W U 9 I n N V b m t u b 3 d u I i A v P j x F b n R y e S B U e X B l P S J G a W x s Q 2 9 1 b n Q i I F Z h b H V l P S J s O S I g L z 4 8 R W 5 0 c n k g V H l w Z T 0 i Q W R k Z W R U b 0 R h d G F N b 2 R l b C I g V m F s d W U 9 I m w w I i A v P j w v U 3 R h Y m x l R W 5 0 c m l l c z 4 8 L 0 l 0 Z W 0 + P E l 0 Z W 0 + P E l 0 Z W 1 M b 2 N h d G l v b j 4 8 S X R l b V R 5 c G U + R m 9 y b X V s Y T w v S X R l b V R 5 c G U + P E l 0 Z W 1 Q Y X R o P l N l Y 3 R p b 2 4 x L 1 R p Y 2 t l c n M v U 2 9 1 c m N l P C 9 J d G V t U G F 0 a D 4 8 L 0 l 0 Z W 1 M b 2 N h d G l v b j 4 8 U 3 R h Y m x l R W 5 0 c m l l c y A v P j w v S X R l b T 4 8 S X R l b T 4 8 S X R l b U x v Y 2 F 0 a W 9 u P j x J d G V t V H l w Z T 5 G b 3 J t d W x h P C 9 J d G V t V H l w Z T 4 8 S X R l b V B h d G g + U 2 V j d G l v b j E v V G l j a 2 V y c y 9 S Z W 1 v d m V k J T I w T 3 R o Z X I l M j B D b 2 x 1 b W 5 z P C 9 J d G V t U G F 0 a D 4 8 L 0 l 0 Z W 1 M b 2 N h d G l v b j 4 8 U 3 R h Y m x l R W 5 0 c m l l c y A v P j w v S X R l b T 4 8 S X R l b T 4 8 S X R l b U x v Y 2 F 0 a W 9 u P j x J d G V t V H l w Z T 5 G b 3 J t d W x h P C 9 J d G V t V H l w Z T 4 8 S X R l b V B h d G g + U 2 V j d G l v b j E v V G l j a 2 V y c y 9 S Z W 1 v d m V k J T I w R H V w b G l j Y X R l c z w v S X R l b V B h d G g + P C 9 J d G V t T G 9 j Y X R p b 2 4 + P F N 0 Y W J s Z U V u d H J p Z X M g L z 4 8 L 0 l 0 Z W 0 + P E l 0 Z W 0 + P E l 0 Z W 1 M b 2 N h d G l v b j 4 8 S X R l b V R 5 c G U + R m 9 y b X V s Y T w v S X R l b V R 5 c G U + P E l 0 Z W 1 Q Y X R o P l N l Y 3 R p b 2 4 x L 1 R p Y 2 t l c n M v U 2 9 y d G V k J T I w U m 9 3 c z w v S X R l b V B h d G g + P C 9 J d G V t T G 9 j Y X R p b 2 4 + P F N 0 Y W J s Z U V u d H J p Z X M g L z 4 8 L 0 l 0 Z W 0 + P E l 0 Z W 0 + P E l 0 Z W 1 M b 2 N h d G l v b j 4 8 S X R l b V R 5 c G U + R m 9 y b X V s Y T w v S X R l b V R 5 c G U + P E l 0 Z W 1 Q Y X R o P l N l Y 3 R p b 2 4 x L 0 l u Y 2 9 t Z V N 0 Y X R l b W V u d C 9 J b n N l c n R l Z C U y M F l l Y X I 8 L 0 l 0 Z W 1 Q Y X R o P j w v S X R l b U x v Y 2 F 0 a W 9 u P j x T d G F i b G V F b n R y a W V z I C 8 + P C 9 J d G V t P j x J d G V t P j x J d G V t T G 9 j Y X R p b 2 4 + P E l 0 Z W 1 U e X B l P k Z v c m 1 1 b G E 8 L 0 l 0 Z W 1 U e X B l P j x J d G V t U G F 0 a D 5 T Z W N 0 a W 9 u M S 9 J b m N v b W V T d G F 0 Z W 1 l b n Q v U m V v c m R l c m V k J T I w Q 2 9 s d W 1 u c z w v S X R l b V B h d G g + P C 9 J d G V t T G 9 j Y X R p b 2 4 + P F N 0 Y W J s Z U V u d H J p Z X M g L z 4 8 L 0 l 0 Z W 0 + P E l 0 Z W 0 + P E l 0 Z W 1 M b 2 N h d G l v b j 4 8 S X R l b V R 5 c G U + R m 9 y b X V s Y T w v S X R l b V R 5 c G U + P E l 0 Z W 1 Q Y X R o P l N l Y 3 R p b 2 4 x L 0 J h b G F u Y 2 V T a G V l d C 9 J b n N l c n R l Z C U y M F l l Y X I 8 L 0 l 0 Z W 1 Q Y X R o P j w v S X R l b U x v Y 2 F 0 a W 9 u P j x T d G F i b G V F b n R y a W V z I C 8 + P C 9 J d G V t P j x J d G V t P j x J d G V t T G 9 j Y X R p b 2 4 + P E l 0 Z W 1 U e X B l P k Z v c m 1 1 b G E 8 L 0 l 0 Z W 1 U e X B l P j x J d G V t U G F 0 a D 5 T Z W N 0 a W 9 u M S 9 C Y W x h b m N l U 2 h l Z X Q v U m V v c m R l c m V k J T I w Q 2 9 s d W 1 u c z w v S X R l b V B h d G g + P C 9 J d G V t T G 9 j Y X R p b 2 4 + P F N 0 Y W J s Z U V u d H J p Z X M g L z 4 8 L 0 l 0 Z W 0 + P E l 0 Z W 0 + P E l 0 Z W 1 M b 2 N h d G l v b j 4 8 S X R l b V R 5 c G U + R m 9 y b X V s Y T w v S X R l b V R 5 c G U + P E l 0 Z W 1 Q Y X R o P l N l Y 3 R p b 2 4 x L 0 N h c 2 h G b G 9 3 L 0 l u c 2 V y d G V k J T I w W W V h c j w v S X R l b V B h d G g + P C 9 J d G V t T G 9 j Y X R p b 2 4 + P F N 0 Y W J s Z U V u d H J p Z X M g L z 4 8 L 0 l 0 Z W 0 + P E l 0 Z W 0 + P E l 0 Z W 1 M b 2 N h d G l v b j 4 8 S X R l b V R 5 c G U + R m 9 y b X V s Y T w v S X R l b V R 5 c G U + P E l 0 Z W 1 Q Y X R o P l N l Y 3 R p b 2 4 x L 0 N h c 2 h G b G 9 3 L 1 J l b 3 J k Z X J l Z C U y M E N v b H V t b n M 8 L 0 l 0 Z W 1 Q Y X R o P j w v S X R l b U x v Y 2 F 0 a W 9 u P j x T d G F i b G V F b n R y a W V z I C 8 + P C 9 J d G V t P j x J d G V t P j x J d G V t T G 9 j Y X R p b 2 4 + P E l 0 Z W 1 U e X B l P k Z v c m 1 1 b G E 8 L 0 l 0 Z W 1 U e X B l P j x J d G V t U G F 0 a D 5 T Z W N 0 a W 9 u M S 9 Q c m l j Z U R h d G F f R 1 N Q Q z w v S X R l b V B h d G g + P C 9 J d G V t T G 9 j Y X R p b 2 4 + P F N 0 Y W J s Z U V u d H J p Z X M + P E V u d H J 5 I F R 5 c G U 9 I k l z U H J p d m F 0 Z S I g V m F s d W U 9 I m w w I i A v P j x F b n R y e S B U e X B l P S J R d W V y e U l E I i B W Y W x 1 Z T 0 i c z I z Y j c x M z Q 3 L W F k O G E t N D E x M S 1 i O G J h L W I 0 O D c 5 Z G Q y M z I x 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p Y 2 V E Y X R h X 0 d T U E M i I C 8 + P E V u d H J 5 I F R 5 c G U 9 I k Z p b G x l Z E N v b X B s Z X R l U m V z d W x 0 V G 9 X b 3 J r c 2 h l Z X Q i I F Z h b H V l P S J s M S I g L z 4 8 R W 5 0 c n k g V H l w Z T 0 i R m l s b E x h c 3 R V c G R h d G V k I i B W Y W x 1 Z T 0 i Z D I w M j Q t M D g t M j Z U M T g 6 M T M 6 M z A u N T U 3 M j U 5 N F o i I C 8 + P E V u d H J 5 I F R 5 c G U 9 I k Z p b G x D b 2 x 1 b W 5 U e X B l c y I g V m F s d W U 9 I n N C Z 2 t G Q l F V R k F 3 V U d D U V V G Q l F Z R C I g L z 4 8 R W 5 0 c n k g V H l w Z T 0 i R m l s b E N v b H V t b k 5 h b W V z I i B W Y W x 1 Z T 0 i c 1 s m c X V v d D t U a W N r Z X I m c X V v d D s s J n F 1 b 3 Q 7 c H J p Y 2 V f Z G F 0 Z S Z x d W 9 0 O y w m c X V v d D t v c G V u J n F 1 b 3 Q 7 L C Z x d W 9 0 O 2 h p Z 2 g m c X V v d D s s J n F 1 b 3 Q 7 b G 9 3 J n F 1 b 3 Q 7 L C Z x d W 9 0 O 2 N s b 3 N l J n F 1 b 3 Q 7 L C Z x d W 9 0 O 3 Z v b H V t Z S Z x d W 9 0 O y w m c X V v d D t h Z G p j b G 9 z Z S Z x d W 9 0 O y w m c X V v d D t p Z C Z x d W 9 0 O y w m c X V v d D t Q d W x s X 0 R h d G U m c X V v d D s s J n F 1 b 3 Q 7 c G V y Y 2 V u d F 9 y Z X R 1 c m 4 m c X V v d D s s J n F 1 b 3 Q 7 b 3 B l b l 9 j b G 9 z Z V 9 k a W Z m J n F 1 b 3 Q 7 L C Z x d W 9 0 O 2 9 w Z W 5 f a G l n a F 9 k a W Z m J n F 1 b 3 Q 7 L C Z x d W 9 0 O 2 R h e V 9 v Z l 9 3 Z W V r J n F 1 b 3 Q 7 L C Z x d W 9 0 O 3 B y a W N l X 2 R h d G V f e W V h c i Z x d W 9 0 O 1 0 i I C 8 + P E V u d H J 5 I F R 5 c G U 9 I k Z p b G x T d G F 0 d X M i I F Z h b H V l P S J z Q 2 9 t c G x l d G U i I C 8 + P E V u d H J 5 I F R 5 c G U 9 I k Z p b G x F c n J v c k N v d W 5 0 I i B W Y W x 1 Z T 0 i b D A i I C 8 + P E V u d H J 5 I F R 5 c G U 9 I l J l b G F 0 a W 9 u c 2 h p c E l u Z m 9 D b 2 5 0 Y W l u Z X I i I F Z h b H V l P S J z e y Z x d W 9 0 O 2 N v b H V t b k N v d W 5 0 J n F 1 b 3 Q 7 O j E 1 L C Z x d W 9 0 O 2 t l e U N v b H V t b k 5 h b W V z J n F 1 b 3 Q 7 O l t d L C Z x d W 9 0 O 3 F 1 Z X J 5 U m V s Y X R p b 2 5 z a G l w c y Z x d W 9 0 O z p b X S w m c X V v d D t j b 2 x 1 b W 5 J Z G V u d G l 0 a W V z J n F 1 b 3 Q 7 O l s m c X V v d D t T Z W N 0 a W 9 u M S 9 Q c m l j Z U R h d G F f R 1 N Q Q y 9 D a G F u Z 2 V k I F R 5 c G U u e 1 R p Y 2 t l c i w w f S Z x d W 9 0 O y w m c X V v d D t T Z W N 0 a W 9 u M S 9 Q c m l j Z U R h d G F f R 1 N Q Q y 9 D a G F u Z 2 V k I F R 5 c G U u e 3 B y a W N l X 2 R h d G U s M X 0 m c X V v d D s s J n F 1 b 3 Q 7 U 2 V j d G l v b j E v U H J p Y 2 V E Y X R h X 0 d T U E M v Q 2 h h b m d l Z C B U e X B l L n t v c G V u L D J 9 J n F 1 b 3 Q 7 L C Z x d W 9 0 O 1 N l Y 3 R p b 2 4 x L 1 B y a W N l R G F 0 Y V 9 H U 1 B D L 0 N o Y W 5 n Z W Q g V H l w Z S 5 7 a G l n a C w z f S Z x d W 9 0 O y w m c X V v d D t T Z W N 0 a W 9 u M S 9 Q c m l j Z U R h d G F f R 1 N Q Q y 9 D a G F u Z 2 V k I F R 5 c G U u e 2 x v d y w 0 f S Z x d W 9 0 O y w m c X V v d D t T Z W N 0 a W 9 u M S 9 Q c m l j Z U R h d G F f R 1 N Q Q y 9 D a G F u Z 2 V k I F R 5 c G U u e 2 N s b 3 N l L D V 9 J n F 1 b 3 Q 7 L C Z x d W 9 0 O 1 N l Y 3 R p b 2 4 x L 1 B y a W N l R G F 0 Y V 9 H U 1 B D L 0 N o Y W 5 n Z W Q g V H l w Z S 5 7 d m 9 s d W 1 l L D Z 9 J n F 1 b 3 Q 7 L C Z x d W 9 0 O 1 N l Y 3 R p b 2 4 x L 1 B y a W N l R G F 0 Y V 9 H U 1 B D L 0 N o Y W 5 n Z W Q g V H l w Z S 5 7 Y W R q Y 2 x v c 2 U s N 3 0 m c X V v d D s s J n F 1 b 3 Q 7 U 2 V j d G l v b j E v U H J p Y 2 V E Y X R h X 0 d T U E M v Q 2 h h b m d l Z C B U e X B l L n t p Z C w 4 f S Z x d W 9 0 O y w m c X V v d D t T Z W N 0 a W 9 u M S 9 Q c m l j Z U R h d G F f R 1 N Q Q y 9 D a G F u Z 2 V k I F R 5 c G U u e 1 B 1 b G x f R G F 0 Z S w 5 f S Z x d W 9 0 O y w m c X V v d D t T Z W N 0 a W 9 u M S 9 Q c m l j Z U R h d G F f R 1 N Q Q y 9 D a G F u Z 2 V k I F R 5 c G U u e 3 B l c m N l b n R f c m V 0 d X J u L D E w f S Z x d W 9 0 O y w m c X V v d D t T Z W N 0 a W 9 u M S 9 Q c m l j Z U R h d G F f R 1 N Q Q y 9 D a G F u Z 2 V k I F R 5 c G U u e 2 9 w Z W 5 f Y 2 x v c 2 V f Z G l m Z i w x M X 0 m c X V v d D s s J n F 1 b 3 Q 7 U 2 V j d G l v b j E v U H J p Y 2 V E Y X R h X 0 d T U E M v Q 2 h h b m d l Z C B U e X B l L n t v c G V u X 2 h p Z 2 h f Z G l m Z i w x M n 0 m c X V v d D s s J n F 1 b 3 Q 7 U 2 V j d G l v b j E v U H J p Y 2 V E Y X R h X 0 d T U E M v Q 2 h h b m d l Z C B U e X B l L n t k Y X l f b 2 Z f d 2 V l a y w x M 3 0 m c X V v d D s s J n F 1 b 3 Q 7 U 2 V j d G l v b j E v U H J p Y 2 V E Y X R h X 0 d T U E M v Q 2 h h b m d l Z C B U e X B l L n t w c m l j Z V 9 k Y X R l X 3 l l Y X I s M T R 9 J n F 1 b 3 Q 7 X S w m c X V v d D t D b 2 x 1 b W 5 D b 3 V u d C Z x d W 9 0 O z o x N S w m c X V v d D t L Z X l D b 2 x 1 b W 5 O Y W 1 l c y Z x d W 9 0 O z p b X S w m c X V v d D t D b 2 x 1 b W 5 J Z G V u d G l 0 a W V z J n F 1 b 3 Q 7 O l s m c X V v d D t T Z W N 0 a W 9 u M S 9 Q c m l j Z U R h d G F f R 1 N Q Q y 9 D a G F u Z 2 V k I F R 5 c G U u e 1 R p Y 2 t l c i w w f S Z x d W 9 0 O y w m c X V v d D t T Z W N 0 a W 9 u M S 9 Q c m l j Z U R h d G F f R 1 N Q Q y 9 D a G F u Z 2 V k I F R 5 c G U u e 3 B y a W N l X 2 R h d G U s M X 0 m c X V v d D s s J n F 1 b 3 Q 7 U 2 V j d G l v b j E v U H J p Y 2 V E Y X R h X 0 d T U E M v Q 2 h h b m d l Z C B U e X B l L n t v c G V u L D J 9 J n F 1 b 3 Q 7 L C Z x d W 9 0 O 1 N l Y 3 R p b 2 4 x L 1 B y a W N l R G F 0 Y V 9 H U 1 B D L 0 N o Y W 5 n Z W Q g V H l w Z S 5 7 a G l n a C w z f S Z x d W 9 0 O y w m c X V v d D t T Z W N 0 a W 9 u M S 9 Q c m l j Z U R h d G F f R 1 N Q Q y 9 D a G F u Z 2 V k I F R 5 c G U u e 2 x v d y w 0 f S Z x d W 9 0 O y w m c X V v d D t T Z W N 0 a W 9 u M S 9 Q c m l j Z U R h d G F f R 1 N Q Q y 9 D a G F u Z 2 V k I F R 5 c G U u e 2 N s b 3 N l L D V 9 J n F 1 b 3 Q 7 L C Z x d W 9 0 O 1 N l Y 3 R p b 2 4 x L 1 B y a W N l R G F 0 Y V 9 H U 1 B D L 0 N o Y W 5 n Z W Q g V H l w Z S 5 7 d m 9 s d W 1 l L D Z 9 J n F 1 b 3 Q 7 L C Z x d W 9 0 O 1 N l Y 3 R p b 2 4 x L 1 B y a W N l R G F 0 Y V 9 H U 1 B D L 0 N o Y W 5 n Z W Q g V H l w Z S 5 7 Y W R q Y 2 x v c 2 U s N 3 0 m c X V v d D s s J n F 1 b 3 Q 7 U 2 V j d G l v b j E v U H J p Y 2 V E Y X R h X 0 d T U E M v Q 2 h h b m d l Z C B U e X B l L n t p Z C w 4 f S Z x d W 9 0 O y w m c X V v d D t T Z W N 0 a W 9 u M S 9 Q c m l j Z U R h d G F f R 1 N Q Q y 9 D a G F u Z 2 V k I F R 5 c G U u e 1 B 1 b G x f R G F 0 Z S w 5 f S Z x d W 9 0 O y w m c X V v d D t T Z W N 0 a W 9 u M S 9 Q c m l j Z U R h d G F f R 1 N Q Q y 9 D a G F u Z 2 V k I F R 5 c G U u e 3 B l c m N l b n R f c m V 0 d X J u L D E w f S Z x d W 9 0 O y w m c X V v d D t T Z W N 0 a W 9 u M S 9 Q c m l j Z U R h d G F f R 1 N Q Q y 9 D a G F u Z 2 V k I F R 5 c G U u e 2 9 w Z W 5 f Y 2 x v c 2 V f Z G l m Z i w x M X 0 m c X V v d D s s J n F 1 b 3 Q 7 U 2 V j d G l v b j E v U H J p Y 2 V E Y X R h X 0 d T U E M v Q 2 h h b m d l Z C B U e X B l L n t v c G V u X 2 h p Z 2 h f Z G l m Z i w x M n 0 m c X V v d D s s J n F 1 b 3 Q 7 U 2 V j d G l v b j E v U H J p Y 2 V E Y X R h X 0 d T U E M v Q 2 h h b m d l Z C B U e X B l L n t k Y X l f b 2 Z f d 2 V l a y w x M 3 0 m c X V v d D s s J n F 1 b 3 Q 7 U 2 V j d G l v b j E v U H J p Y 2 V E Y X R h X 0 d T U E M v Q 2 h h b m d l Z C B U e X B l L n t w c m l j Z V 9 k Y X R l X 3 l l Y X I s M T R 9 J n F 1 b 3 Q 7 X S w m c X V v d D t S Z W x h d G l v b n N o a X B J b m Z v J n F 1 b 3 Q 7 O l t d f S I g L z 4 8 R W 5 0 c n k g V H l w Z T 0 i R m l s b E V y c m 9 y Q 2 9 k Z S I g V m F s d W U 9 I n N V b m t u b 3 d u I i A v P j x F b n R y e S B U e X B l P S J G a W x s Q 2 9 1 b n Q i I F Z h b H V l P S J s N D g i I C 8 + P E V u d H J 5 I F R 5 c G U 9 I k F k Z G V k V G 9 E Y X R h T W 9 k Z W w i I F Z h b H V l P S J s M C I g L z 4 8 L 1 N 0 Y W J s Z U V u d H J p Z X M + P C 9 J d G V t P j x J d G V t P j x J d G V t T G 9 j Y X R p b 2 4 + P E l 0 Z W 1 U e X B l P k Z v c m 1 1 b G E 8 L 0 l 0 Z W 1 U e X B l P j x J d G V t U G F 0 a D 5 T Z W N 0 a W 9 u M S 9 Q c m l j Z U R h d G F f R 1 N Q Q y 9 T b 3 V y Y 2 U 8 L 0 l 0 Z W 1 Q Y X R o P j w v S X R l b U x v Y 2 F 0 a W 9 u P j x T d G F i b G V F b n R y a W V z I C 8 + P C 9 J d G V t P j x J d G V t P j x J d G V t T G 9 j Y X R p b 2 4 + P E l 0 Z W 1 U e X B l P k Z v c m 1 1 b G E 8 L 0 l 0 Z W 1 U e X B l P j x J d G V t U G F 0 a D 5 T Z W N 0 a W 9 u M S 9 Q c m l j Z U R h d G F f R 1 N Q Q y 9 T a G V l d D F f U 2 h l Z X Q 8 L 0 l 0 Z W 1 Q Y X R o P j w v S X R l b U x v Y 2 F 0 a W 9 u P j x T d G F i b G V F b n R y a W V z I C 8 + P C 9 J d G V t P j x J d G V t P j x J d G V t T G 9 j Y X R p b 2 4 + P E l 0 Z W 1 U e X B l P k Z v c m 1 1 b G E 8 L 0 l 0 Z W 1 U e X B l P j x J d G V t U G F 0 a D 5 T Z W N 0 a W 9 u M S 9 Q c m l j Z U R h d G F f R 1 N Q Q y 9 Q c m 9 t b 3 R l Z C U y M E h l Y W R l c n M 8 L 0 l 0 Z W 1 Q Y X R o P j w v S X R l b U x v Y 2 F 0 a W 9 u P j x T d G F i b G V F b n R y a W V z I C 8 + P C 9 J d G V t P j x J d G V t P j x J d G V t T G 9 j Y X R p b 2 4 + P E l 0 Z W 1 U e X B l P k Z v c m 1 1 b G E 8 L 0 l 0 Z W 1 U e X B l P j x J d G V t U G F 0 a D 5 T Z W N 0 a W 9 u M S 9 Q c m l j Z U R h d G F f R 1 N Q Q y 9 D a G F u Z 2 V k J T I w V H l w Z T w v S X R l b V B h d G g + P C 9 J d G V t T G 9 j Y X R p b 2 4 + P F N 0 Y W J s Z U V u d H J p Z X M g L z 4 8 L 0 l 0 Z W 0 + P E l 0 Z W 0 + P E l 0 Z W 1 M b 2 N h d G l v b j 4 8 S X R l b V R 5 c G U + R m 9 y b X V s Y T w v S X R l b V R 5 c G U + P E l 0 Z W 1 Q Y X R o P l N l Y 3 R p b 2 4 x L 1 B y a W N l R G F 0 Y V 9 H U 1 B D X 0 F 2 Z 1 J h d G U 8 L 0 l 0 Z W 1 Q Y X R o P j w v S X R l b U x v Y 2 F 0 a W 9 u P j x T d G F i b G V F b n R y a W V z P j x F b n R y e S B U e X B l P S J R d W V y e U l E I i B W Y W x 1 Z T 0 i c z I w N D k w Y T l m L T A 2 Y W I t N D d j Y i 0 5 M z c x L T J i Z G Q 2 Y W N l O D A 1 Z 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a W N l R G F 0 Y V 9 H U 1 B D X 0 F 2 Z 1 J h d G U i I C 8 + P E V u d H J 5 I F R 5 c G U 9 I k Z p b G x l Z E N v b X B s Z X R l U m V z d W x 0 V G 9 X b 3 J r c 2 h l Z X Q i I F Z h b H V l P S J s M S I g L z 4 8 R W 5 0 c n k g V H l w Z T 0 i R m l s b E N v b H V t b k 5 h b W V z I i B W Y W x 1 Z T 0 i c 1 s m c X V v d D t U a W N r Z X I m c X V v d D s s J n F 1 b 3 Q 7 Q X Z n U m V 0 d X J u J n F 1 b 3 Q 7 L C Z x d W 9 0 O 1 l l Y X J s e S B B d m V y Y W d l I F J l d H V y b i Z x d W 9 0 O 1 0 i I C 8 + P E V u d H J 5 I F R 5 c G U 9 I k Z p b G x D b 2 x 1 b W 5 U e X B l c y I g V m F s d W U 9 I n N C Z 1 V B I i A v P j x F b n R y e S B U e X B l P S J G a W x s T G F z d F V w Z G F 0 Z W Q i I F Z h b H V l P S J k M j A y N C 0 w O C 0 y N l Q x O D o x M z o z M C 4 4 M D U 2 M z c x W i I g L z 4 8 R W 5 0 c n k g V H l w Z T 0 i R m l s b F N 0 Y X R 1 c y I g V m F s d W U 9 I n N D b 2 1 w b G V 0 Z S I g L z 4 8 R W 5 0 c n k g V H l w Z T 0 i R m l s b E V y c m 9 y Q 2 9 1 b n Q i I F Z h b H V l P S J s M C I g L z 4 8 R W 5 0 c n k g V H l w Z T 0 i U m V s Y X R p b 2 5 z a G l w S W 5 m b 0 N v b n R h a W 5 l c i I g V m F s d W U 9 I n N 7 J n F 1 b 3 Q 7 Y 2 9 s d W 1 u Q 2 9 1 b n Q m c X V v d D s 6 M y w m c X V v d D t r Z X l D b 2 x 1 b W 5 O Y W 1 l c y Z x d W 9 0 O z p b J n F 1 b 3 Q 7 V G l j a 2 V y J n F 1 b 3 Q 7 X S w m c X V v d D t x d W V y e V J l b G F 0 a W 9 u c 2 h p c H M m c X V v d D s 6 W 1 0 s J n F 1 b 3 Q 7 Y 2 9 s d W 1 u S W R l b n R p d G l l c y Z x d W 9 0 O z p b J n F 1 b 3 Q 7 U 2 V j d G l v b j E v U H J p Y 2 V E Y X R h X 0 d T U E N f Q X Z n U m F 0 Z S 9 H c m 9 1 c G V k I F J v d 3 M u e 1 R p Y 2 t l c i w w f S Z x d W 9 0 O y w m c X V v d D t T Z W N 0 a W 9 u M S 9 Q c m l j Z U R h d G F f R 1 N Q Q 1 9 B d m d S Y X R l L 0 d y b 3 V w Z W Q g U m 9 3 c y 5 7 Q X Z n U m V 0 d X J u L D F 9 J n F 1 b 3 Q 7 L C Z x d W 9 0 O 1 N l Y 3 R p b 2 4 x L 1 B y a W N l R G F 0 Y V 9 H U 1 B D X 0 F 2 Z 1 J h d G U v Q W R k Z W Q g Q 3 V z d G 9 t L n t Z Z W F y b H k g Q X Z l c m F n Z S B S Z X R 1 c m 4 s M n 0 m c X V v d D t d L C Z x d W 9 0 O 0 N v b H V t b k N v d W 5 0 J n F 1 b 3 Q 7 O j M s J n F 1 b 3 Q 7 S 2 V 5 Q 2 9 s d W 1 u T m F t Z X M m c X V v d D s 6 W y Z x d W 9 0 O 1 R p Y 2 t l c i Z x d W 9 0 O 1 0 s J n F 1 b 3 Q 7 Q 2 9 s d W 1 u S W R l b n R p d G l l c y Z x d W 9 0 O z p b J n F 1 b 3 Q 7 U 2 V j d G l v b j E v U H J p Y 2 V E Y X R h X 0 d T U E N f Q X Z n U m F 0 Z S 9 H c m 9 1 c G V k I F J v d 3 M u e 1 R p Y 2 t l c i w w f S Z x d W 9 0 O y w m c X V v d D t T Z W N 0 a W 9 u M S 9 Q c m l j Z U R h d G F f R 1 N Q Q 1 9 B d m d S Y X R l L 0 d y b 3 V w Z W Q g U m 9 3 c y 5 7 Q X Z n U m V 0 d X J u L D F 9 J n F 1 b 3 Q 7 L C Z x d W 9 0 O 1 N l Y 3 R p b 2 4 x L 1 B y a W N l R G F 0 Y V 9 H U 1 B D X 0 F 2 Z 1 J h d G U v Q W R k Z W Q g Q 3 V z d G 9 t L n t Z Z W F y b H k g Q X Z l c m F n Z S B S Z X R 1 c m 4 s M n 0 m c X V v d D t d L C Z x d W 9 0 O 1 J l b G F 0 a W 9 u c 2 h p c E l u Z m 8 m c X V v d D s 6 W 1 1 9 I i A v P j x F b n R y e S B U e X B l P S J G a W x s R X J y b 3 J D b 2 R l I i B W Y W x 1 Z T 0 i c 1 V u a 2 5 v d 2 4 i I C 8 + P E V u d H J 5 I F R 5 c G U 9 I k Z p b G x D b 3 V u d C I g V m F s d W U 9 I m w x I i A v P j x F b n R y e S B U e X B l P S J B Z G R l Z F R v R G F 0 Y U 1 v Z G V s I i B W Y W x 1 Z T 0 i b D A i I C 8 + P C 9 T d G F i b G V F b n R y a W V z P j w v S X R l b T 4 8 S X R l b T 4 8 S X R l b U x v Y 2 F 0 a W 9 u P j x J d G V t V H l w Z T 5 G b 3 J t d W x h P C 9 J d G V t V H l w Z T 4 8 S X R l b V B h d G g + U 2 V j d G l v b j E v U H J p Y 2 V E Y X R h X 0 d T U E N f Q X Z n U m F 0 Z S 9 T b 3 V y Y 2 U 8 L 0 l 0 Z W 1 Q Y X R o P j w v S X R l b U x v Y 2 F 0 a W 9 u P j x T d G F i b G V F b n R y a W V z I C 8 + P C 9 J d G V t P j x J d G V t P j x J d G V t T G 9 j Y X R p b 2 4 + P E l 0 Z W 1 U e X B l P k Z v c m 1 1 b G E 8 L 0 l 0 Z W 1 U e X B l P j x J d G V t U G F 0 a D 5 T Z W N 0 a W 9 u M S 9 Q c m l j Z U R h d G F f R 1 N Q Q 1 9 B d m d S Y X R l L 0 d y b 3 V w Z W Q l M j B S b 3 d z P C 9 J d G V t U G F 0 a D 4 8 L 0 l 0 Z W 1 M b 2 N h d G l v b j 4 8 U 3 R h Y m x l R W 5 0 c m l l c y A v P j w v S X R l b T 4 8 S X R l b T 4 8 S X R l b U x v Y 2 F 0 a W 9 u P j x J d G V t V H l w Z T 5 G b 3 J t d W x h P C 9 J d G V t V H l w Z T 4 8 S X R l b V B h d G g + U 2 V j d G l v b j E v U H J p Y 2 V E Y X R h X 0 d T U E N f Q X Z n U m F 0 Z S 9 B Z G R l Z C U y M E N 1 c 3 R v b T w v S X R l b V B h d G g + P C 9 J d G V t T G 9 j Y X R p b 2 4 + P F N 0 Y W J s Z U V u d H J p Z X M g L z 4 8 L 0 l 0 Z W 0 + P E l 0 Z W 0 + P E l 0 Z W 1 M b 2 N h d G l v b j 4 8 S X R l b V R 5 c G U + R m 9 y b X V s Y T w v S X R l b V R 5 c G U + P E l 0 Z W 1 Q Y X R o P l N l Y 3 R p b 2 4 x L 1 B y a W N l R G F 0 Y V 9 U T l g 8 L 0 l 0 Z W 1 Q Y X R o P j w v S X R l b U x v Y 2 F 0 a W 9 u P j x T d G F i b G V F b n R y a W V z P j x F b n R y e S B U e X B l P S J J c 1 B y a X Z h d G U i I F Z h b H V l P S J s M C I g L z 4 8 R W 5 0 c n k g V H l w Z T 0 i U X V l c n l J R C I g V m F s d W U 9 I n N i N G I z M D A 3 Z S 0 z N W M 2 L T R m Z T U t Y T k 1 Y y 0 0 M T Q 5 Y T Y 4 Z m E 4 N D 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a W N l R G F 0 Y V 9 U T l g i I C 8 + P E V u d H J 5 I F R 5 c G U 9 I k Z p b G x l Z E N v b X B s Z X R l U m V z d W x 0 V G 9 X b 3 J r c 2 h l Z X Q i I F Z h b H V l P S J s M S I g L z 4 8 R W 5 0 c n k g V H l w Z T 0 i R m l s b E N v b H V t b k 5 h b W V z I i B W Y W x 1 Z T 0 i c 1 s m c X V v d D t U a W N r Z X I m c X V v d D s s J n F 1 b 3 Q 7 c H J p Y 2 V f Z G F 0 Z S Z x d W 9 0 O y w m c X V v d D t v c G V u J n F 1 b 3 Q 7 L C Z x d W 9 0 O 2 h p Z 2 g m c X V v d D s s J n F 1 b 3 Q 7 b G 9 3 J n F 1 b 3 Q 7 L C Z x d W 9 0 O 2 N s b 3 N l J n F 1 b 3 Q 7 L C Z x d W 9 0 O 3 Z v b H V t Z S Z x d W 9 0 O y w m c X V v d D t h Z G p j b G 9 z Z S Z x d W 9 0 O y w m c X V v d D t p Z C Z x d W 9 0 O y w m c X V v d D t Q d W x s X 0 R h d G U m c X V v d D s s J n F 1 b 3 Q 7 c G V y Y 2 V u d F 9 y Z X R 1 c m 4 m c X V v d D s s J n F 1 b 3 Q 7 b 3 B l b l 9 j b G 9 z Z V 9 k a W Z m J n F 1 b 3 Q 7 L C Z x d W 9 0 O 2 9 w Z W 5 f a G l n a F 9 k a W Z m J n F 1 b 3 Q 7 L C Z x d W 9 0 O 2 R h e V 9 v Z l 9 3 Z W V r J n F 1 b 3 Q 7 L C Z x d W 9 0 O 3 B y a W N l X 2 R h d G V f e W V h c i Z x d W 9 0 O 1 0 i I C 8 + P E V u d H J 5 I F R 5 c G U 9 I k Z p b G x D b 2 x 1 b W 5 U e X B l c y I g V m F s d W U 9 I n N C Z 2 t G Q l F V R k F 3 V U d D U V V G Q l F Z R C I g L z 4 8 R W 5 0 c n k g V H l w Z T 0 i R m l s b E x h c 3 R V c G R h d G V k I i B W Y W x 1 Z T 0 i Z D I w M j Q t M D g t M j Z U M T g 6 M T M 6 M z A u N j I 3 M D U y N F o i I C 8 + P E V u d H J 5 I F R 5 c G U 9 I k Z p b G x T d G F 0 d X M i I F Z h b H V l P S J z Q 2 9 t c G x l d G U i I C 8 + P E V u d H J 5 I F R 5 c G U 9 I k Z p b G x F c n J v c k N v d W 5 0 I i B W Y W x 1 Z T 0 i b D A i I C 8 + P E V u d H J 5 I F R 5 c G U 9 I l J l b G F 0 a W 9 u c 2 h p c E l u Z m 9 D b 2 5 0 Y W l u Z X I i I F Z h b H V l P S J z e y Z x d W 9 0 O 2 N v b H V t b k N v d W 5 0 J n F 1 b 3 Q 7 O j E 1 L C Z x d W 9 0 O 2 t l e U N v b H V t b k 5 h b W V z J n F 1 b 3 Q 7 O l t d L C Z x d W 9 0 O 3 F 1 Z X J 5 U m V s Y X R p b 2 5 z a G l w c y Z x d W 9 0 O z p b X S w m c X V v d D t j b 2 x 1 b W 5 J Z G V u d G l 0 a W V z J n F 1 b 3 Q 7 O l s m c X V v d D t T Z W N 0 a W 9 u M S 9 Q c m l j Z U R h d G F f V E 5 Y L 0 N o Y W 5 n Z W Q g V H l w Z S 5 7 V G l j a 2 V y L D B 9 J n F 1 b 3 Q 7 L C Z x d W 9 0 O 1 N l Y 3 R p b 2 4 x L 1 B y a W N l R G F 0 Y V 9 U T l g v Q 2 h h b m d l Z C B U e X B l L n t w c m l j Z V 9 k Y X R l L D F 9 J n F 1 b 3 Q 7 L C Z x d W 9 0 O 1 N l Y 3 R p b 2 4 x L 1 B y a W N l R G F 0 Y V 9 U T l g v Q 2 h h b m d l Z C B U e X B l L n t v c G V u L D J 9 J n F 1 b 3 Q 7 L C Z x d W 9 0 O 1 N l Y 3 R p b 2 4 x L 1 B y a W N l R G F 0 Y V 9 U T l g v Q 2 h h b m d l Z C B U e X B l L n t o a W d o L D N 9 J n F 1 b 3 Q 7 L C Z x d W 9 0 O 1 N l Y 3 R p b 2 4 x L 1 B y a W N l R G F 0 Y V 9 U T l g v Q 2 h h b m d l Z C B U e X B l L n t s b 3 c s N H 0 m c X V v d D s s J n F 1 b 3 Q 7 U 2 V j d G l v b j E v U H J p Y 2 V E Y X R h X 1 R O W C 9 D a G F u Z 2 V k I F R 5 c G U u e 2 N s b 3 N l L D V 9 J n F 1 b 3 Q 7 L C Z x d W 9 0 O 1 N l Y 3 R p b 2 4 x L 1 B y a W N l R G F 0 Y V 9 U T l g v Q 2 h h b m d l Z C B U e X B l L n t 2 b 2 x 1 b W U s N n 0 m c X V v d D s s J n F 1 b 3 Q 7 U 2 V j d G l v b j E v U H J p Y 2 V E Y X R h X 1 R O W C 9 D a G F u Z 2 V k I F R 5 c G U u e 2 F k a m N s b 3 N l L D d 9 J n F 1 b 3 Q 7 L C Z x d W 9 0 O 1 N l Y 3 R p b 2 4 x L 1 B y a W N l R G F 0 Y V 9 U T l g v Q 2 h h b m d l Z C B U e X B l L n t p Z C w 4 f S Z x d W 9 0 O y w m c X V v d D t T Z W N 0 a W 9 u M S 9 Q c m l j Z U R h d G F f V E 5 Y L 0 N o Y W 5 n Z W Q g V H l w Z S 5 7 U H V s b F 9 E Y X R l L D l 9 J n F 1 b 3 Q 7 L C Z x d W 9 0 O 1 N l Y 3 R p b 2 4 x L 1 B y a W N l R G F 0 Y V 9 U T l g v Q 2 h h b m d l Z C B U e X B l L n t w Z X J j Z W 5 0 X 3 J l d H V y b i w x M H 0 m c X V v d D s s J n F 1 b 3 Q 7 U 2 V j d G l v b j E v U H J p Y 2 V E Y X R h X 1 R O W C 9 D a G F u Z 2 V k I F R 5 c G U u e 2 9 w Z W 5 f Y 2 x v c 2 V f Z G l m Z i w x M X 0 m c X V v d D s s J n F 1 b 3 Q 7 U 2 V j d G l v b j E v U H J p Y 2 V E Y X R h X 1 R O W C 9 D a G F u Z 2 V k I F R 5 c G U u e 2 9 w Z W 5 f a G l n a F 9 k a W Z m L D E y f S Z x d W 9 0 O y w m c X V v d D t T Z W N 0 a W 9 u M S 9 Q c m l j Z U R h d G F f V E 5 Y L 0 N o Y W 5 n Z W Q g V H l w Z S 5 7 Z G F 5 X 2 9 m X 3 d l Z W s s M T N 9 J n F 1 b 3 Q 7 L C Z x d W 9 0 O 1 N l Y 3 R p b 2 4 x L 1 B y a W N l R G F 0 Y V 9 U T l g v Q 2 h h b m d l Z C B U e X B l L n t w c m l j Z V 9 k Y X R l X 3 l l Y X I s M T R 9 J n F 1 b 3 Q 7 X S w m c X V v d D t D b 2 x 1 b W 5 D b 3 V u d C Z x d W 9 0 O z o x N S w m c X V v d D t L Z X l D b 2 x 1 b W 5 O Y W 1 l c y Z x d W 9 0 O z p b X S w m c X V v d D t D b 2 x 1 b W 5 J Z G V u d G l 0 a W V z J n F 1 b 3 Q 7 O l s m c X V v d D t T Z W N 0 a W 9 u M S 9 Q c m l j Z U R h d G F f V E 5 Y L 0 N o Y W 5 n Z W Q g V H l w Z S 5 7 V G l j a 2 V y L D B 9 J n F 1 b 3 Q 7 L C Z x d W 9 0 O 1 N l Y 3 R p b 2 4 x L 1 B y a W N l R G F 0 Y V 9 U T l g v Q 2 h h b m d l Z C B U e X B l L n t w c m l j Z V 9 k Y X R l L D F 9 J n F 1 b 3 Q 7 L C Z x d W 9 0 O 1 N l Y 3 R p b 2 4 x L 1 B y a W N l R G F 0 Y V 9 U T l g v Q 2 h h b m d l Z C B U e X B l L n t v c G V u L D J 9 J n F 1 b 3 Q 7 L C Z x d W 9 0 O 1 N l Y 3 R p b 2 4 x L 1 B y a W N l R G F 0 Y V 9 U T l g v Q 2 h h b m d l Z C B U e X B l L n t o a W d o L D N 9 J n F 1 b 3 Q 7 L C Z x d W 9 0 O 1 N l Y 3 R p b 2 4 x L 1 B y a W N l R G F 0 Y V 9 U T l g v Q 2 h h b m d l Z C B U e X B l L n t s b 3 c s N H 0 m c X V v d D s s J n F 1 b 3 Q 7 U 2 V j d G l v b j E v U H J p Y 2 V E Y X R h X 1 R O W C 9 D a G F u Z 2 V k I F R 5 c G U u e 2 N s b 3 N l L D V 9 J n F 1 b 3 Q 7 L C Z x d W 9 0 O 1 N l Y 3 R p b 2 4 x L 1 B y a W N l R G F 0 Y V 9 U T l g v Q 2 h h b m d l Z C B U e X B l L n t 2 b 2 x 1 b W U s N n 0 m c X V v d D s s J n F 1 b 3 Q 7 U 2 V j d G l v b j E v U H J p Y 2 V E Y X R h X 1 R O W C 9 D a G F u Z 2 V k I F R 5 c G U u e 2 F k a m N s b 3 N l L D d 9 J n F 1 b 3 Q 7 L C Z x d W 9 0 O 1 N l Y 3 R p b 2 4 x L 1 B y a W N l R G F 0 Y V 9 U T l g v Q 2 h h b m d l Z C B U e X B l L n t p Z C w 4 f S Z x d W 9 0 O y w m c X V v d D t T Z W N 0 a W 9 u M S 9 Q c m l j Z U R h d G F f V E 5 Y L 0 N o Y W 5 n Z W Q g V H l w Z S 5 7 U H V s b F 9 E Y X R l L D l 9 J n F 1 b 3 Q 7 L C Z x d W 9 0 O 1 N l Y 3 R p b 2 4 x L 1 B y a W N l R G F 0 Y V 9 U T l g v Q 2 h h b m d l Z C B U e X B l L n t w Z X J j Z W 5 0 X 3 J l d H V y b i w x M H 0 m c X V v d D s s J n F 1 b 3 Q 7 U 2 V j d G l v b j E v U H J p Y 2 V E Y X R h X 1 R O W C 9 D a G F u Z 2 V k I F R 5 c G U u e 2 9 w Z W 5 f Y 2 x v c 2 V f Z G l m Z i w x M X 0 m c X V v d D s s J n F 1 b 3 Q 7 U 2 V j d G l v b j E v U H J p Y 2 V E Y X R h X 1 R O W C 9 D a G F u Z 2 V k I F R 5 c G U u e 2 9 w Z W 5 f a G l n a F 9 k a W Z m L D E y f S Z x d W 9 0 O y w m c X V v d D t T Z W N 0 a W 9 u M S 9 Q c m l j Z U R h d G F f V E 5 Y L 0 N o Y W 5 n Z W Q g V H l w Z S 5 7 Z G F 5 X 2 9 m X 3 d l Z W s s M T N 9 J n F 1 b 3 Q 7 L C Z x d W 9 0 O 1 N l Y 3 R p b 2 4 x L 1 B y a W N l R G F 0 Y V 9 U T l g v Q 2 h h b m d l Z C B U e X B l L n t w c m l j Z V 9 k Y X R l X 3 l l Y X I s M T R 9 J n F 1 b 3 Q 7 X S w m c X V v d D t S Z W x h d G l v b n N o a X B J b m Z v J n F 1 b 3 Q 7 O l t d f S I g L z 4 8 R W 5 0 c n k g V H l w Z T 0 i R m l s b E V y c m 9 y Q 2 9 k Z S I g V m F s d W U 9 I n N V b m t u b 3 d u I i A v P j x F b n R y e S B U e X B l P S J G a W x s Q 2 9 1 b n Q i I F Z h b H V l P S J s N D g i I C 8 + P E V u d H J 5 I F R 5 c G U 9 I k F k Z G V k V G 9 E Y X R h T W 9 k Z W w i I F Z h b H V l P S J s M C I g L z 4 8 L 1 N 0 Y W J s Z U V u d H J p Z X M + P C 9 J d G V t P j x J d G V t P j x J d G V t T G 9 j Y X R p b 2 4 + P E l 0 Z W 1 U e X B l P k Z v c m 1 1 b G E 8 L 0 l 0 Z W 1 U e X B l P j x J d G V t U G F 0 a D 5 T Z W N 0 a W 9 u M S 9 Q c m l j Z U R h d G F f V E 5 Y L 1 N v d X J j Z T w v S X R l b V B h d G g + P C 9 J d G V t T G 9 j Y X R p b 2 4 + P F N 0 Y W J s Z U V u d H J p Z X M g L z 4 8 L 0 l 0 Z W 0 + P E l 0 Z W 0 + P E l 0 Z W 1 M b 2 N h d G l v b j 4 8 S X R l b V R 5 c G U + R m 9 y b X V s Y T w v S X R l b V R 5 c G U + P E l 0 Z W 1 Q Y X R o P l N l Y 3 R p b 2 4 x L 1 B y a W N l R G F 0 Y V 9 U T l g v U 2 h l Z X Q x X 1 N o Z W V 0 P C 9 J d G V t U G F 0 a D 4 8 L 0 l 0 Z W 1 M b 2 N h d G l v b j 4 8 U 3 R h Y m x l R W 5 0 c m l l c y A v P j w v S X R l b T 4 8 S X R l b T 4 8 S X R l b U x v Y 2 F 0 a W 9 u P j x J d G V t V H l w Z T 5 G b 3 J t d W x h P C 9 J d G V t V H l w Z T 4 8 S X R l b V B h d G g + U 2 V j d G l v b j E v U H J p Y 2 V E Y X R h X 1 R O W C 9 Q c m 9 t b 3 R l Z C U y M E h l Y W R l c n M 8 L 0 l 0 Z W 1 Q Y X R o P j w v S X R l b U x v Y 2 F 0 a W 9 u P j x T d G F i b G V F b n R y a W V z I C 8 + P C 9 J d G V t P j x J d G V t P j x J d G V t T G 9 j Y X R p b 2 4 + P E l 0 Z W 1 U e X B l P k Z v c m 1 1 b G E 8 L 0 l 0 Z W 1 U e X B l P j x J d G V t U G F 0 a D 5 T Z W N 0 a W 9 u M S 9 Q c m l j Z U R h d G F f V E 5 Y L 0 N o Y W 5 n Z W Q l M j B U e X B l P C 9 J d G V t U G F 0 a D 4 8 L 0 l 0 Z W 1 M b 2 N h d G l v b j 4 8 U 3 R h Y m x l R W 5 0 c m l l c y A v P j w v S X R l b T 4 8 S X R l b T 4 8 S X R l b U x v Y 2 F 0 a W 9 u P j x J d G V t V H l w Z T 5 G b 3 J t d W x h P C 9 J d G V t V H l w Z T 4 8 S X R l b V B h d G g + U 2 V j d G l v b j E v U H J p Y 2 V E Y X R h X 1 R O W F 9 B d m d S Y X R l P C 9 J d G V t U G F 0 a D 4 8 L 0 l 0 Z W 1 M b 2 N h d G l v b j 4 8 U 3 R h Y m x l R W 5 0 c m l l c z 4 8 R W 5 0 c n k g V H l w Z T 0 i U X V l c n l J R C I g V m F s d W U 9 I n M y N j U y Z D I x O C 0 y O W R l L T Q 4 Y z g t O G Y 2 Z S 0 w Z D c 4 N 2 J m N j B h Y j A 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c m l j Z U R h d G F f V E 5 Y X 0 F 2 Z 1 J h d G U i I C 8 + P E V u d H J 5 I F R 5 c G U 9 I k Z p b G x l Z E N v b X B s Z X R l U m V z d W x 0 V G 9 X b 3 J r c 2 h l Z X Q i I F Z h b H V l P S J s M S I g L z 4 8 R W 5 0 c n k g V H l w Z T 0 i R m l s b E N v b H V t b k 5 h b W V z I i B W Y W x 1 Z T 0 i c 1 s m c X V v d D t U a W N r Z X I m c X V v d D s s J n F 1 b 3 Q 7 Q X Z n U m V 0 d X J u J n F 1 b 3 Q 7 X S I g L z 4 8 R W 5 0 c n k g V H l w Z T 0 i R m l s b E N v b H V t b l R 5 c G V z I i B W Y W x 1 Z T 0 i c 0 J n V T 0 i I C 8 + P E V u d H J 5 I F R 5 c G U 9 I k Z p b G x M Y X N 0 V X B k Y X R l Z C I g V m F s d W U 9 I m Q y M D I 0 L T A 4 L T I 2 V D E 4 O j E z O j M w L j g z N j U 1 M j R a I i A v P j x F b n R y e S B U e X B l P S J G a W x s U 3 R h d H V z I i B W Y W x 1 Z T 0 i c 0 N v b X B s Z X R l I i A v P j x F b n R y e S B U e X B l P S J G a W x s R X J y b 3 J D b 3 V u d C I g V m F s d W U 9 I m w w I i A v P j x F b n R y e S B U e X B l P S J S Z W x h d G l v b n N o a X B J b m Z v Q 2 9 u d G F p b m V y I i B W Y W x 1 Z T 0 i c 3 s m c X V v d D t j b 2 x 1 b W 5 D b 3 V u d C Z x d W 9 0 O z o y L C Z x d W 9 0 O 2 t l e U N v b H V t b k 5 h b W V z J n F 1 b 3 Q 7 O l s m c X V v d D t U a W N r Z X I m c X V v d D t d L C Z x d W 9 0 O 3 F 1 Z X J 5 U m V s Y X R p b 2 5 z a G l w c y Z x d W 9 0 O z p b X S w m c X V v d D t j b 2 x 1 b W 5 J Z G V u d G l 0 a W V z J n F 1 b 3 Q 7 O l s m c X V v d D t T Z W N 0 a W 9 u M S 9 Q c m l j Z U R h d G F f V E 5 Y X 0 F 2 Z 1 J h d G U v R 3 J v d X B l Z C B S b 3 d z L n t U a W N r Z X I s M H 0 m c X V v d D s s J n F 1 b 3 Q 7 U 2 V j d G l v b j E v U H J p Y 2 V E Y X R h X 1 R O W F 9 B d m d S Y X R l L 0 d y b 3 V w Z W Q g U m 9 3 c y 5 7 Q X Z n U m V 0 d X J u L D F 9 J n F 1 b 3 Q 7 X S w m c X V v d D t D b 2 x 1 b W 5 D b 3 V u d C Z x d W 9 0 O z o y L C Z x d W 9 0 O 0 t l e U N v b H V t b k 5 h b W V z J n F 1 b 3 Q 7 O l s m c X V v d D t U a W N r Z X I m c X V v d D t d L C Z x d W 9 0 O 0 N v b H V t b k l k Z W 5 0 a X R p Z X M m c X V v d D s 6 W y Z x d W 9 0 O 1 N l Y 3 R p b 2 4 x L 1 B y a W N l R G F 0 Y V 9 U T l h f Q X Z n U m F 0 Z S 9 H c m 9 1 c G V k I F J v d 3 M u e 1 R p Y 2 t l c i w w f S Z x d W 9 0 O y w m c X V v d D t T Z W N 0 a W 9 u M S 9 Q c m l j Z U R h d G F f V E 5 Y X 0 F 2 Z 1 J h d G U v R 3 J v d X B l Z C B S b 3 d z L n t B d m d S Z X R 1 c m 4 s M X 0 m c X V v d D t d L C Z x d W 9 0 O 1 J l b G F 0 a W 9 u c 2 h p c E l u Z m 8 m c X V v d D s 6 W 1 1 9 I i A v P j x F b n R y e S B U e X B l P S J G a W x s R X J y b 3 J D b 2 R l I i B W Y W x 1 Z T 0 i c 1 V u a 2 5 v d 2 4 i I C 8 + P E V u d H J 5 I F R 5 c G U 9 I k Z p b G x D b 3 V u d C I g V m F s d W U 9 I m w x I i A v P j x F b n R y e S B U e X B l P S J B Z G R l Z F R v R G F 0 Y U 1 v Z G V s I i B W Y W x 1 Z T 0 i b D A i I C 8 + P C 9 T d G F i b G V F b n R y a W V z P j w v S X R l b T 4 8 S X R l b T 4 8 S X R l b U x v Y 2 F 0 a W 9 u P j x J d G V t V H l w Z T 5 G b 3 J t d W x h P C 9 J d G V t V H l w Z T 4 8 S X R l b V B h d G g + U 2 V j d G l v b j E v U H J p Y 2 V E Y X R h X 1 R O W F 9 B d m d S Y X R l L 1 N v d X J j Z T w v S X R l b V B h d G g + P C 9 J d G V t T G 9 j Y X R p b 2 4 + P F N 0 Y W J s Z U V u d H J p Z X M g L z 4 8 L 0 l 0 Z W 0 + P E l 0 Z W 0 + P E l 0 Z W 1 M b 2 N h d G l v b j 4 8 S X R l b V R 5 c G U + R m 9 y b X V s Y T w v S X R l b V R 5 c G U + P E l 0 Z W 1 Q Y X R o P l N l Y 3 R p b 2 4 x L 1 B y a W N l R G F 0 Y V 9 U T l h f Q X Z n U m F 0 Z S 9 H c m 9 1 c G V k J T I w U m 9 3 c z w v S X R l b V B h d G g + P C 9 J d G V t T G 9 j Y X R p b 2 4 + P F N 0 Y W J s Z U V u d H J p Z X M g L z 4 8 L 0 l 0 Z W 0 + P E l 0 Z W 0 + P E l 0 Z W 1 M b 2 N h d G l v b j 4 8 S X R l b V R 5 c G U + R m 9 y b X V s Y T w v S X R l b V R 5 c G U + P E l 0 Z W 1 Q Y X R o P l N l Y 3 R p b 2 4 x L 1 B y a W N l R G F 0 Y V 9 U a W N r Z X I 8 L 0 l 0 Z W 1 Q Y X R o P j w v S X R l b U x v Y 2 F 0 a W 9 u P j x T d G F i b G V F b n R y a W V z P j x F b n R y e S B U e X B l P S J J c 1 B y a X Z h d G U i I F Z h b H V l P S J s M C I g L z 4 8 R W 5 0 c n k g V H l w Z T 0 i U X V l c n l J R C I g V m F s d W U 9 I n N l Y j Y 1 Y 2 E x Y i 0 w O D Q z L T Q 4 M 2 I t Y T c 4 Z i 0 3 Y j Z i N j k 5 O T Z m Y 2 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a W N l R G F 0 Y V 9 U a W N r Z X I i I C 8 + P E V u d H J 5 I F R 5 c G U 9 I k Z p b G x l Z E N v b X B s Z X R l U m V z d W x 0 V G 9 X b 3 J r c 2 h l Z X Q i I F Z h b H V l P S J s M S I g L z 4 8 R W 5 0 c n k g V H l w Z T 0 i R m l s b F N 0 Y X R 1 c y I g V m F s d W U 9 I n N D b 2 1 w b G V 0 Z S I g L z 4 8 R W 5 0 c n k g V H l w Z T 0 i R m l s b E N v b H V t b k 5 h b W V z I i B W Y W x 1 Z T 0 i c 1 s m c X V v d D t U a W N r Z X I m c X V v d D s s J n F 1 b 3 Q 7 c H J p Y 2 V f Z G F 0 Z S Z x d W 9 0 O y w m c X V v d D t v c G V u J n F 1 b 3 Q 7 L C Z x d W 9 0 O 2 h p Z 2 g m c X V v d D s s J n F 1 b 3 Q 7 b G 9 3 J n F 1 b 3 Q 7 L C Z x d W 9 0 O 2 N s b 3 N l J n F 1 b 3 Q 7 L C Z x d W 9 0 O 3 Z v b H V t Z S Z x d W 9 0 O y w m c X V v d D t h Z G p j b G 9 z Z S Z x d W 9 0 O y w m c X V v d D t k a X Z p Z G V u Z H M m c X V v d D s s J n F 1 b 3 Q 7 a W Q m c X V v d D s s J n F 1 b 3 Q 7 U H V s b F 9 E Y X R l J n F 1 b 3 Q 7 L C Z x d W 9 0 O 3 N w b G l 0 c y Z x d W 9 0 O y w m c X V v d D t j a G F u Z 2 V f a W 5 f c H J p Y 2 U m c X V v d D s s J n F 1 b 3 Q 7 c G V y Y 2 V u d F 9 y Z X R 1 c m 4 m c X V v d D s s J n F 1 b 3 Q 7 b 3 B l b l 9 j b G 9 z Z V 9 k a W Z m J n F 1 b 3 Q 7 L C Z x d W 9 0 O 2 9 w Z W 5 f a G l n a F 9 k a W Z m J n F 1 b 3 Q 7 L C Z x d W 9 0 O 2 R h e V 9 v Z l 9 3 Z W V r J n F 1 b 3 Q 7 L C Z x d W 9 0 O 3 B y a W N l X 2 R h d G V f e W V h c i Z x d W 9 0 O 1 0 i I C 8 + P E V u d H J 5 I F R 5 c G U 9 I k Z p b G x D b 2 x 1 b W 5 U e X B l c y I g V m F s d W U 9 I n N C Z 2 t G Q l F V R k F 3 V U Z C Z 2 t G Q l F V R k J R W U Q i I C 8 + P E V u d H J 5 I F R 5 c G U 9 I k Z p b G x M Y X N 0 V X B k Y X R l Z C I g V m F s d W U 9 I m Q y M D I 0 L T A 4 L T I 2 V D E 4 O j E z O j M w L j Y 5 O D k x O T F a I i A v P j x F b n R y e S B U e X B l P S J G a W x s R X J y b 3 J D b 3 V u d C I g V m F s d W U 9 I m w w I i A v P j x F b n R y e S B U e X B l P S J S Z W x h d G l v b n N o a X B J b m Z v Q 2 9 u d G F p b m V y I i B W Y W x 1 Z T 0 i c 3 s m c X V v d D t j b 2 x 1 b W 5 D b 3 V u d C Z x d W 9 0 O z o x O C w m c X V v d D t r Z X l D b 2 x 1 b W 5 O Y W 1 l c y Z x d W 9 0 O z p b X S w m c X V v d D t x d W V y e V J l b G F 0 a W 9 u c 2 h p c H M m c X V v d D s 6 W 1 0 s J n F 1 b 3 Q 7 Y 2 9 s d W 1 u S W R l b n R p d G l l c y Z x d W 9 0 O z p b J n F 1 b 3 Q 7 U 2 V j d G l v b j E v U H J p Y 2 V E Y X R h X 1 R p Y 2 t l c i 9 D a G F u Z 2 V k I F R 5 c G U u e 1 R p Y 2 t l c i w w f S Z x d W 9 0 O y w m c X V v d D t T Z W N 0 a W 9 u M S 9 Q c m l j Z U R h d G F f V G l j a 2 V y L 0 N o Y W 5 n Z W Q g V H l w Z S 5 7 c H J p Y 2 V f Z G F 0 Z S w x f S Z x d W 9 0 O y w m c X V v d D t T Z W N 0 a W 9 u M S 9 Q c m l j Z U R h d G F f V G l j a 2 V y L 0 N o Y W 5 n Z W Q g V H l w Z S 5 7 b 3 B l b i w y f S Z x d W 9 0 O y w m c X V v d D t T Z W N 0 a W 9 u M S 9 Q c m l j Z U R h d G F f V G l j a 2 V y L 0 N o Y W 5 n Z W Q g V H l w Z S 5 7 a G l n a C w z f S Z x d W 9 0 O y w m c X V v d D t T Z W N 0 a W 9 u M S 9 Q c m l j Z U R h d G F f V G l j a 2 V y L 0 N o Y W 5 n Z W Q g V H l w Z S 5 7 b G 9 3 L D R 9 J n F 1 b 3 Q 7 L C Z x d W 9 0 O 1 N l Y 3 R p b 2 4 x L 1 B y a W N l R G F 0 Y V 9 U a W N r Z X I v Q 2 h h b m d l Z C B U e X B l L n t j b G 9 z Z S w 1 f S Z x d W 9 0 O y w m c X V v d D t T Z W N 0 a W 9 u M S 9 Q c m l j Z U R h d G F f V G l j a 2 V y L 0 N o Y W 5 n Z W Q g V H l w Z S 5 7 d m 9 s d W 1 l L D Z 9 J n F 1 b 3 Q 7 L C Z x d W 9 0 O 1 N l Y 3 R p b 2 4 x L 1 B y a W N l R G F 0 Y V 9 U a W N r Z X I v Q 2 h h b m d l Z C B U e X B l L n t h Z G p j b G 9 z Z S w 3 f S Z x d W 9 0 O y w m c X V v d D t T Z W N 0 a W 9 u M S 9 Q c m l j Z U R h d G F f V G l j a 2 V y L 0 N o Y W 5 n Z W Q g V H l w Z S 5 7 Z G l 2 a W R l b m R z L D h 9 J n F 1 b 3 Q 7 L C Z x d W 9 0 O 1 N l Y 3 R p b 2 4 x L 1 B y a W N l R G F 0 Y V 9 U a W N r Z X I v Q 2 h h b m d l Z C B U e X B l L n t p Z C w 5 f S Z x d W 9 0 O y w m c X V v d D t T Z W N 0 a W 9 u M S 9 Q c m l j Z U R h d G F f V G l j a 2 V y L 0 N o Y W 5 n Z W Q g V H l w Z S 5 7 U H V s b F 9 E Y X R l L D E w f S Z x d W 9 0 O y w m c X V v d D t T Z W N 0 a W 9 u M S 9 Q c m l j Z U R h d G F f V G l j a 2 V y L 0 N o Y W 5 n Z W Q g V H l w Z S 5 7 c 3 B s a X R z L D E x f S Z x d W 9 0 O y w m c X V v d D t T Z W N 0 a W 9 u M S 9 Q c m l j Z U R h d G F f V G l j a 2 V y L 0 N o Y W 5 n Z W Q g V H l w Z S 5 7 Y 2 h h b m d l X 2 l u X 3 B y a W N l L D E y f S Z x d W 9 0 O y w m c X V v d D t T Z W N 0 a W 9 u M S 9 Q c m l j Z U R h d G F f V G l j a 2 V y L 0 N o Y W 5 n Z W Q g V H l w Z S 5 7 c G V y Y 2 V u d F 9 y Z X R 1 c m 4 s M T N 9 J n F 1 b 3 Q 7 L C Z x d W 9 0 O 1 N l Y 3 R p b 2 4 x L 1 B y a W N l R G F 0 Y V 9 U a W N r Z X I v Q 2 h h b m d l Z C B U e X B l L n t v c G V u X 2 N s b 3 N l X 2 R p Z m Y s M T R 9 J n F 1 b 3 Q 7 L C Z x d W 9 0 O 1 N l Y 3 R p b 2 4 x L 1 B y a W N l R G F 0 Y V 9 U a W N r Z X I v Q 2 h h b m d l Z C B U e X B l L n t v c G V u X 2 h p Z 2 h f Z G l m Z i w x N X 0 m c X V v d D s s J n F 1 b 3 Q 7 U 2 V j d G l v b j E v U H J p Y 2 V E Y X R h X 1 R p Y 2 t l c i 9 D a G F u Z 2 V k I F R 5 c G U u e 2 R h e V 9 v Z l 9 3 Z W V r L D E 2 f S Z x d W 9 0 O y w m c X V v d D t T Z W N 0 a W 9 u M S 9 Q c m l j Z U R h d G F f V G l j a 2 V y L 0 N o Y W 5 n Z W Q g V H l w Z S 5 7 c H J p Y 2 V f Z G F 0 Z V 9 5 Z W F y L D E 3 f S Z x d W 9 0 O 1 0 s J n F 1 b 3 Q 7 Q 2 9 s d W 1 u Q 2 9 1 b n Q m c X V v d D s 6 M T g s J n F 1 b 3 Q 7 S 2 V 5 Q 2 9 s d W 1 u T m F t Z X M m c X V v d D s 6 W 1 0 s J n F 1 b 3 Q 7 Q 2 9 s d W 1 u S W R l b n R p d G l l c y Z x d W 9 0 O z p b J n F 1 b 3 Q 7 U 2 V j d G l v b j E v U H J p Y 2 V E Y X R h X 1 R p Y 2 t l c i 9 D a G F u Z 2 V k I F R 5 c G U u e 1 R p Y 2 t l c i w w f S Z x d W 9 0 O y w m c X V v d D t T Z W N 0 a W 9 u M S 9 Q c m l j Z U R h d G F f V G l j a 2 V y L 0 N o Y W 5 n Z W Q g V H l w Z S 5 7 c H J p Y 2 V f Z G F 0 Z S w x f S Z x d W 9 0 O y w m c X V v d D t T Z W N 0 a W 9 u M S 9 Q c m l j Z U R h d G F f V G l j a 2 V y L 0 N o Y W 5 n Z W Q g V H l w Z S 5 7 b 3 B l b i w y f S Z x d W 9 0 O y w m c X V v d D t T Z W N 0 a W 9 u M S 9 Q c m l j Z U R h d G F f V G l j a 2 V y L 0 N o Y W 5 n Z W Q g V H l w Z S 5 7 a G l n a C w z f S Z x d W 9 0 O y w m c X V v d D t T Z W N 0 a W 9 u M S 9 Q c m l j Z U R h d G F f V G l j a 2 V y L 0 N o Y W 5 n Z W Q g V H l w Z S 5 7 b G 9 3 L D R 9 J n F 1 b 3 Q 7 L C Z x d W 9 0 O 1 N l Y 3 R p b 2 4 x L 1 B y a W N l R G F 0 Y V 9 U a W N r Z X I v Q 2 h h b m d l Z C B U e X B l L n t j b G 9 z Z S w 1 f S Z x d W 9 0 O y w m c X V v d D t T Z W N 0 a W 9 u M S 9 Q c m l j Z U R h d G F f V G l j a 2 V y L 0 N o Y W 5 n Z W Q g V H l w Z S 5 7 d m 9 s d W 1 l L D Z 9 J n F 1 b 3 Q 7 L C Z x d W 9 0 O 1 N l Y 3 R p b 2 4 x L 1 B y a W N l R G F 0 Y V 9 U a W N r Z X I v Q 2 h h b m d l Z C B U e X B l L n t h Z G p j b G 9 z Z S w 3 f S Z x d W 9 0 O y w m c X V v d D t T Z W N 0 a W 9 u M S 9 Q c m l j Z U R h d G F f V G l j a 2 V y L 0 N o Y W 5 n Z W Q g V H l w Z S 5 7 Z G l 2 a W R l b m R z L D h 9 J n F 1 b 3 Q 7 L C Z x d W 9 0 O 1 N l Y 3 R p b 2 4 x L 1 B y a W N l R G F 0 Y V 9 U a W N r Z X I v Q 2 h h b m d l Z C B U e X B l L n t p Z C w 5 f S Z x d W 9 0 O y w m c X V v d D t T Z W N 0 a W 9 u M S 9 Q c m l j Z U R h d G F f V G l j a 2 V y L 0 N o Y W 5 n Z W Q g V H l w Z S 5 7 U H V s b F 9 E Y X R l L D E w f S Z x d W 9 0 O y w m c X V v d D t T Z W N 0 a W 9 u M S 9 Q c m l j Z U R h d G F f V G l j a 2 V y L 0 N o Y W 5 n Z W Q g V H l w Z S 5 7 c 3 B s a X R z L D E x f S Z x d W 9 0 O y w m c X V v d D t T Z W N 0 a W 9 u M S 9 Q c m l j Z U R h d G F f V G l j a 2 V y L 0 N o Y W 5 n Z W Q g V H l w Z S 5 7 Y 2 h h b m d l X 2 l u X 3 B y a W N l L D E y f S Z x d W 9 0 O y w m c X V v d D t T Z W N 0 a W 9 u M S 9 Q c m l j Z U R h d G F f V G l j a 2 V y L 0 N o Y W 5 n Z W Q g V H l w Z S 5 7 c G V y Y 2 V u d F 9 y Z X R 1 c m 4 s M T N 9 J n F 1 b 3 Q 7 L C Z x d W 9 0 O 1 N l Y 3 R p b 2 4 x L 1 B y a W N l R G F 0 Y V 9 U a W N r Z X I v Q 2 h h b m d l Z C B U e X B l L n t v c G V u X 2 N s b 3 N l X 2 R p Z m Y s M T R 9 J n F 1 b 3 Q 7 L C Z x d W 9 0 O 1 N l Y 3 R p b 2 4 x L 1 B y a W N l R G F 0 Y V 9 U a W N r Z X I v Q 2 h h b m d l Z C B U e X B l L n t v c G V u X 2 h p Z 2 h f Z G l m Z i w x N X 0 m c X V v d D s s J n F 1 b 3 Q 7 U 2 V j d G l v b j E v U H J p Y 2 V E Y X R h X 1 R p Y 2 t l c i 9 D a G F u Z 2 V k I F R 5 c G U u e 2 R h e V 9 v Z l 9 3 Z W V r L D E 2 f S Z x d W 9 0 O y w m c X V v d D t T Z W N 0 a W 9 u M S 9 Q c m l j Z U R h d G F f V G l j a 2 V y L 0 N o Y W 5 n Z W Q g V H l w Z S 5 7 c H J p Y 2 V f Z G F 0 Z V 9 5 Z W F y L D E 3 f S Z x d W 9 0 O 1 0 s J n F 1 b 3 Q 7 U m V s Y X R p b 2 5 z a G l w S W 5 m b y Z x d W 9 0 O z p b X X 0 i I C 8 + P E V u d H J 5 I F R 5 c G U 9 I k Z p b G x F c n J v c k N v Z G U i I F Z h b H V l P S J z V W 5 r b m 9 3 b i I g L z 4 8 R W 5 0 c n k g V H l w Z T 0 i R m l s b E N v d W 5 0 I i B W Y W x 1 Z T 0 i b D Q x M C I g L z 4 8 R W 5 0 c n k g V H l w Z T 0 i Q W R k Z W R U b 0 R h d G F N b 2 R l b C I g V m F s d W U 9 I m w w I i A v P j w v U 3 R h Y m x l R W 5 0 c m l l c z 4 8 L 0 l 0 Z W 0 + P E l 0 Z W 0 + P E l 0 Z W 1 M b 2 N h d G l v b j 4 8 S X R l b V R 5 c G U + R m 9 y b X V s Y T w v S X R l b V R 5 c G U + P E l 0 Z W 1 Q Y X R o P l N l Y 3 R p b 2 4 x L 1 B y a W N l R G F 0 Y V 9 U a W N r Z X I v U 2 9 1 c m N l P C 9 J d G V t U G F 0 a D 4 8 L 0 l 0 Z W 1 M b 2 N h d G l v b j 4 8 U 3 R h Y m x l R W 5 0 c m l l c y A v P j w v S X R l b T 4 8 S X R l b T 4 8 S X R l b U x v Y 2 F 0 a W 9 u P j x J d G V t V H l w Z T 5 G b 3 J t d W x h P C 9 J d G V t V H l w Z T 4 8 S X R l b V B h d G g + U 2 V j d G l v b j E v U H J p Y 2 V E Y X R h X 1 R p Y 2 t l c i 9 T a G V l d D F f U 2 h l Z X Q 8 L 0 l 0 Z W 1 Q Y X R o P j w v S X R l b U x v Y 2 F 0 a W 9 u P j x T d G F i b G V F b n R y a W V z I C 8 + P C 9 J d G V t P j x J d G V t P j x J d G V t T G 9 j Y X R p b 2 4 + P E l 0 Z W 1 U e X B l P k Z v c m 1 1 b G E 8 L 0 l 0 Z W 1 U e X B l P j x J d G V t U G F 0 a D 5 T Z W N 0 a W 9 u M S 9 Q c m l j Z U R h d G F f V G l j a 2 V y L 1 B y b 2 1 v d G V k J T I w S G V h Z G V y c z w v S X R l b V B h d G g + P C 9 J d G V t T G 9 j Y X R p b 2 4 + P F N 0 Y W J s Z U V u d H J p Z X M g L z 4 8 L 0 l 0 Z W 0 + P E l 0 Z W 0 + P E l 0 Z W 1 M b 2 N h d G l v b j 4 8 S X R l b V R 5 c G U + R m 9 y b X V s Y T w v S X R l b V R 5 c G U + P E l 0 Z W 1 Q Y X R o P l N l Y 3 R p b 2 4 x L 1 B y a W N l R G F 0 Y V 9 U a W N r Z X I v Q 2 h h b m d l Z C U y M F R 5 c G U 8 L 0 l 0 Z W 1 Q Y X R o P j w v S X R l b U x v Y 2 F 0 a W 9 u P j x T d G F i b G V F b n R y a W V z I C 8 + P C 9 J d G V t P j x J d G V t P j x J d G V t T G 9 j Y X R p b 2 4 + P E l 0 Z W 1 U e X B l P k Z v c m 1 1 b G E 8 L 0 l 0 Z W 1 U e X B l P j x J d G V t U G F 0 a D 5 T Z W N 0 a W 9 u M S 9 Q c m l j Z U R h d G F f V G l j a 2 V y X 0 F 2 Z 1 J h d G U 8 L 0 l 0 Z W 1 Q Y X R o P j w v S X R l b U x v Y 2 F 0 a W 9 u P j x T d G F i b G V F b n R y a W V z P j x F b n R y e S B U e X B l P S J R d W V y e U l E I i B W Y W x 1 Z T 0 i c 2 Y 3 M T V h Y z I z L T N h Z T I t N D Y 4 O S 1 i M W U 4 L T c 1 M G E x Y 2 N k Y 2 M 1 N S I g L z 4 8 R W 5 0 c n k g V H l w Z T 0 i R m l s b E V u Y W J s Z W Q i I F Z h b H V l P S J s M S I g L z 4 8 R W 5 0 c n k g V H l w Z T 0 i R m l s b E 9 i a m V j d F R 5 c G U i I F Z h b H V l P S J z V G F i b G U 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a W N l R G F 0 Y V 9 U a W N r Z X J f Q X Z n U m F 0 Z S I g L z 4 8 R W 5 0 c n k g V H l w Z T 0 i R m l s b G V k Q 2 9 t c G x l d G V S Z X N 1 b H R U b 1 d v c m t z a G V l d C I g V m F s d W U 9 I m w x I i A v P j x F b n R y e S B U e X B l P S J G a W x s T G F z d F V w Z G F 0 Z W Q i I F Z h b H V l P S J k M j A y N C 0 w O C 0 y N l Q x O D o x M z o z M C 4 3 N D Y 3 O T I y W i I g L z 4 8 R W 5 0 c n k g V H l w Z T 0 i R m l s b E N v b H V t b l R 5 c G V z I i B W Y W x 1 Z T 0 i c 0 J n V U E i I C 8 + P E V u d H J 5 I F R 5 c G U 9 I k Z p b G x D b 2 x 1 b W 5 O Y W 1 l c y I g V m F s d W U 9 I n N b J n F 1 b 3 Q 7 V G l j a 2 V y J n F 1 b 3 Q 7 L C Z x d W 9 0 O 0 F 2 Z 1 J l d H V y b i Z x d W 9 0 O y w m c X V v d D t Z Z W F y b H k g Q X Z l c m F n Z S B S Z X R 1 c m 4 m c X V v d D t d I i A v P j x F b n R y e S B U e X B l P S J G a W x s U 3 R h d H V z I i B W Y W x 1 Z T 0 i c 0 N v b X B s Z X R l I i A v P j x F b n R y e S B U e X B l P S J G a W x s R X J y b 3 J D b 3 V u d C I g V m F s d W U 9 I m w w I i A v P j x F b n R y e S B U e X B l P S J S Z W x h d G l v b n N o a X B J b m Z v Q 2 9 u d G F p b m V y I i B W Y W x 1 Z T 0 i c 3 s m c X V v d D t j b 2 x 1 b W 5 D b 3 V u d C Z x d W 9 0 O z o z L C Z x d W 9 0 O 2 t l e U N v b H V t b k 5 h b W V z J n F 1 b 3 Q 7 O l s m c X V v d D t U a W N r Z X I m c X V v d D t d L C Z x d W 9 0 O 3 F 1 Z X J 5 U m V s Y X R p b 2 5 z a G l w c y Z x d W 9 0 O z p b X S w m c X V v d D t j b 2 x 1 b W 5 J Z G V u d G l 0 a W V z J n F 1 b 3 Q 7 O l s m c X V v d D t T Z W N 0 a W 9 u M S 9 Q c m l j Z U R h d G F f V G l j a 2 V y X 0 F 2 Z 1 J h d G U v R 3 J v d X B l Z C B S b 3 d z L n t U a W N r Z X I s M H 0 m c X V v d D s s J n F 1 b 3 Q 7 U 2 V j d G l v b j E v U H J p Y 2 V E Y X R h X 1 R p Y 2 t l c l 9 B d m d S Y X R l L 0 d y b 3 V w Z W Q g U m 9 3 c y 5 7 Q X Z n U m V 0 d X J u L D F 9 J n F 1 b 3 Q 7 L C Z x d W 9 0 O 1 N l Y 3 R p b 2 4 x L 1 B y a W N l R G F 0 Y V 9 U a W N r Z X J f Q X Z n U m F 0 Z S 9 B Z G R l Z C B D d X N 0 b 2 0 u e 1 l l Y X J s e S B B d m V y Y W d l I F J l d H V y b i w y f S Z x d W 9 0 O 1 0 s J n F 1 b 3 Q 7 Q 2 9 s d W 1 u Q 2 9 1 b n Q m c X V v d D s 6 M y w m c X V v d D t L Z X l D b 2 x 1 b W 5 O Y W 1 l c y Z x d W 9 0 O z p b J n F 1 b 3 Q 7 V G l j a 2 V y J n F 1 b 3 Q 7 X S w m c X V v d D t D b 2 x 1 b W 5 J Z G V u d G l 0 a W V z J n F 1 b 3 Q 7 O l s m c X V v d D t T Z W N 0 a W 9 u M S 9 Q c m l j Z U R h d G F f V G l j a 2 V y X 0 F 2 Z 1 J h d G U v R 3 J v d X B l Z C B S b 3 d z L n t U a W N r Z X I s M H 0 m c X V v d D s s J n F 1 b 3 Q 7 U 2 V j d G l v b j E v U H J p Y 2 V E Y X R h X 1 R p Y 2 t l c l 9 B d m d S Y X R l L 0 d y b 3 V w Z W Q g U m 9 3 c y 5 7 Q X Z n U m V 0 d X J u L D F 9 J n F 1 b 3 Q 7 L C Z x d W 9 0 O 1 N l Y 3 R p b 2 4 x L 1 B y a W N l R G F 0 Y V 9 U a W N r Z X J f Q X Z n U m F 0 Z S 9 B Z G R l Z C B D d X N 0 b 2 0 u e 1 l l Y X J s e S B B d m V y Y W d l I F J l d H V y b i w y f S Z x d W 9 0 O 1 0 s J n F 1 b 3 Q 7 U m V s Y X R p b 2 5 z a G l w S W 5 m b y Z x d W 9 0 O z p b X X 0 i I C 8 + P E V u d H J 5 I F R 5 c G U 9 I k Z p b G x F c n J v c k N v Z G U i I F Z h b H V l P S J z V W 5 r b m 9 3 b i I g L z 4 8 R W 5 0 c n k g V H l w Z T 0 i R m l s b E N v d W 5 0 I i B W Y W x 1 Z T 0 i b D k i I C 8 + P E V u d H J 5 I F R 5 c G U 9 I k F k Z G V k V G 9 E Y X R h T W 9 k Z W w i I F Z h b H V l P S J s M C I g L z 4 8 L 1 N 0 Y W J s Z U V u d H J p Z X M + P C 9 J d G V t P j x J d G V t P j x J d G V t T G 9 j Y X R p b 2 4 + P E l 0 Z W 1 U e X B l P k Z v c m 1 1 b G E 8 L 0 l 0 Z W 1 U e X B l P j x J d G V t U G F 0 a D 5 T Z W N 0 a W 9 u M S 9 Q c m l j Z U R h d G F f V G l j a 2 V y X 0 F 2 Z 1 J h d G U v U 2 9 1 c m N l P C 9 J d G V t U G F 0 a D 4 8 L 0 l 0 Z W 1 M b 2 N h d G l v b j 4 8 U 3 R h Y m x l R W 5 0 c m l l c y A v P j w v S X R l b T 4 8 S X R l b T 4 8 S X R l b U x v Y 2 F 0 a W 9 u P j x J d G V t V H l w Z T 5 G b 3 J t d W x h P C 9 J d G V t V H l w Z T 4 8 S X R l b V B h d G g + U 2 V j d G l v b j E v U H J p Y 2 V E Y X R h X 1 R p Y 2 t l c l 9 B d m d S Y X R l L 0 d y b 3 V w Z W Q l M j B S b 3 d z P C 9 J d G V t U G F 0 a D 4 8 L 0 l 0 Z W 1 M b 2 N h d G l v b j 4 8 U 3 R h Y m x l R W 5 0 c m l l c y A v P j w v S X R l b T 4 8 S X R l b T 4 8 S X R l b U x v Y 2 F 0 a W 9 u P j x J d G V t V H l w Z T 5 G b 3 J t d W x h P C 9 J d G V t V H l w Z T 4 8 S X R l b V B h d G g + U 2 V j d G l v b j E v U H J p Y 2 V E Y X R h X 1 R p Y 2 t l c l 9 B d m d S Y X R l L 0 F k Z G V k J T I w Q 3 V z d G 9 t P C 9 J d G V t U G F 0 a D 4 8 L 0 l 0 Z W 1 M b 2 N h d G l v b j 4 8 U 3 R h Y m x l R W 5 0 c m l l c y A v P j w v S X R l b T 4 8 S X R l b T 4 8 S X R l b U x v Y 2 F 0 a W 9 u P j x J d G V t V H l w Z T 5 G b 3 J t d W x h P C 9 J d G V t V H l w Z T 4 8 S X R l b V B h d G g + U 2 V j d G l v b j E v Q X Z l c m F n Z U l u Z m x h d G l v b j w v S X R l b V B h d G g + P C 9 J d G V t T G 9 j Y X R p b 2 4 + P F N 0 Y W J s Z U V u d H J p Z X M + P E V u d H J 5 I F R 5 c G U 9 I k l z U H J p d m F 0 Z S I g V m F s d W U 9 I m w w I i A v P j x F b n R y e S B U e X B l P S J R d W V y e U l E I i B W Y W x 1 Z T 0 i c z U 3 M 2 Q 0 Y 2 R k L T h h Y j Y t N D c 2 M i 1 i N j Z m L W N k Z j k 3 O T I 0 Z T A 0 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Z l c m F n Z U l u Z m x h d G l v b i I g L z 4 8 R W 5 0 c n k g V H l w Z T 0 i R m l s b G V k Q 2 9 t c G x l d G V S Z X N 1 b H R U b 1 d v c m t z a G V l d C I g V m F s d W U 9 I m w x I i A v P j x F b n R y e S B U e X B l P S J G a W x s U 3 R h d H V z I i B W Y W x 1 Z T 0 i c 0 N v b X B s Z X R l I i A v P j x F b n R y e S B U e X B l P S J G a W x s Q 2 9 s d W 1 u T m F t Z X M i I F Z h b H V l P S J z W y Z x d W 9 0 O 2 F 2 Z 0 l u Z m x h d G l v b i Z x d W 9 0 O 1 0 i I C 8 + P E V u d H J 5 I F R 5 c G U 9 I k Z p b G x D b 2 x 1 b W 5 U e X B l c y I g V m F s d W U 9 I n N C U T 0 9 I i A v P j x F b n R y e S B U e X B l P S J G a W x s T G F z d F V w Z G F 0 Z W Q i I F Z h b H V l P S J k M j A y N C 0 w O C 0 y N l Q x O D o x M z o z M C 4 4 N z c 0 N D M y W i I g L z 4 8 R W 5 0 c n k g V H l w Z T 0 i R m l s b E V y c m 9 y Q 2 9 1 b n Q i I F Z h b H V l P S J s M C I g L z 4 8 R W 5 0 c n k g V H l w Z T 0 i U m V s Y X R p b 2 5 z a G l w S W 5 m b 0 N v b n R h a W 5 l c i I g V m F s d W U 9 I n N 7 J n F 1 b 3 Q 7 Y 2 9 s d W 1 u Q 2 9 1 b n Q m c X V v d D s 6 M S w m c X V v d D t r Z X l D b 2 x 1 b W 5 O Y W 1 l c y Z x d W 9 0 O z p b X S w m c X V v d D t x d W V y e V J l b G F 0 a W 9 u c 2 h p c H M m c X V v d D s 6 W 1 0 s J n F 1 b 3 Q 7 Y 2 9 s d W 1 u S W R l b n R p d G l l c y Z x d W 9 0 O z p b J n F 1 b 3 Q 7 U 2 V j d G l v b j E v Q X Z l c m F n Z U l u Z m x h d G l v b i 9 D a G F u Z 2 V k I F R 5 c G U u e 2 F 2 Z 0 l u Z m x h d G l v b i w x f S Z x d W 9 0 O 1 0 s J n F 1 b 3 Q 7 Q 2 9 s d W 1 u Q 2 9 1 b n Q m c X V v d D s 6 M S w m c X V v d D t L Z X l D b 2 x 1 b W 5 O Y W 1 l c y Z x d W 9 0 O z p b X S w m c X V v d D t D b 2 x 1 b W 5 J Z G V u d G l 0 a W V z J n F 1 b 3 Q 7 O l s m c X V v d D t T Z W N 0 a W 9 u M S 9 B d m V y Y W d l S W 5 m b G F 0 a W 9 u L 0 N o Y W 5 n Z W Q g V H l w Z S 5 7 Y X Z n S W 5 m b G F 0 a W 9 u L D F 9 J n F 1 b 3 Q 7 X S w m c X V v d D t S Z W x h d G l v b n N o a X B J b m Z v J n F 1 b 3 Q 7 O l t d f S I g L z 4 8 R W 5 0 c n k g V H l w Z T 0 i R m l s b E V y c m 9 y Q 2 9 k Z S I g V m F s d W U 9 I n N V b m t u b 3 d u I i A v P j x F b n R y e S B U e X B l P S J G a W x s Q 2 9 1 b n Q i I F Z h b H V l P S J s M S I g L z 4 8 R W 5 0 c n k g V H l w Z T 0 i Q W R k Z W R U b 0 R h d G F N b 2 R l b C I g V m F s d W U 9 I m w w I i A v P j w v U 3 R h Y m x l R W 5 0 c m l l c z 4 8 L 0 l 0 Z W 0 + P E l 0 Z W 0 + P E l 0 Z W 1 M b 2 N h d G l v b j 4 8 S X R l b V R 5 c G U + R m 9 y b X V s Y T w v S X R l b V R 5 c G U + P E l 0 Z W 1 Q Y X R o P l N l Y 3 R p b 2 4 x L 0 F 2 Z X J h Z 2 V J b m Z s Y X R p b 2 4 v U 2 9 1 c m N l P C 9 J d G V t U G F 0 a D 4 8 L 0 l 0 Z W 1 M b 2 N h d G l v b j 4 8 U 3 R h Y m x l R W 5 0 c m l l c y A v P j w v S X R l b T 4 8 S X R l b T 4 8 S X R l b U x v Y 2 F 0 a W 9 u P j x J d G V t V H l w Z T 5 G b 3 J t d W x h P C 9 J d G V t V H l w Z T 4 8 S X R l b V B h d G g + U 2 V j d G l v b j E v Q X Z l c m F n Z U l u Z m x h d G l v b i 9 T a G V l d D F f U 2 h l Z X Q 8 L 0 l 0 Z W 1 Q Y X R o P j w v S X R l b U x v Y 2 F 0 a W 9 u P j x T d G F i b G V F b n R y a W V z I C 8 + P C 9 J d G V t P j x J d G V t P j x J d G V t T G 9 j Y X R p b 2 4 + P E l 0 Z W 1 U e X B l P k Z v c m 1 1 b G E 8 L 0 l 0 Z W 1 U e X B l P j x J d G V t U G F 0 a D 5 T Z W N 0 a W 9 u M S 9 B d m V y Y W d l S W 5 m b G F 0 a W 9 u L 1 B y b 2 1 v d G V k J T I w S G V h Z G V y c z w v S X R l b V B h d G g + P C 9 J d G V t T G 9 j Y X R p b 2 4 + P F N 0 Y W J s Z U V u d H J p Z X M g L z 4 8 L 0 l 0 Z W 0 + P E l 0 Z W 0 + P E l 0 Z W 1 M b 2 N h d G l v b j 4 8 S X R l b V R 5 c G U + R m 9 y b X V s Y T w v S X R l b V R 5 c G U + P E l 0 Z W 1 Q Y X R o P l N l Y 3 R p b 2 4 x L 0 F 2 Z X J h Z 2 V J b m Z s Y X R p b 2 4 v Q 2 h h b m d l Z C U y M F R 5 c G U 8 L 0 l 0 Z W 1 Q Y X R o P j w v S X R l b U x v Y 2 F 0 a W 9 u P j x T d G F i b G V F b n R y a W V z I C 8 + P C 9 J d G V t P j x J d G V t P j x J d G V t T G 9 j Y X R p b 2 4 + P E l 0 Z W 1 U e X B l P k Z v c m 1 1 b G E 8 L 0 l 0 Z W 1 U e X B l P j x J d G V t U G F 0 a D 5 T Z W N 0 a W 9 u M S 9 B d m V y Y W d l S W 5 m b G F 0 a W 9 u L 1 J l b W 9 2 Z W Q l M j B D b 2 x 1 b W 5 z P C 9 J d G V t U G F 0 a D 4 8 L 0 l 0 Z W 1 M b 2 N h d G l v b j 4 8 U 3 R h Y m x l R W 5 0 c m l l c y A v P j w v S X R l b T 4 8 L 0 l 0 Z W 1 z P j w v T G 9 j Y W x Q Y W N r Y W d l T W V 0 Y W R h d G F G a W x l P h Y A A A B Q S w U G A A A A A A A A A A A A A A A A A A A A A A A A J g E A A A E A A A D Q j J 3 f A R X R E Y x 6 A M B P w p f r A Q A A A B l + T v y N Z H V P s V T H m P V w s 7 4 A A A A A A g A A A A A A E G Y A A A A B A A A g A A A A x V f a / s U n m m Z v B d Z V x 8 B 6 R e H c g E p B + Y / y C t a l q c P m A 3 c A A A A A D o A A A A A C A A A g A A A A 0 3 I o C h b A U E l L 2 2 1 Q N E x v p h j m f H O o v X 6 j Y H g 4 c f f L h / R Q A A A A b R e r z 3 9 w q z S e Z E l P 2 z Z c U r M + D 0 1 w c u K d i z C J 2 5 M z t c J e d T R q x L / M 9 9 e W 4 w H A 0 d D l 2 D q 3 T a I E i 7 h 0 H E u 2 S I L v L S 3 X Q Y c + g i E A 9 S U i M C M q m 5 F A A A A A g N O w d x X j h O q 9 Q U d 0 8 a 3 t G Q j S 8 K n g 8 R p 1 6 X W F T s p G x v Z N u n d l n N W R L H 8 2 h n K 9 O q 7 v f 6 q T 4 H R F Q f B o W T d G n U o t a A = = < / D a t a M a s h u p > 
</file>

<file path=customXml/itemProps1.xml><?xml version="1.0" encoding="utf-8"?>
<ds:datastoreItem xmlns:ds="http://schemas.openxmlformats.org/officeDocument/2006/customXml" ds:itemID="{11BAAA98-DF02-499A-804B-1F7BF0FC00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Version Control_Ideas</vt:lpstr>
      <vt:lpstr>DCF Model</vt:lpstr>
      <vt:lpstr>IncomeStatement</vt:lpstr>
      <vt:lpstr>BalanceSheet</vt:lpstr>
      <vt:lpstr>CashFlow</vt:lpstr>
      <vt:lpstr>MetaData</vt:lpstr>
      <vt:lpstr>Tickers</vt:lpstr>
      <vt:lpstr>TickerYears</vt:lpstr>
      <vt:lpstr>Example Model</vt:lpstr>
      <vt:lpstr>AverageInflation</vt:lpstr>
      <vt:lpstr>PriceData_TNX_AvgRate</vt:lpstr>
      <vt:lpstr>PriceData_GSPC_AvgRate</vt:lpstr>
      <vt:lpstr>PriceData_Ticker_AvgRate</vt:lpstr>
      <vt:lpstr>PriceData_Ticker</vt:lpstr>
      <vt:lpstr>PriceData_TNX</vt:lpstr>
      <vt:lpstr>PriceData_GSPC</vt:lpstr>
      <vt:lpstr>Formulas</vt:lpstr>
      <vt:lpstr>Screenshots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Lutz PC</dc:creator>
  <cp:lastModifiedBy>Lutz PC</cp:lastModifiedBy>
  <dcterms:created xsi:type="dcterms:W3CDTF">2024-05-10T02:43:54Z</dcterms:created>
  <dcterms:modified xsi:type="dcterms:W3CDTF">2024-08-27T12:09:26Z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502bc7c3-f152-4da1-98bd-f7a1bebdf752_Enabled">
    <vt:lpwstr>true</vt:lpwstr>
  </property>
  <property fmtid="{D5CDD505-2E9C-101B-9397-08002B2CF9AE}" pid="5" name="MSIP_Label_502bc7c3-f152-4da1-98bd-f7a1bebdf752_SetDate">
    <vt:lpwstr>2024-05-10T12:19:16Z</vt:lpwstr>
  </property>
  <property fmtid="{D5CDD505-2E9C-101B-9397-08002B2CF9AE}" pid="6" name="MSIP_Label_502bc7c3-f152-4da1-98bd-f7a1bebdf752_Method">
    <vt:lpwstr>Privileged</vt:lpwstr>
  </property>
  <property fmtid="{D5CDD505-2E9C-101B-9397-08002B2CF9AE}" pid="7" name="MSIP_Label_502bc7c3-f152-4da1-98bd-f7a1bebdf752_Name">
    <vt:lpwstr>Unrestricted</vt:lpwstr>
  </property>
  <property fmtid="{D5CDD505-2E9C-101B-9397-08002B2CF9AE}" pid="8" name="MSIP_Label_502bc7c3-f152-4da1-98bd-f7a1bebdf752_SiteId">
    <vt:lpwstr>b18f006c-b0fc-467d-b23a-a35b5695b5dc</vt:lpwstr>
  </property>
  <property fmtid="{D5CDD505-2E9C-101B-9397-08002B2CF9AE}" pid="9" name="MSIP_Label_502bc7c3-f152-4da1-98bd-f7a1bebdf752_ActionId">
    <vt:lpwstr>b6ea76fd-f045-46aa-bf5a-dc2d2ac7e612</vt:lpwstr>
  </property>
  <property fmtid="{D5CDD505-2E9C-101B-9397-08002B2CF9AE}" pid="10" name="MSIP_Label_502bc7c3-f152-4da1-98bd-f7a1bebdf752_ContentBits">
    <vt:lpwstr>0</vt:lpwstr>
  </property>
</Properties>
</file>